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C:\Users\robbe\Desktop\Q4 2022-2023\Bachelor Eind Werk\Geotechnical\Data expiriments\"/>
    </mc:Choice>
  </mc:AlternateContent>
  <xr:revisionPtr revIDLastSave="0" documentId="8_{4F6F98A9-3A8A-4AD2-8E65-9A368F2A4749}" xr6:coauthVersionLast="47" xr6:coauthVersionMax="47" xr10:uidLastSave="{00000000-0000-0000-0000-000000000000}"/>
  <bookViews>
    <workbookView xWindow="28680" yWindow="-3915" windowWidth="29040" windowHeight="15720" firstSheet="1" activeTab="16" xr2:uid="{00000000-000D-0000-FFFF-FFFF00000000}"/>
  </bookViews>
  <sheets>
    <sheet name="Notes" sheetId="39" r:id="rId1"/>
    <sheet name="GT1.1" sheetId="3" r:id="rId2"/>
    <sheet name="GT1.2" sheetId="40" r:id="rId3"/>
    <sheet name="GT2.1" sheetId="41" r:id="rId4"/>
    <sheet name="GT2.2" sheetId="42" r:id="rId5"/>
    <sheet name="GT3.1" sheetId="43" r:id="rId6"/>
    <sheet name="GT3.2" sheetId="44" r:id="rId7"/>
    <sheet name="GT4.1" sheetId="45" r:id="rId8"/>
    <sheet name="GT4.2" sheetId="46" r:id="rId9"/>
    <sheet name="GT5.1" sheetId="47" r:id="rId10"/>
    <sheet name="GT5.2" sheetId="48" r:id="rId11"/>
    <sheet name="GT6.1" sheetId="49" r:id="rId12"/>
    <sheet name="GT6.2" sheetId="50" r:id="rId13"/>
    <sheet name="GT7.1" sheetId="51" r:id="rId14"/>
    <sheet name="GT7.2" sheetId="52" r:id="rId15"/>
    <sheet name="GT8.1" sheetId="53" r:id="rId16"/>
    <sheet name="GT8.2" sheetId="54"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0" i="51" l="1"/>
  <c r="AX20" i="51"/>
  <c r="AW22" i="50"/>
  <c r="AX22" i="50"/>
  <c r="AW21" i="49"/>
  <c r="AX21" i="49"/>
  <c r="AX21" i="48"/>
  <c r="AW21" i="48"/>
  <c r="AW20" i="47"/>
  <c r="AW22" i="46"/>
  <c r="AX22" i="46"/>
  <c r="AW22" i="45"/>
  <c r="AX22" i="45"/>
  <c r="AX22" i="44"/>
  <c r="AW22" i="44"/>
  <c r="AX22" i="43"/>
  <c r="AW22" i="43"/>
  <c r="AW21" i="41"/>
  <c r="AX21" i="41"/>
  <c r="AX21" i="40"/>
  <c r="AW21" i="40"/>
  <c r="AX21" i="3"/>
  <c r="AW21" i="3"/>
  <c r="AQ19" i="51"/>
  <c r="AR19" i="51"/>
  <c r="AS19" i="51"/>
  <c r="AW19" i="51" s="1"/>
  <c r="AT19" i="51"/>
  <c r="AU19" i="51" s="1"/>
  <c r="AV19" i="51" s="1"/>
  <c r="AL20" i="51"/>
  <c r="AK20" i="51"/>
  <c r="AJ20" i="51"/>
  <c r="R19" i="51"/>
  <c r="S19" i="51"/>
  <c r="W19" i="51" s="1"/>
  <c r="T19" i="51"/>
  <c r="AE19" i="51" s="1"/>
  <c r="AI19" i="51" s="1"/>
  <c r="U19" i="51"/>
  <c r="V19" i="51"/>
  <c r="X19" i="51"/>
  <c r="AA19" i="51"/>
  <c r="AB19" i="51"/>
  <c r="AD19" i="51"/>
  <c r="AF19" i="51"/>
  <c r="AG19" i="51"/>
  <c r="AH19" i="51"/>
  <c r="F19" i="51"/>
  <c r="G19" i="51"/>
  <c r="H19" i="51"/>
  <c r="I19" i="51"/>
  <c r="J19" i="51"/>
  <c r="K19" i="51"/>
  <c r="L19" i="51"/>
  <c r="P19" i="51"/>
  <c r="Q19" i="51"/>
  <c r="AQ21" i="50"/>
  <c r="AR21" i="50"/>
  <c r="AS21" i="50" s="1"/>
  <c r="AW21" i="50" s="1"/>
  <c r="AT21" i="50"/>
  <c r="AU21" i="50" s="1"/>
  <c r="AV21" i="50" s="1"/>
  <c r="AL22" i="50"/>
  <c r="AK22" i="50"/>
  <c r="AJ22" i="50"/>
  <c r="P21" i="50"/>
  <c r="Q21" i="50" s="1"/>
  <c r="R21" i="50"/>
  <c r="S21" i="50" s="1"/>
  <c r="X21" i="50"/>
  <c r="AD21" i="50"/>
  <c r="F21" i="50"/>
  <c r="G21" i="50"/>
  <c r="H21" i="50"/>
  <c r="I21" i="50"/>
  <c r="J21" i="50"/>
  <c r="K21" i="50"/>
  <c r="L21" i="50"/>
  <c r="AL21" i="3"/>
  <c r="AK21" i="3"/>
  <c r="AJ21" i="3"/>
  <c r="AL21" i="40"/>
  <c r="AK21" i="40"/>
  <c r="AJ21" i="40"/>
  <c r="AL21" i="41"/>
  <c r="AK21" i="41"/>
  <c r="AJ21" i="41"/>
  <c r="AJ22" i="42"/>
  <c r="AL22" i="43"/>
  <c r="AK22" i="43"/>
  <c r="AJ22" i="43"/>
  <c r="AL22" i="44"/>
  <c r="AK22" i="44"/>
  <c r="AJ22" i="44"/>
  <c r="AL22" i="45"/>
  <c r="AK22" i="45"/>
  <c r="AJ22" i="45"/>
  <c r="AL22" i="46"/>
  <c r="AK22" i="46"/>
  <c r="AJ22" i="46"/>
  <c r="AL21" i="49"/>
  <c r="AK21" i="49"/>
  <c r="AJ21" i="49"/>
  <c r="AQ20" i="49"/>
  <c r="AR20" i="49"/>
  <c r="AS20" i="49" s="1"/>
  <c r="AW20" i="49" s="1"/>
  <c r="AT20" i="49"/>
  <c r="AU20" i="49" s="1"/>
  <c r="AV20" i="49" s="1"/>
  <c r="AI20" i="49"/>
  <c r="P20" i="49"/>
  <c r="R20" i="49"/>
  <c r="S20" i="49" s="1"/>
  <c r="U20" i="49"/>
  <c r="V20" i="49"/>
  <c r="X20" i="49"/>
  <c r="AB20" i="49" s="1"/>
  <c r="AA20" i="49"/>
  <c r="AD20" i="49"/>
  <c r="AG20" i="49"/>
  <c r="AH20" i="49"/>
  <c r="F20" i="49"/>
  <c r="G20" i="49"/>
  <c r="H20" i="49"/>
  <c r="I20" i="49"/>
  <c r="J20" i="49"/>
  <c r="K20" i="49"/>
  <c r="L20" i="49"/>
  <c r="AJ29" i="3"/>
  <c r="AJ23" i="3"/>
  <c r="AL21" i="47"/>
  <c r="AK21" i="47"/>
  <c r="AJ21" i="47"/>
  <c r="AL21" i="48"/>
  <c r="AK21" i="48"/>
  <c r="AJ21" i="48"/>
  <c r="AQ20" i="48"/>
  <c r="AR20" i="48"/>
  <c r="AS20" i="48"/>
  <c r="AW20" i="48" s="1"/>
  <c r="AT20" i="48"/>
  <c r="AU20" i="48" s="1"/>
  <c r="AV20" i="48" s="1"/>
  <c r="P20" i="48"/>
  <c r="Q20" i="48"/>
  <c r="R20" i="48"/>
  <c r="S20" i="48" s="1"/>
  <c r="X20" i="48"/>
  <c r="AD20" i="48"/>
  <c r="F20" i="48"/>
  <c r="G20" i="48"/>
  <c r="H20" i="48"/>
  <c r="I20" i="48"/>
  <c r="J20" i="48"/>
  <c r="K20" i="48"/>
  <c r="L20" i="48"/>
  <c r="AQ20" i="47"/>
  <c r="AR20" i="47" s="1"/>
  <c r="AS20" i="47" s="1"/>
  <c r="AT20" i="47"/>
  <c r="AU20" i="47" s="1"/>
  <c r="AV20" i="47" s="1"/>
  <c r="AQ21" i="47"/>
  <c r="AR21" i="47" s="1"/>
  <c r="AS21" i="47" s="1"/>
  <c r="AT21" i="47"/>
  <c r="AU21" i="47"/>
  <c r="AV21" i="47" s="1"/>
  <c r="P20" i="47"/>
  <c r="Q20" i="47"/>
  <c r="R20" i="47"/>
  <c r="S20" i="47" s="1"/>
  <c r="X20" i="47"/>
  <c r="AD20" i="47"/>
  <c r="F20" i="47"/>
  <c r="G20" i="47"/>
  <c r="H20" i="47"/>
  <c r="I20" i="47"/>
  <c r="J20" i="47"/>
  <c r="K20" i="47"/>
  <c r="L20" i="47"/>
  <c r="AQ21" i="46"/>
  <c r="AR21" i="46"/>
  <c r="AS21" i="46" s="1"/>
  <c r="AW21" i="46" s="1"/>
  <c r="AT21" i="46"/>
  <c r="AU21" i="46" s="1"/>
  <c r="AV21" i="46" s="1"/>
  <c r="R21" i="46"/>
  <c r="S21" i="46"/>
  <c r="W21" i="46" s="1"/>
  <c r="T21" i="46"/>
  <c r="AE21" i="46" s="1"/>
  <c r="AI21" i="46" s="1"/>
  <c r="U21" i="46"/>
  <c r="AA21" i="46" s="1"/>
  <c r="V21" i="46"/>
  <c r="X21" i="46"/>
  <c r="Z21" i="46" s="1"/>
  <c r="AD21" i="46"/>
  <c r="AF21" i="46"/>
  <c r="AG21" i="46"/>
  <c r="AH21" i="46"/>
  <c r="E21" i="46"/>
  <c r="F21" i="46"/>
  <c r="G21" i="46"/>
  <c r="H21" i="46"/>
  <c r="I21" i="46"/>
  <c r="J21" i="46"/>
  <c r="K21" i="46"/>
  <c r="L21" i="46"/>
  <c r="AQ21" i="45"/>
  <c r="AR21" i="45"/>
  <c r="AS21" i="45" s="1"/>
  <c r="AW21" i="45" s="1"/>
  <c r="AT21" i="45"/>
  <c r="AU21" i="45"/>
  <c r="AV21" i="45"/>
  <c r="R21" i="45"/>
  <c r="S21" i="45"/>
  <c r="W21" i="45" s="1"/>
  <c r="T21" i="45"/>
  <c r="AE21" i="45" s="1"/>
  <c r="AI21" i="45" s="1"/>
  <c r="U21" i="45"/>
  <c r="AA21" i="45" s="1"/>
  <c r="V21" i="45"/>
  <c r="X21" i="45"/>
  <c r="AB21" i="45"/>
  <c r="AD21" i="45"/>
  <c r="AF21" i="45"/>
  <c r="AG21" i="45"/>
  <c r="AH21" i="45"/>
  <c r="S20" i="45"/>
  <c r="T20" i="45"/>
  <c r="U20" i="45"/>
  <c r="V20" i="45"/>
  <c r="W20" i="45" s="1"/>
  <c r="X20" i="45"/>
  <c r="Y20" i="45" s="1"/>
  <c r="AD20" i="45"/>
  <c r="AE20" i="45" s="1"/>
  <c r="P21" i="45"/>
  <c r="Q21" i="45" s="1"/>
  <c r="F21" i="45"/>
  <c r="G21" i="45"/>
  <c r="H21" i="45"/>
  <c r="I21" i="45"/>
  <c r="J21" i="45"/>
  <c r="K21" i="45"/>
  <c r="L21" i="45"/>
  <c r="P21" i="46"/>
  <c r="Q21" i="46" s="1"/>
  <c r="BA21" i="44"/>
  <c r="AQ21" i="44"/>
  <c r="AR21" i="44"/>
  <c r="AS21" i="44" s="1"/>
  <c r="AW21" i="44" s="1"/>
  <c r="AX21" i="44" s="1"/>
  <c r="AY21" i="44" s="1"/>
  <c r="AT21" i="44"/>
  <c r="AU21" i="44" s="1"/>
  <c r="AV21" i="44" s="1"/>
  <c r="P21" i="44"/>
  <c r="Q21" i="44"/>
  <c r="R21" i="44"/>
  <c r="S21" i="44"/>
  <c r="T21" i="44"/>
  <c r="AE21" i="44" s="1"/>
  <c r="AI21" i="44" s="1"/>
  <c r="U21" i="44"/>
  <c r="V21" i="44"/>
  <c r="W21" i="44"/>
  <c r="X21" i="44"/>
  <c r="AB21" i="44" s="1"/>
  <c r="Y21" i="44"/>
  <c r="AC21" i="44" s="1"/>
  <c r="Z21" i="44"/>
  <c r="AD21" i="44"/>
  <c r="AF21" i="44"/>
  <c r="AG21" i="44"/>
  <c r="AH21" i="44"/>
  <c r="F21" i="44"/>
  <c r="F13" i="44" s="1"/>
  <c r="AQ13" i="44" s="1"/>
  <c r="AR13" i="44" s="1"/>
  <c r="AS13" i="44" s="1"/>
  <c r="G21" i="44"/>
  <c r="H21" i="44"/>
  <c r="I21" i="44"/>
  <c r="J21" i="44"/>
  <c r="K21" i="44"/>
  <c r="L21" i="44"/>
  <c r="BA21" i="43"/>
  <c r="AQ21" i="43"/>
  <c r="AR21" i="43"/>
  <c r="AS21" i="43" s="1"/>
  <c r="AW21" i="43" s="1"/>
  <c r="AX21" i="43" s="1"/>
  <c r="AY21" i="43" s="1"/>
  <c r="AT21" i="43"/>
  <c r="AU21" i="43" s="1"/>
  <c r="AV21" i="43" s="1"/>
  <c r="R21" i="43"/>
  <c r="S21" i="43"/>
  <c r="AF21" i="43" s="1"/>
  <c r="T21" i="43"/>
  <c r="Y21" i="43" s="1"/>
  <c r="U21" i="43"/>
  <c r="AA21" i="43" s="1"/>
  <c r="V21" i="43"/>
  <c r="X21" i="43"/>
  <c r="AB21" i="43"/>
  <c r="AD21" i="43"/>
  <c r="AE21" i="43"/>
  <c r="AI21" i="43" s="1"/>
  <c r="AG21" i="43"/>
  <c r="AH21" i="43"/>
  <c r="P21" i="43"/>
  <c r="Q21" i="43"/>
  <c r="F21" i="43"/>
  <c r="F13" i="43" s="1"/>
  <c r="G21" i="43"/>
  <c r="H21" i="43"/>
  <c r="I21" i="43"/>
  <c r="J21" i="43"/>
  <c r="K21" i="43"/>
  <c r="L21" i="43"/>
  <c r="BA20" i="41"/>
  <c r="AW20" i="41"/>
  <c r="AX20" i="41"/>
  <c r="AY20" i="41" s="1"/>
  <c r="BA20" i="40"/>
  <c r="AW20" i="40"/>
  <c r="AX20" i="40"/>
  <c r="AY20" i="40" s="1"/>
  <c r="R20" i="41"/>
  <c r="U20" i="41" s="1"/>
  <c r="S20" i="41"/>
  <c r="AF20" i="41" s="1"/>
  <c r="Z20" i="41"/>
  <c r="AD20" i="41"/>
  <c r="X20" i="41"/>
  <c r="P20" i="41"/>
  <c r="Q20" i="41"/>
  <c r="R20" i="40"/>
  <c r="S20" i="40" s="1"/>
  <c r="T20" i="40"/>
  <c r="AT20" i="40" s="1"/>
  <c r="AU20" i="40" s="1"/>
  <c r="AV20" i="40" s="1"/>
  <c r="U20" i="40"/>
  <c r="AG20" i="40" s="1"/>
  <c r="AA20" i="40"/>
  <c r="AD20" i="40"/>
  <c r="X20" i="40"/>
  <c r="P20" i="40"/>
  <c r="Q20" i="40" s="1"/>
  <c r="AQ20" i="3"/>
  <c r="AR20" i="3"/>
  <c r="AS20" i="3"/>
  <c r="AW20" i="3" s="1"/>
  <c r="AX20" i="3" s="1"/>
  <c r="AY20" i="3" s="1"/>
  <c r="AT20" i="3"/>
  <c r="AU20" i="3" s="1"/>
  <c r="AV20" i="3" s="1"/>
  <c r="R20" i="3"/>
  <c r="V20" i="3" s="1"/>
  <c r="S20" i="3"/>
  <c r="Z20" i="3" s="1"/>
  <c r="T20" i="3"/>
  <c r="U20" i="3"/>
  <c r="AA20" i="3" s="1"/>
  <c r="AD20" i="3"/>
  <c r="X20" i="3"/>
  <c r="P20" i="3"/>
  <c r="Q20" i="3"/>
  <c r="AT13" i="54"/>
  <c r="AU13" i="54" s="1"/>
  <c r="AV13" i="54" s="1"/>
  <c r="AT13" i="53"/>
  <c r="AU13" i="53" s="1"/>
  <c r="AV13" i="53" s="1"/>
  <c r="AT13" i="52"/>
  <c r="AU13" i="52" s="1"/>
  <c r="AV13" i="52" s="1"/>
  <c r="AT13" i="51"/>
  <c r="AU13" i="51" s="1"/>
  <c r="AV13" i="51" s="1"/>
  <c r="AT13" i="50"/>
  <c r="AU13" i="50" s="1"/>
  <c r="AV13" i="50" s="1"/>
  <c r="AT13" i="49"/>
  <c r="AU13" i="49" s="1"/>
  <c r="AV13" i="49" s="1"/>
  <c r="AT13" i="48"/>
  <c r="AU13" i="48" s="1"/>
  <c r="AV13" i="48" s="1"/>
  <c r="AT13" i="47"/>
  <c r="AU13" i="47" s="1"/>
  <c r="AV13" i="47" s="1"/>
  <c r="AT13" i="46"/>
  <c r="AU13" i="46" s="1"/>
  <c r="AV13" i="46" s="1"/>
  <c r="AT13" i="45"/>
  <c r="AU13" i="45" s="1"/>
  <c r="AV13" i="45" s="1"/>
  <c r="AT13" i="44"/>
  <c r="AU13" i="44" s="1"/>
  <c r="AV13" i="44" s="1"/>
  <c r="AT13" i="43"/>
  <c r="AU13" i="43" s="1"/>
  <c r="AV13" i="43" s="1"/>
  <c r="AT13" i="3"/>
  <c r="AU13" i="3" s="1"/>
  <c r="AV13" i="3" s="1"/>
  <c r="AT13" i="40"/>
  <c r="AU13" i="40" s="1"/>
  <c r="AV13" i="40" s="1"/>
  <c r="AT13" i="41"/>
  <c r="AU13" i="41" s="1"/>
  <c r="AV13" i="41" s="1"/>
  <c r="F13" i="54"/>
  <c r="X13" i="54" s="1"/>
  <c r="AD13" i="54" s="1"/>
  <c r="F13" i="53"/>
  <c r="X13" i="53" s="1"/>
  <c r="AD13" i="53" s="1"/>
  <c r="F13" i="52"/>
  <c r="AQ13" i="52" s="1"/>
  <c r="AR13" i="52" s="1"/>
  <c r="AS13" i="52" s="1"/>
  <c r="AW13" i="52" s="1"/>
  <c r="AX13" i="52" s="1"/>
  <c r="AY13" i="52" s="1"/>
  <c r="F13" i="51"/>
  <c r="X13" i="51" s="1"/>
  <c r="Y13" i="51" s="1"/>
  <c r="F13" i="50"/>
  <c r="AQ13" i="50" s="1"/>
  <c r="AR13" i="50" s="1"/>
  <c r="AS13" i="50" s="1"/>
  <c r="AW13" i="50" s="1"/>
  <c r="AX13" i="50" s="1"/>
  <c r="AY13" i="50" s="1"/>
  <c r="F13" i="49"/>
  <c r="AQ13" i="49" s="1"/>
  <c r="AR13" i="49" s="1"/>
  <c r="AS13" i="49" s="1"/>
  <c r="AW13" i="49" s="1"/>
  <c r="AX13" i="49" s="1"/>
  <c r="AY13" i="49" s="1"/>
  <c r="F13" i="48"/>
  <c r="AQ13" i="48" s="1"/>
  <c r="AR13" i="48" s="1"/>
  <c r="AS13" i="48" s="1"/>
  <c r="AW13" i="48" s="1"/>
  <c r="AX13" i="48" s="1"/>
  <c r="AY13" i="48" s="1"/>
  <c r="F13" i="47"/>
  <c r="AQ13" i="47" s="1"/>
  <c r="AR13" i="47" s="1"/>
  <c r="AS13" i="47" s="1"/>
  <c r="F13" i="46"/>
  <c r="X13" i="46" s="1"/>
  <c r="AD13" i="46" s="1"/>
  <c r="F13" i="45"/>
  <c r="AQ13" i="45" s="1"/>
  <c r="AR13" i="45" s="1"/>
  <c r="AS13" i="45" s="1"/>
  <c r="F13" i="40"/>
  <c r="AQ13" i="40" s="1"/>
  <c r="AR13" i="40" s="1"/>
  <c r="AS13" i="40" s="1"/>
  <c r="F13" i="41"/>
  <c r="AQ13" i="41" s="1"/>
  <c r="F13" i="42"/>
  <c r="AQ13" i="42" s="1"/>
  <c r="AR13" i="42" s="1"/>
  <c r="AS13" i="42" s="1"/>
  <c r="AD33" i="54"/>
  <c r="X33" i="54"/>
  <c r="R33" i="54"/>
  <c r="P33" i="54"/>
  <c r="AD32" i="54"/>
  <c r="X32" i="54"/>
  <c r="R32" i="54"/>
  <c r="V32" i="54" s="1"/>
  <c r="P32" i="54"/>
  <c r="AD31" i="54"/>
  <c r="X31" i="54"/>
  <c r="R31" i="54"/>
  <c r="V31" i="54" s="1"/>
  <c r="P31" i="54"/>
  <c r="AD30" i="54"/>
  <c r="X30" i="54"/>
  <c r="R30" i="54"/>
  <c r="V30" i="54" s="1"/>
  <c r="P30" i="54"/>
  <c r="AD29" i="54"/>
  <c r="X29" i="54"/>
  <c r="R29" i="54"/>
  <c r="V29" i="54" s="1"/>
  <c r="P29" i="54"/>
  <c r="AD28" i="54"/>
  <c r="X28" i="54"/>
  <c r="R28" i="54"/>
  <c r="V28" i="54" s="1"/>
  <c r="P28" i="54"/>
  <c r="AD27" i="54"/>
  <c r="X27" i="54"/>
  <c r="R27" i="54"/>
  <c r="V27" i="54" s="1"/>
  <c r="AB27" i="54" s="1"/>
  <c r="P27" i="54"/>
  <c r="AD26" i="54"/>
  <c r="X26" i="54"/>
  <c r="R26" i="54"/>
  <c r="V26" i="54" s="1"/>
  <c r="P26" i="54"/>
  <c r="AD25" i="54"/>
  <c r="X25" i="54"/>
  <c r="R25" i="54"/>
  <c r="V25" i="54" s="1"/>
  <c r="P25" i="54"/>
  <c r="AD24" i="54"/>
  <c r="X24" i="54"/>
  <c r="R24" i="54"/>
  <c r="V24" i="54" s="1"/>
  <c r="P24" i="54"/>
  <c r="AD23" i="54"/>
  <c r="X23" i="54"/>
  <c r="R23" i="54"/>
  <c r="V23" i="54" s="1"/>
  <c r="P23" i="54"/>
  <c r="AD22" i="54"/>
  <c r="X22" i="54"/>
  <c r="R22" i="54"/>
  <c r="V22" i="54" s="1"/>
  <c r="P22" i="54"/>
  <c r="AD21" i="54"/>
  <c r="X21" i="54"/>
  <c r="R21" i="54"/>
  <c r="V21" i="54" s="1"/>
  <c r="AB21" i="54" s="1"/>
  <c r="P21" i="54"/>
  <c r="AD20" i="54"/>
  <c r="X20" i="54"/>
  <c r="R20" i="54"/>
  <c r="V20" i="54" s="1"/>
  <c r="P20" i="54"/>
  <c r="AD19" i="54"/>
  <c r="X19" i="54"/>
  <c r="R19" i="54"/>
  <c r="V19" i="54" s="1"/>
  <c r="P19" i="54"/>
  <c r="AD18" i="54"/>
  <c r="X18" i="54"/>
  <c r="R18" i="54"/>
  <c r="V18" i="54" s="1"/>
  <c r="P18" i="54"/>
  <c r="AD17" i="54"/>
  <c r="X17" i="54"/>
  <c r="R17" i="54"/>
  <c r="V17" i="54" s="1"/>
  <c r="P17" i="54"/>
  <c r="AD16" i="54"/>
  <c r="X16" i="54"/>
  <c r="R16" i="54"/>
  <c r="V16" i="54" s="1"/>
  <c r="P16" i="54"/>
  <c r="AD15" i="54"/>
  <c r="X15" i="54"/>
  <c r="R15" i="54"/>
  <c r="V15" i="54" s="1"/>
  <c r="AB15" i="54" s="1"/>
  <c r="P15" i="54"/>
  <c r="AD14" i="54"/>
  <c r="X14" i="54"/>
  <c r="R14" i="54"/>
  <c r="V14" i="54" s="1"/>
  <c r="P14" i="54"/>
  <c r="W13" i="54"/>
  <c r="P13" i="54"/>
  <c r="AD33" i="53"/>
  <c r="X33" i="53"/>
  <c r="R33" i="53"/>
  <c r="V33" i="53" s="1"/>
  <c r="AB33" i="53" s="1"/>
  <c r="P33" i="53"/>
  <c r="AD32" i="53"/>
  <c r="X32" i="53"/>
  <c r="R32" i="53"/>
  <c r="V32" i="53" s="1"/>
  <c r="P32" i="53"/>
  <c r="AD31" i="53"/>
  <c r="X31" i="53"/>
  <c r="R31" i="53"/>
  <c r="V31" i="53" s="1"/>
  <c r="P31" i="53"/>
  <c r="AD30" i="53"/>
  <c r="X30" i="53"/>
  <c r="R30" i="53"/>
  <c r="V30" i="53" s="1"/>
  <c r="P30" i="53"/>
  <c r="AD29" i="53"/>
  <c r="X29" i="53"/>
  <c r="R29" i="53"/>
  <c r="V29" i="53" s="1"/>
  <c r="P29" i="53"/>
  <c r="AD28" i="53"/>
  <c r="X28" i="53"/>
  <c r="R28" i="53"/>
  <c r="V28" i="53" s="1"/>
  <c r="P28" i="53"/>
  <c r="AD27" i="53"/>
  <c r="X27" i="53"/>
  <c r="R27" i="53"/>
  <c r="V27" i="53" s="1"/>
  <c r="P27" i="53"/>
  <c r="AD26" i="53"/>
  <c r="X26" i="53"/>
  <c r="R26" i="53"/>
  <c r="V26" i="53" s="1"/>
  <c r="P26" i="53"/>
  <c r="AD25" i="53"/>
  <c r="X25" i="53"/>
  <c r="R25" i="53"/>
  <c r="V25" i="53" s="1"/>
  <c r="P25" i="53"/>
  <c r="AD24" i="53"/>
  <c r="X24" i="53"/>
  <c r="R24" i="53"/>
  <c r="V24" i="53" s="1"/>
  <c r="P24" i="53"/>
  <c r="AD23" i="53"/>
  <c r="X23" i="53"/>
  <c r="R23" i="53"/>
  <c r="V23" i="53" s="1"/>
  <c r="AB23" i="53" s="1"/>
  <c r="P23" i="53"/>
  <c r="AD22" i="53"/>
  <c r="X22" i="53"/>
  <c r="R22" i="53"/>
  <c r="V22" i="53" s="1"/>
  <c r="P22" i="53"/>
  <c r="AD21" i="53"/>
  <c r="X21" i="53"/>
  <c r="R21" i="53"/>
  <c r="V21" i="53" s="1"/>
  <c r="P21" i="53"/>
  <c r="AD20" i="53"/>
  <c r="X20" i="53"/>
  <c r="R20" i="53"/>
  <c r="V20" i="53" s="1"/>
  <c r="AB20" i="53" s="1"/>
  <c r="P20" i="53"/>
  <c r="AD19" i="53"/>
  <c r="X19" i="53"/>
  <c r="R19" i="53"/>
  <c r="V19" i="53" s="1"/>
  <c r="P19" i="53"/>
  <c r="AD18" i="53"/>
  <c r="X18" i="53"/>
  <c r="R18" i="53"/>
  <c r="V18" i="53" s="1"/>
  <c r="P18" i="53"/>
  <c r="AD17" i="53"/>
  <c r="X17" i="53"/>
  <c r="R17" i="53"/>
  <c r="T17" i="53" s="1"/>
  <c r="AT17" i="53" s="1"/>
  <c r="AU17" i="53" s="1"/>
  <c r="AV17" i="53" s="1"/>
  <c r="P17" i="53"/>
  <c r="AD16" i="53"/>
  <c r="X16" i="53"/>
  <c r="R16" i="53"/>
  <c r="V16" i="53" s="1"/>
  <c r="P16" i="53"/>
  <c r="AD15" i="53"/>
  <c r="X15" i="53"/>
  <c r="R15" i="53"/>
  <c r="T15" i="53" s="1"/>
  <c r="AT15" i="53" s="1"/>
  <c r="AU15" i="53" s="1"/>
  <c r="AV15" i="53" s="1"/>
  <c r="P15" i="53"/>
  <c r="AD14" i="53"/>
  <c r="X14" i="53"/>
  <c r="R14" i="53"/>
  <c r="V14" i="53" s="1"/>
  <c r="AB14" i="53" s="1"/>
  <c r="P14" i="53"/>
  <c r="W13" i="53"/>
  <c r="P13" i="53"/>
  <c r="P33" i="52"/>
  <c r="R33" i="52"/>
  <c r="S33" i="52" s="1"/>
  <c r="X33" i="52"/>
  <c r="AD33" i="52"/>
  <c r="P34" i="52"/>
  <c r="R34" i="52"/>
  <c r="S34" i="52" s="1"/>
  <c r="X34" i="52"/>
  <c r="AD34" i="52"/>
  <c r="P35" i="52"/>
  <c r="R35" i="52"/>
  <c r="T35" i="52" s="1"/>
  <c r="AQ35" i="52" s="1"/>
  <c r="AR35" i="52" s="1"/>
  <c r="AS35" i="52" s="1"/>
  <c r="X35" i="52"/>
  <c r="AD35" i="52"/>
  <c r="P36" i="52"/>
  <c r="R36" i="52"/>
  <c r="S36" i="52" s="1"/>
  <c r="X36" i="52"/>
  <c r="AD36" i="52"/>
  <c r="AD32" i="52"/>
  <c r="X32" i="52"/>
  <c r="R32" i="52"/>
  <c r="U32" i="52" s="1"/>
  <c r="P32" i="52"/>
  <c r="AD31" i="52"/>
  <c r="X31" i="52"/>
  <c r="R31" i="52"/>
  <c r="V31" i="52" s="1"/>
  <c r="P31" i="52"/>
  <c r="AD30" i="52"/>
  <c r="X30" i="52"/>
  <c r="R30" i="52"/>
  <c r="V30" i="52" s="1"/>
  <c r="P30" i="52"/>
  <c r="AD29" i="52"/>
  <c r="X29" i="52"/>
  <c r="R29" i="52"/>
  <c r="V29" i="52" s="1"/>
  <c r="P29" i="52"/>
  <c r="AD28" i="52"/>
  <c r="X28" i="52"/>
  <c r="R28" i="52"/>
  <c r="V28" i="52" s="1"/>
  <c r="AB28" i="52" s="1"/>
  <c r="P28" i="52"/>
  <c r="AD27" i="52"/>
  <c r="X27" i="52"/>
  <c r="R27" i="52"/>
  <c r="V27" i="52" s="1"/>
  <c r="P27" i="52"/>
  <c r="AD26" i="52"/>
  <c r="X26" i="52"/>
  <c r="R26" i="52"/>
  <c r="V26" i="52" s="1"/>
  <c r="P26" i="52"/>
  <c r="AD25" i="52"/>
  <c r="X25" i="52"/>
  <c r="R25" i="52"/>
  <c r="V25" i="52" s="1"/>
  <c r="P25" i="52"/>
  <c r="AD24" i="52"/>
  <c r="X24" i="52"/>
  <c r="R24" i="52"/>
  <c r="V24" i="52" s="1"/>
  <c r="P24" i="52"/>
  <c r="AD23" i="52"/>
  <c r="X23" i="52"/>
  <c r="R23" i="52"/>
  <c r="V23" i="52" s="1"/>
  <c r="P23" i="52"/>
  <c r="AD22" i="52"/>
  <c r="X22" i="52"/>
  <c r="R22" i="52"/>
  <c r="V22" i="52" s="1"/>
  <c r="AB22" i="52" s="1"/>
  <c r="P22" i="52"/>
  <c r="AD21" i="52"/>
  <c r="X21" i="52"/>
  <c r="R21" i="52"/>
  <c r="V21" i="52" s="1"/>
  <c r="P21" i="52"/>
  <c r="AD20" i="52"/>
  <c r="X20" i="52"/>
  <c r="R20" i="52"/>
  <c r="V20" i="52" s="1"/>
  <c r="AB20" i="52" s="1"/>
  <c r="P20" i="52"/>
  <c r="AD19" i="52"/>
  <c r="X19" i="52"/>
  <c r="R19" i="52"/>
  <c r="V19" i="52" s="1"/>
  <c r="P19" i="52"/>
  <c r="AD18" i="52"/>
  <c r="X18" i="52"/>
  <c r="R18" i="52"/>
  <c r="U18" i="52" s="1"/>
  <c r="P18" i="52"/>
  <c r="AD17" i="52"/>
  <c r="X17" i="52"/>
  <c r="R17" i="52"/>
  <c r="S17" i="52" s="1"/>
  <c r="P17" i="52"/>
  <c r="AD16" i="52"/>
  <c r="X16" i="52"/>
  <c r="R16" i="52"/>
  <c r="U16" i="52" s="1"/>
  <c r="P16" i="52"/>
  <c r="AD15" i="52"/>
  <c r="X15" i="52"/>
  <c r="R15" i="52"/>
  <c r="S15" i="52" s="1"/>
  <c r="P15" i="52"/>
  <c r="AD14" i="52"/>
  <c r="X14" i="52"/>
  <c r="R14" i="52"/>
  <c r="U14" i="52" s="1"/>
  <c r="P14" i="52"/>
  <c r="X13" i="52"/>
  <c r="Z13" i="52" s="1"/>
  <c r="W13" i="52"/>
  <c r="P13" i="52"/>
  <c r="AD33" i="51"/>
  <c r="X33" i="51"/>
  <c r="R33" i="51"/>
  <c r="V33" i="51" s="1"/>
  <c r="P33" i="51"/>
  <c r="AD32" i="51"/>
  <c r="X32" i="51"/>
  <c r="R32" i="51"/>
  <c r="V32" i="51" s="1"/>
  <c r="P32" i="51"/>
  <c r="AD31" i="51"/>
  <c r="X31" i="51"/>
  <c r="R31" i="51"/>
  <c r="V31" i="51" s="1"/>
  <c r="P31" i="51"/>
  <c r="AD30" i="51"/>
  <c r="X30" i="51"/>
  <c r="R30" i="51"/>
  <c r="S30" i="51" s="1"/>
  <c r="P30" i="51"/>
  <c r="AD29" i="51"/>
  <c r="X29" i="51"/>
  <c r="R29" i="51"/>
  <c r="V29" i="51" s="1"/>
  <c r="P29" i="51"/>
  <c r="AD28" i="51"/>
  <c r="X28" i="51"/>
  <c r="R28" i="51"/>
  <c r="S28" i="51" s="1"/>
  <c r="P28" i="51"/>
  <c r="AD27" i="51"/>
  <c r="X27" i="51"/>
  <c r="R27" i="51"/>
  <c r="V27" i="51" s="1"/>
  <c r="P27" i="51"/>
  <c r="AD26" i="51"/>
  <c r="X26" i="51"/>
  <c r="R26" i="51"/>
  <c r="V26" i="51" s="1"/>
  <c r="P26" i="51"/>
  <c r="AD25" i="51"/>
  <c r="X25" i="51"/>
  <c r="R25" i="51"/>
  <c r="V25" i="51" s="1"/>
  <c r="P25" i="51"/>
  <c r="AD24" i="51"/>
  <c r="X24" i="51"/>
  <c r="R24" i="51"/>
  <c r="V24" i="51" s="1"/>
  <c r="P24" i="51"/>
  <c r="AD23" i="51"/>
  <c r="X23" i="51"/>
  <c r="R23" i="51"/>
  <c r="V23" i="51" s="1"/>
  <c r="P23" i="51"/>
  <c r="AD22" i="51"/>
  <c r="X22" i="51"/>
  <c r="R22" i="51"/>
  <c r="V22" i="51" s="1"/>
  <c r="P22" i="51"/>
  <c r="AD21" i="51"/>
  <c r="X21" i="51"/>
  <c r="R21" i="51"/>
  <c r="V21" i="51" s="1"/>
  <c r="P21" i="51"/>
  <c r="AD20" i="51"/>
  <c r="X20" i="51"/>
  <c r="R20" i="51"/>
  <c r="V20" i="51" s="1"/>
  <c r="P20" i="51"/>
  <c r="AD18" i="51"/>
  <c r="X18" i="51"/>
  <c r="R18" i="51"/>
  <c r="V18" i="51" s="1"/>
  <c r="P18" i="51"/>
  <c r="AD17" i="51"/>
  <c r="X17" i="51"/>
  <c r="R17" i="51"/>
  <c r="S17" i="51" s="1"/>
  <c r="P17" i="51"/>
  <c r="AD16" i="51"/>
  <c r="X16" i="51"/>
  <c r="R16" i="51"/>
  <c r="V16" i="51" s="1"/>
  <c r="P16" i="51"/>
  <c r="AD15" i="51"/>
  <c r="X15" i="51"/>
  <c r="R15" i="51"/>
  <c r="V15" i="51" s="1"/>
  <c r="P15" i="51"/>
  <c r="AD14" i="51"/>
  <c r="X14" i="51"/>
  <c r="R14" i="51"/>
  <c r="V14" i="51" s="1"/>
  <c r="P14" i="51"/>
  <c r="W13" i="51"/>
  <c r="P13" i="51"/>
  <c r="Q13" i="51" s="1"/>
  <c r="P36" i="50"/>
  <c r="R36" i="50"/>
  <c r="U36" i="50" s="1"/>
  <c r="X36" i="50"/>
  <c r="AD36" i="50"/>
  <c r="P37" i="50"/>
  <c r="R37" i="50"/>
  <c r="S37" i="50" s="1"/>
  <c r="X37" i="50"/>
  <c r="AD37" i="50"/>
  <c r="AD35" i="50"/>
  <c r="X35" i="50"/>
  <c r="R35" i="50"/>
  <c r="U35" i="50" s="1"/>
  <c r="P35" i="50"/>
  <c r="AD34" i="50"/>
  <c r="X34" i="50"/>
  <c r="R34" i="50"/>
  <c r="V34" i="50" s="1"/>
  <c r="P34" i="50"/>
  <c r="AD33" i="50"/>
  <c r="X33" i="50"/>
  <c r="R33" i="50"/>
  <c r="V33" i="50" s="1"/>
  <c r="P33" i="50"/>
  <c r="AD32" i="50"/>
  <c r="X32" i="50"/>
  <c r="R32" i="50"/>
  <c r="V32" i="50" s="1"/>
  <c r="P32" i="50"/>
  <c r="AD31" i="50"/>
  <c r="X31" i="50"/>
  <c r="R31" i="50"/>
  <c r="V31" i="50" s="1"/>
  <c r="P31" i="50"/>
  <c r="AD30" i="50"/>
  <c r="X30" i="50"/>
  <c r="R30" i="50"/>
  <c r="V30" i="50" s="1"/>
  <c r="P30" i="50"/>
  <c r="AD29" i="50"/>
  <c r="X29" i="50"/>
  <c r="R29" i="50"/>
  <c r="V29" i="50" s="1"/>
  <c r="P29" i="50"/>
  <c r="AD28" i="50"/>
  <c r="X28" i="50"/>
  <c r="R28" i="50"/>
  <c r="V28" i="50" s="1"/>
  <c r="P28" i="50"/>
  <c r="AD27" i="50"/>
  <c r="X27" i="50"/>
  <c r="R27" i="50"/>
  <c r="V27" i="50" s="1"/>
  <c r="P27" i="50"/>
  <c r="AD26" i="50"/>
  <c r="X26" i="50"/>
  <c r="R26" i="50"/>
  <c r="V26" i="50" s="1"/>
  <c r="P26" i="50"/>
  <c r="AD25" i="50"/>
  <c r="X25" i="50"/>
  <c r="R25" i="50"/>
  <c r="V25" i="50" s="1"/>
  <c r="AB25" i="50" s="1"/>
  <c r="P25" i="50"/>
  <c r="AD24" i="50"/>
  <c r="X24" i="50"/>
  <c r="R24" i="50"/>
  <c r="V24" i="50" s="1"/>
  <c r="P24" i="50"/>
  <c r="AD23" i="50"/>
  <c r="X23" i="50"/>
  <c r="R23" i="50"/>
  <c r="V23" i="50" s="1"/>
  <c r="P23" i="50"/>
  <c r="AD22" i="50"/>
  <c r="X22" i="50"/>
  <c r="R22" i="50"/>
  <c r="V22" i="50" s="1"/>
  <c r="AB22" i="50" s="1"/>
  <c r="P22" i="50"/>
  <c r="AD20" i="50"/>
  <c r="X20" i="50"/>
  <c r="R20" i="50"/>
  <c r="V20" i="50" s="1"/>
  <c r="P20" i="50"/>
  <c r="AD19" i="50"/>
  <c r="X19" i="50"/>
  <c r="S19" i="50"/>
  <c r="R19" i="50"/>
  <c r="U19" i="50" s="1"/>
  <c r="P19" i="50"/>
  <c r="AD18" i="50"/>
  <c r="X18" i="50"/>
  <c r="R18" i="50"/>
  <c r="V18" i="50" s="1"/>
  <c r="P18" i="50"/>
  <c r="AD17" i="50"/>
  <c r="X17" i="50"/>
  <c r="R17" i="50"/>
  <c r="U17" i="50" s="1"/>
  <c r="P17" i="50"/>
  <c r="AD16" i="50"/>
  <c r="X16" i="50"/>
  <c r="R16" i="50"/>
  <c r="V16" i="50" s="1"/>
  <c r="P16" i="50"/>
  <c r="AD15" i="50"/>
  <c r="X15" i="50"/>
  <c r="R15" i="50"/>
  <c r="U15" i="50" s="1"/>
  <c r="P15" i="50"/>
  <c r="AD14" i="50"/>
  <c r="X14" i="50"/>
  <c r="R14" i="50"/>
  <c r="U14" i="50" s="1"/>
  <c r="P14" i="50"/>
  <c r="W13" i="50"/>
  <c r="P13" i="50"/>
  <c r="P32" i="49"/>
  <c r="R32" i="49"/>
  <c r="S32" i="49" s="1"/>
  <c r="X32" i="49"/>
  <c r="AD32" i="49"/>
  <c r="P33" i="49"/>
  <c r="R33" i="49"/>
  <c r="S33" i="49" s="1"/>
  <c r="X33" i="49"/>
  <c r="AD33" i="49"/>
  <c r="P34" i="49"/>
  <c r="R34" i="49"/>
  <c r="T34" i="49" s="1"/>
  <c r="AQ34" i="49" s="1"/>
  <c r="AR34" i="49" s="1"/>
  <c r="AS34" i="49" s="1"/>
  <c r="X34" i="49"/>
  <c r="AD34" i="49"/>
  <c r="P35" i="49"/>
  <c r="R35" i="49"/>
  <c r="V35" i="49" s="1"/>
  <c r="X35" i="49"/>
  <c r="AD35" i="49"/>
  <c r="AD31" i="49"/>
  <c r="X31" i="49"/>
  <c r="R31" i="49"/>
  <c r="V31" i="49" s="1"/>
  <c r="P31" i="49"/>
  <c r="AD30" i="49"/>
  <c r="X30" i="49"/>
  <c r="R30" i="49"/>
  <c r="V30" i="49" s="1"/>
  <c r="P30" i="49"/>
  <c r="AD29" i="49"/>
  <c r="X29" i="49"/>
  <c r="R29" i="49"/>
  <c r="V29" i="49" s="1"/>
  <c r="P29" i="49"/>
  <c r="AD28" i="49"/>
  <c r="X28" i="49"/>
  <c r="R28" i="49"/>
  <c r="V28" i="49" s="1"/>
  <c r="AB28" i="49" s="1"/>
  <c r="P28" i="49"/>
  <c r="AD27" i="49"/>
  <c r="X27" i="49"/>
  <c r="R27" i="49"/>
  <c r="V27" i="49" s="1"/>
  <c r="P27" i="49"/>
  <c r="AD26" i="49"/>
  <c r="X26" i="49"/>
  <c r="R26" i="49"/>
  <c r="V26" i="49" s="1"/>
  <c r="P26" i="49"/>
  <c r="AD25" i="49"/>
  <c r="X25" i="49"/>
  <c r="R25" i="49"/>
  <c r="V25" i="49" s="1"/>
  <c r="P25" i="49"/>
  <c r="AD24" i="49"/>
  <c r="X24" i="49"/>
  <c r="R24" i="49"/>
  <c r="U24" i="49" s="1"/>
  <c r="P24" i="49"/>
  <c r="AD23" i="49"/>
  <c r="X23" i="49"/>
  <c r="R23" i="49"/>
  <c r="U23" i="49" s="1"/>
  <c r="P23" i="49"/>
  <c r="AD22" i="49"/>
  <c r="X22" i="49"/>
  <c r="R22" i="49"/>
  <c r="U22" i="49" s="1"/>
  <c r="P22" i="49"/>
  <c r="AD21" i="49"/>
  <c r="X21" i="49"/>
  <c r="T21" i="49"/>
  <c r="AT21" i="49" s="1"/>
  <c r="AU21" i="49" s="1"/>
  <c r="AV21" i="49" s="1"/>
  <c r="R21" i="49"/>
  <c r="S21" i="49" s="1"/>
  <c r="P21" i="49"/>
  <c r="AD19" i="49"/>
  <c r="X19" i="49"/>
  <c r="R19" i="49"/>
  <c r="V19" i="49" s="1"/>
  <c r="P19" i="49"/>
  <c r="AD18" i="49"/>
  <c r="X18" i="49"/>
  <c r="R18" i="49"/>
  <c r="V18" i="49" s="1"/>
  <c r="P18" i="49"/>
  <c r="AD17" i="49"/>
  <c r="X17" i="49"/>
  <c r="R17" i="49"/>
  <c r="S17" i="49" s="1"/>
  <c r="P17" i="49"/>
  <c r="AD16" i="49"/>
  <c r="X16" i="49"/>
  <c r="R16" i="49"/>
  <c r="V16" i="49" s="1"/>
  <c r="P16" i="49"/>
  <c r="AD15" i="49"/>
  <c r="X15" i="49"/>
  <c r="R15" i="49"/>
  <c r="S15" i="49" s="1"/>
  <c r="P15" i="49"/>
  <c r="AD14" i="49"/>
  <c r="X14" i="49"/>
  <c r="R14" i="49"/>
  <c r="V14" i="49" s="1"/>
  <c r="P14" i="49"/>
  <c r="W13" i="49"/>
  <c r="P13" i="49"/>
  <c r="AD32" i="48"/>
  <c r="X32" i="48"/>
  <c r="R32" i="48"/>
  <c r="U32" i="48" s="1"/>
  <c r="P32" i="48"/>
  <c r="AD31" i="48"/>
  <c r="X31" i="48"/>
  <c r="R31" i="48"/>
  <c r="V31" i="48" s="1"/>
  <c r="P31" i="48"/>
  <c r="AD30" i="48"/>
  <c r="X30" i="48"/>
  <c r="R30" i="48"/>
  <c r="V30" i="48" s="1"/>
  <c r="P30" i="48"/>
  <c r="AD29" i="48"/>
  <c r="X29" i="48"/>
  <c r="R29" i="48"/>
  <c r="V29" i="48" s="1"/>
  <c r="P29" i="48"/>
  <c r="AD28" i="48"/>
  <c r="X28" i="48"/>
  <c r="R28" i="48"/>
  <c r="V28" i="48" s="1"/>
  <c r="P28" i="48"/>
  <c r="AD27" i="48"/>
  <c r="X27" i="48"/>
  <c r="R27" i="48"/>
  <c r="V27" i="48" s="1"/>
  <c r="P27" i="48"/>
  <c r="AD26" i="48"/>
  <c r="X26" i="48"/>
  <c r="R26" i="48"/>
  <c r="U26" i="48" s="1"/>
  <c r="P26" i="48"/>
  <c r="AD25" i="48"/>
  <c r="X25" i="48"/>
  <c r="R25" i="48"/>
  <c r="S25" i="48" s="1"/>
  <c r="P25" i="48"/>
  <c r="AD24" i="48"/>
  <c r="X24" i="48"/>
  <c r="R24" i="48"/>
  <c r="U24" i="48" s="1"/>
  <c r="P24" i="48"/>
  <c r="AD23" i="48"/>
  <c r="X23" i="48"/>
  <c r="R23" i="48"/>
  <c r="S23" i="48" s="1"/>
  <c r="P23" i="48"/>
  <c r="AD22" i="48"/>
  <c r="X22" i="48"/>
  <c r="R22" i="48"/>
  <c r="U22" i="48" s="1"/>
  <c r="P22" i="48"/>
  <c r="AD21" i="48"/>
  <c r="X21" i="48"/>
  <c r="R21" i="48"/>
  <c r="S21" i="48" s="1"/>
  <c r="P21" i="48"/>
  <c r="AD19" i="48"/>
  <c r="X19" i="48"/>
  <c r="R19" i="48"/>
  <c r="U19" i="48" s="1"/>
  <c r="P19" i="48"/>
  <c r="AD18" i="48"/>
  <c r="X18" i="48"/>
  <c r="R18" i="48"/>
  <c r="V18" i="48" s="1"/>
  <c r="P18" i="48"/>
  <c r="AD17" i="48"/>
  <c r="X17" i="48"/>
  <c r="R17" i="48"/>
  <c r="U17" i="48" s="1"/>
  <c r="P17" i="48"/>
  <c r="AD16" i="48"/>
  <c r="X16" i="48"/>
  <c r="R16" i="48"/>
  <c r="V16" i="48" s="1"/>
  <c r="P16" i="48"/>
  <c r="AD15" i="48"/>
  <c r="X15" i="48"/>
  <c r="R15" i="48"/>
  <c r="U15" i="48" s="1"/>
  <c r="P15" i="48"/>
  <c r="AD14" i="48"/>
  <c r="X14" i="48"/>
  <c r="R14" i="48"/>
  <c r="V14" i="48" s="1"/>
  <c r="AB14" i="48" s="1"/>
  <c r="P14" i="48"/>
  <c r="W13" i="48"/>
  <c r="P13" i="48"/>
  <c r="Q13" i="48" s="1"/>
  <c r="AD32" i="47"/>
  <c r="X32" i="47"/>
  <c r="R32" i="47"/>
  <c r="V32" i="47" s="1"/>
  <c r="AB32" i="47" s="1"/>
  <c r="P32" i="47"/>
  <c r="AD31" i="47"/>
  <c r="X31" i="47"/>
  <c r="R31" i="47"/>
  <c r="V31" i="47" s="1"/>
  <c r="P31" i="47"/>
  <c r="AD30" i="47"/>
  <c r="X30" i="47"/>
  <c r="R30" i="47"/>
  <c r="V30" i="47" s="1"/>
  <c r="P30" i="47"/>
  <c r="AD29" i="47"/>
  <c r="X29" i="47"/>
  <c r="R29" i="47"/>
  <c r="V29" i="47" s="1"/>
  <c r="AB29" i="47" s="1"/>
  <c r="P29" i="47"/>
  <c r="AD28" i="47"/>
  <c r="X28" i="47"/>
  <c r="R28" i="47"/>
  <c r="V28" i="47" s="1"/>
  <c r="P28" i="47"/>
  <c r="AD27" i="47"/>
  <c r="X27" i="47"/>
  <c r="R27" i="47"/>
  <c r="V27" i="47" s="1"/>
  <c r="P27" i="47"/>
  <c r="AD26" i="47"/>
  <c r="X26" i="47"/>
  <c r="R26" i="47"/>
  <c r="V26" i="47" s="1"/>
  <c r="P26" i="47"/>
  <c r="AD25" i="47"/>
  <c r="X25" i="47"/>
  <c r="R25" i="47"/>
  <c r="V25" i="47" s="1"/>
  <c r="P25" i="47"/>
  <c r="AD24" i="47"/>
  <c r="X24" i="47"/>
  <c r="R24" i="47"/>
  <c r="V24" i="47" s="1"/>
  <c r="P24" i="47"/>
  <c r="AD23" i="47"/>
  <c r="X23" i="47"/>
  <c r="R23" i="47"/>
  <c r="V23" i="47" s="1"/>
  <c r="AB23" i="47" s="1"/>
  <c r="P23" i="47"/>
  <c r="AD22" i="47"/>
  <c r="X22" i="47"/>
  <c r="R22" i="47"/>
  <c r="V22" i="47" s="1"/>
  <c r="P22" i="47"/>
  <c r="AD21" i="47"/>
  <c r="X21" i="47"/>
  <c r="R21" i="47"/>
  <c r="V21" i="47" s="1"/>
  <c r="P21" i="47"/>
  <c r="AD19" i="47"/>
  <c r="X19" i="47"/>
  <c r="R19" i="47"/>
  <c r="V19" i="47" s="1"/>
  <c r="AB19" i="47" s="1"/>
  <c r="P19" i="47"/>
  <c r="AD18" i="47"/>
  <c r="X18" i="47"/>
  <c r="R18" i="47"/>
  <c r="V18" i="47" s="1"/>
  <c r="P18" i="47"/>
  <c r="AD17" i="47"/>
  <c r="X17" i="47"/>
  <c r="R17" i="47"/>
  <c r="V17" i="47" s="1"/>
  <c r="P17" i="47"/>
  <c r="AD16" i="47"/>
  <c r="X16" i="47"/>
  <c r="R16" i="47"/>
  <c r="V16" i="47" s="1"/>
  <c r="P16" i="47"/>
  <c r="AD15" i="47"/>
  <c r="X15" i="47"/>
  <c r="R15" i="47"/>
  <c r="V15" i="47" s="1"/>
  <c r="P15" i="47"/>
  <c r="AD14" i="47"/>
  <c r="X14" i="47"/>
  <c r="R14" i="47"/>
  <c r="V14" i="47" s="1"/>
  <c r="P14" i="47"/>
  <c r="X13" i="47"/>
  <c r="AD13" i="47" s="1"/>
  <c r="W13" i="47"/>
  <c r="P13" i="47"/>
  <c r="Q13" i="47" s="1"/>
  <c r="AD36" i="46"/>
  <c r="X36" i="46"/>
  <c r="R36" i="46"/>
  <c r="V36" i="46" s="1"/>
  <c r="P36" i="46"/>
  <c r="AD35" i="46"/>
  <c r="X35" i="46"/>
  <c r="R35" i="46"/>
  <c r="V35" i="46" s="1"/>
  <c r="P35" i="46"/>
  <c r="AD34" i="46"/>
  <c r="X34" i="46"/>
  <c r="R34" i="46"/>
  <c r="V34" i="46" s="1"/>
  <c r="P34" i="46"/>
  <c r="AD33" i="46"/>
  <c r="X33" i="46"/>
  <c r="R33" i="46"/>
  <c r="V33" i="46" s="1"/>
  <c r="P33" i="46"/>
  <c r="AD32" i="46"/>
  <c r="X32" i="46"/>
  <c r="R32" i="46"/>
  <c r="V32" i="46" s="1"/>
  <c r="P32" i="46"/>
  <c r="AD31" i="46"/>
  <c r="X31" i="46"/>
  <c r="R31" i="46"/>
  <c r="V31" i="46" s="1"/>
  <c r="P31" i="46"/>
  <c r="AD30" i="46"/>
  <c r="X30" i="46"/>
  <c r="R30" i="46"/>
  <c r="V30" i="46" s="1"/>
  <c r="P30" i="46"/>
  <c r="AD29" i="46"/>
  <c r="X29" i="46"/>
  <c r="R29" i="46"/>
  <c r="V29" i="46" s="1"/>
  <c r="P29" i="46"/>
  <c r="AD28" i="46"/>
  <c r="X28" i="46"/>
  <c r="R28" i="46"/>
  <c r="V28" i="46" s="1"/>
  <c r="P28" i="46"/>
  <c r="AD27" i="46"/>
  <c r="X27" i="46"/>
  <c r="R27" i="46"/>
  <c r="V27" i="46" s="1"/>
  <c r="P27" i="46"/>
  <c r="AD26" i="46"/>
  <c r="X26" i="46"/>
  <c r="R26" i="46"/>
  <c r="V26" i="46" s="1"/>
  <c r="P26" i="46"/>
  <c r="AD25" i="46"/>
  <c r="X25" i="46"/>
  <c r="R25" i="46"/>
  <c r="V25" i="46" s="1"/>
  <c r="AB25" i="46" s="1"/>
  <c r="P25" i="46"/>
  <c r="AD24" i="46"/>
  <c r="X24" i="46"/>
  <c r="R24" i="46"/>
  <c r="V24" i="46" s="1"/>
  <c r="P24" i="46"/>
  <c r="AD23" i="46"/>
  <c r="X23" i="46"/>
  <c r="R23" i="46"/>
  <c r="V23" i="46" s="1"/>
  <c r="P23" i="46"/>
  <c r="AD22" i="46"/>
  <c r="X22" i="46"/>
  <c r="R22" i="46"/>
  <c r="V22" i="46" s="1"/>
  <c r="AB22" i="46" s="1"/>
  <c r="P22" i="46"/>
  <c r="AD20" i="46"/>
  <c r="X20" i="46"/>
  <c r="R20" i="46"/>
  <c r="V20" i="46" s="1"/>
  <c r="P20" i="46"/>
  <c r="AD19" i="46"/>
  <c r="X19" i="46"/>
  <c r="R19" i="46"/>
  <c r="V19" i="46" s="1"/>
  <c r="P19" i="46"/>
  <c r="AD18" i="46"/>
  <c r="X18" i="46"/>
  <c r="R18" i="46"/>
  <c r="V18" i="46" s="1"/>
  <c r="P18" i="46"/>
  <c r="AD17" i="46"/>
  <c r="X17" i="46"/>
  <c r="R17" i="46"/>
  <c r="V17" i="46" s="1"/>
  <c r="P17" i="46"/>
  <c r="AD16" i="46"/>
  <c r="X16" i="46"/>
  <c r="R16" i="46"/>
  <c r="V16" i="46" s="1"/>
  <c r="P16" i="46"/>
  <c r="AD15" i="46"/>
  <c r="X15" i="46"/>
  <c r="R15" i="46"/>
  <c r="V15" i="46" s="1"/>
  <c r="AB15" i="46" s="1"/>
  <c r="P15" i="46"/>
  <c r="AD14" i="46"/>
  <c r="X14" i="46"/>
  <c r="R14" i="46"/>
  <c r="V14" i="46" s="1"/>
  <c r="P14" i="46"/>
  <c r="W13" i="46"/>
  <c r="P13" i="46"/>
  <c r="Q13" i="46" s="1"/>
  <c r="AD36" i="45"/>
  <c r="X36" i="45"/>
  <c r="R36" i="45"/>
  <c r="V36" i="45" s="1"/>
  <c r="P36" i="45"/>
  <c r="AD35" i="45"/>
  <c r="X35" i="45"/>
  <c r="R35" i="45"/>
  <c r="V35" i="45" s="1"/>
  <c r="P35" i="45"/>
  <c r="AD34" i="45"/>
  <c r="X34" i="45"/>
  <c r="R34" i="45"/>
  <c r="V34" i="45" s="1"/>
  <c r="P34" i="45"/>
  <c r="AD33" i="45"/>
  <c r="X33" i="45"/>
  <c r="R33" i="45"/>
  <c r="V33" i="45" s="1"/>
  <c r="P33" i="45"/>
  <c r="AD32" i="45"/>
  <c r="X32" i="45"/>
  <c r="R32" i="45"/>
  <c r="V32" i="45" s="1"/>
  <c r="P32" i="45"/>
  <c r="AD31" i="45"/>
  <c r="X31" i="45"/>
  <c r="R31" i="45"/>
  <c r="V31" i="45" s="1"/>
  <c r="P31" i="45"/>
  <c r="AD30" i="45"/>
  <c r="X30" i="45"/>
  <c r="R30" i="45"/>
  <c r="V30" i="45" s="1"/>
  <c r="P30" i="45"/>
  <c r="AD29" i="45"/>
  <c r="X29" i="45"/>
  <c r="R29" i="45"/>
  <c r="V29" i="45" s="1"/>
  <c r="P29" i="45"/>
  <c r="AD28" i="45"/>
  <c r="X28" i="45"/>
  <c r="R28" i="45"/>
  <c r="V28" i="45" s="1"/>
  <c r="P28" i="45"/>
  <c r="AD27" i="45"/>
  <c r="X27" i="45"/>
  <c r="R27" i="45"/>
  <c r="V27" i="45" s="1"/>
  <c r="P27" i="45"/>
  <c r="AD26" i="45"/>
  <c r="X26" i="45"/>
  <c r="R26" i="45"/>
  <c r="V26" i="45" s="1"/>
  <c r="P26" i="45"/>
  <c r="AD25" i="45"/>
  <c r="X25" i="45"/>
  <c r="R25" i="45"/>
  <c r="V25" i="45" s="1"/>
  <c r="P25" i="45"/>
  <c r="AD24" i="45"/>
  <c r="X24" i="45"/>
  <c r="R24" i="45"/>
  <c r="V24" i="45" s="1"/>
  <c r="P24" i="45"/>
  <c r="AD23" i="45"/>
  <c r="X23" i="45"/>
  <c r="R23" i="45"/>
  <c r="V23" i="45" s="1"/>
  <c r="AB23" i="45" s="1"/>
  <c r="P23" i="45"/>
  <c r="AD22" i="45"/>
  <c r="X22" i="45"/>
  <c r="R22" i="45"/>
  <c r="V22" i="45" s="1"/>
  <c r="P22" i="45"/>
  <c r="R20" i="45"/>
  <c r="P20" i="45"/>
  <c r="AD19" i="45"/>
  <c r="X19" i="45"/>
  <c r="R19" i="45"/>
  <c r="V19" i="45" s="1"/>
  <c r="P19" i="45"/>
  <c r="AD18" i="45"/>
  <c r="X18" i="45"/>
  <c r="R18" i="45"/>
  <c r="V18" i="45" s="1"/>
  <c r="P18" i="45"/>
  <c r="AD17" i="45"/>
  <c r="X17" i="45"/>
  <c r="R17" i="45"/>
  <c r="V17" i="45" s="1"/>
  <c r="P17" i="45"/>
  <c r="AD16" i="45"/>
  <c r="X16" i="45"/>
  <c r="R16" i="45"/>
  <c r="V16" i="45" s="1"/>
  <c r="P16" i="45"/>
  <c r="AD15" i="45"/>
  <c r="X15" i="45"/>
  <c r="R15" i="45"/>
  <c r="V15" i="45" s="1"/>
  <c r="P15" i="45"/>
  <c r="AD14" i="45"/>
  <c r="X14" i="45"/>
  <c r="R14" i="45"/>
  <c r="V14" i="45" s="1"/>
  <c r="P14" i="45"/>
  <c r="W13" i="45"/>
  <c r="P13" i="45"/>
  <c r="Q31" i="45" s="1"/>
  <c r="P36" i="44"/>
  <c r="R36" i="44"/>
  <c r="S36" i="44" s="1"/>
  <c r="X36" i="44"/>
  <c r="AD36" i="44"/>
  <c r="AD35" i="44"/>
  <c r="X35" i="44"/>
  <c r="R35" i="44"/>
  <c r="V35" i="44" s="1"/>
  <c r="P35" i="44"/>
  <c r="AD34" i="44"/>
  <c r="X34" i="44"/>
  <c r="R34" i="44"/>
  <c r="V34" i="44" s="1"/>
  <c r="P34" i="44"/>
  <c r="AD33" i="44"/>
  <c r="X33" i="44"/>
  <c r="R33" i="44"/>
  <c r="V33" i="44" s="1"/>
  <c r="P33" i="44"/>
  <c r="AD32" i="44"/>
  <c r="X32" i="44"/>
  <c r="R32" i="44"/>
  <c r="V32" i="44" s="1"/>
  <c r="AB32" i="44" s="1"/>
  <c r="P32" i="44"/>
  <c r="AD31" i="44"/>
  <c r="X31" i="44"/>
  <c r="R31" i="44"/>
  <c r="V31" i="44" s="1"/>
  <c r="P31" i="44"/>
  <c r="AD30" i="44"/>
  <c r="X30" i="44"/>
  <c r="R30" i="44"/>
  <c r="V30" i="44" s="1"/>
  <c r="P30" i="44"/>
  <c r="AD29" i="44"/>
  <c r="X29" i="44"/>
  <c r="R29" i="44"/>
  <c r="V29" i="44" s="1"/>
  <c r="P29" i="44"/>
  <c r="AD28" i="44"/>
  <c r="X28" i="44"/>
  <c r="R28" i="44"/>
  <c r="V28" i="44" s="1"/>
  <c r="P28" i="44"/>
  <c r="AD27" i="44"/>
  <c r="X27" i="44"/>
  <c r="R27" i="44"/>
  <c r="V27" i="44" s="1"/>
  <c r="P27" i="44"/>
  <c r="AD26" i="44"/>
  <c r="X26" i="44"/>
  <c r="R26" i="44"/>
  <c r="V26" i="44" s="1"/>
  <c r="P26" i="44"/>
  <c r="AD25" i="44"/>
  <c r="X25" i="44"/>
  <c r="R25" i="44"/>
  <c r="V25" i="44" s="1"/>
  <c r="P25" i="44"/>
  <c r="AD24" i="44"/>
  <c r="X24" i="44"/>
  <c r="R24" i="44"/>
  <c r="V24" i="44" s="1"/>
  <c r="P24" i="44"/>
  <c r="AD23" i="44"/>
  <c r="X23" i="44"/>
  <c r="R23" i="44"/>
  <c r="V23" i="44" s="1"/>
  <c r="P23" i="44"/>
  <c r="AD22" i="44"/>
  <c r="X22" i="44"/>
  <c r="R22" i="44"/>
  <c r="V22" i="44" s="1"/>
  <c r="P22" i="44"/>
  <c r="AD20" i="44"/>
  <c r="X20" i="44"/>
  <c r="R20" i="44"/>
  <c r="U20" i="44" s="1"/>
  <c r="P20" i="44"/>
  <c r="AD19" i="44"/>
  <c r="X19" i="44"/>
  <c r="R19" i="44"/>
  <c r="V19" i="44" s="1"/>
  <c r="P19" i="44"/>
  <c r="AD18" i="44"/>
  <c r="X18" i="44"/>
  <c r="R18" i="44"/>
  <c r="U18" i="44" s="1"/>
  <c r="P18" i="44"/>
  <c r="AD17" i="44"/>
  <c r="X17" i="44"/>
  <c r="R17" i="44"/>
  <c r="V17" i="44" s="1"/>
  <c r="P17" i="44"/>
  <c r="AD16" i="44"/>
  <c r="X16" i="44"/>
  <c r="R16" i="44"/>
  <c r="U16" i="44" s="1"/>
  <c r="P16" i="44"/>
  <c r="AD15" i="44"/>
  <c r="X15" i="44"/>
  <c r="R15" i="44"/>
  <c r="U15" i="44" s="1"/>
  <c r="P15" i="44"/>
  <c r="AD14" i="44"/>
  <c r="X14" i="44"/>
  <c r="R14" i="44"/>
  <c r="U14" i="44" s="1"/>
  <c r="P14" i="44"/>
  <c r="W13" i="44"/>
  <c r="P13" i="44"/>
  <c r="P34" i="43"/>
  <c r="R34" i="43"/>
  <c r="S34" i="43" s="1"/>
  <c r="X34" i="43"/>
  <c r="AD34" i="43"/>
  <c r="P35" i="43"/>
  <c r="R35" i="43"/>
  <c r="S35" i="43" s="1"/>
  <c r="X35" i="43"/>
  <c r="AD35" i="43"/>
  <c r="AD33" i="43"/>
  <c r="X33" i="43"/>
  <c r="R33" i="43"/>
  <c r="T33" i="43" s="1"/>
  <c r="AT33" i="43" s="1"/>
  <c r="AU33" i="43" s="1"/>
  <c r="AV33" i="43" s="1"/>
  <c r="P33" i="43"/>
  <c r="AD32" i="43"/>
  <c r="X32" i="43"/>
  <c r="R32" i="43"/>
  <c r="V32" i="43" s="1"/>
  <c r="P32" i="43"/>
  <c r="AD31" i="43"/>
  <c r="X31" i="43"/>
  <c r="R31" i="43"/>
  <c r="T31" i="43" s="1"/>
  <c r="AT31" i="43" s="1"/>
  <c r="AU31" i="43" s="1"/>
  <c r="AV31" i="43" s="1"/>
  <c r="P31" i="43"/>
  <c r="AD30" i="43"/>
  <c r="X30" i="43"/>
  <c r="R30" i="43"/>
  <c r="V30" i="43" s="1"/>
  <c r="P30" i="43"/>
  <c r="AD29" i="43"/>
  <c r="X29" i="43"/>
  <c r="R29" i="43"/>
  <c r="V29" i="43" s="1"/>
  <c r="P29" i="43"/>
  <c r="AD28" i="43"/>
  <c r="X28" i="43"/>
  <c r="R28" i="43"/>
  <c r="V28" i="43" s="1"/>
  <c r="P28" i="43"/>
  <c r="AD27" i="43"/>
  <c r="X27" i="43"/>
  <c r="R27" i="43"/>
  <c r="V27" i="43" s="1"/>
  <c r="P27" i="43"/>
  <c r="AD26" i="43"/>
  <c r="X26" i="43"/>
  <c r="R26" i="43"/>
  <c r="V26" i="43" s="1"/>
  <c r="P26" i="43"/>
  <c r="AD25" i="43"/>
  <c r="X25" i="43"/>
  <c r="R25" i="43"/>
  <c r="V25" i="43" s="1"/>
  <c r="P25" i="43"/>
  <c r="AD24" i="43"/>
  <c r="X24" i="43"/>
  <c r="R24" i="43"/>
  <c r="V24" i="43" s="1"/>
  <c r="P24" i="43"/>
  <c r="AD23" i="43"/>
  <c r="X23" i="43"/>
  <c r="R23" i="43"/>
  <c r="U23" i="43" s="1"/>
  <c r="P23" i="43"/>
  <c r="AD22" i="43"/>
  <c r="X22" i="43"/>
  <c r="R22" i="43"/>
  <c r="V22" i="43" s="1"/>
  <c r="P22" i="43"/>
  <c r="AD20" i="43"/>
  <c r="X20" i="43"/>
  <c r="R20" i="43"/>
  <c r="U20" i="43" s="1"/>
  <c r="P20" i="43"/>
  <c r="AD19" i="43"/>
  <c r="X19" i="43"/>
  <c r="V19" i="43"/>
  <c r="R19" i="43"/>
  <c r="U19" i="43" s="1"/>
  <c r="P19" i="43"/>
  <c r="AD18" i="43"/>
  <c r="X18" i="43"/>
  <c r="R18" i="43"/>
  <c r="U18" i="43" s="1"/>
  <c r="P18" i="43"/>
  <c r="AD17" i="43"/>
  <c r="X17" i="43"/>
  <c r="R17" i="43"/>
  <c r="U17" i="43" s="1"/>
  <c r="P17" i="43"/>
  <c r="AD16" i="43"/>
  <c r="X16" i="43"/>
  <c r="R16" i="43"/>
  <c r="U16" i="43" s="1"/>
  <c r="P16" i="43"/>
  <c r="AD15" i="43"/>
  <c r="X15" i="43"/>
  <c r="R15" i="43"/>
  <c r="U15" i="43" s="1"/>
  <c r="P15" i="43"/>
  <c r="AD14" i="43"/>
  <c r="X14" i="43"/>
  <c r="R14" i="43"/>
  <c r="S14" i="43" s="1"/>
  <c r="P14" i="43"/>
  <c r="W13" i="43"/>
  <c r="P13" i="43"/>
  <c r="Q13" i="43" s="1"/>
  <c r="AD32" i="42"/>
  <c r="X32" i="42"/>
  <c r="R32" i="42"/>
  <c r="S32" i="42" s="1"/>
  <c r="P32" i="42"/>
  <c r="AD31" i="42"/>
  <c r="X31" i="42"/>
  <c r="R31" i="42"/>
  <c r="V31" i="42" s="1"/>
  <c r="AB31" i="42" s="1"/>
  <c r="P31" i="42"/>
  <c r="AD30" i="42"/>
  <c r="X30" i="42"/>
  <c r="R30" i="42"/>
  <c r="V30" i="42" s="1"/>
  <c r="P30" i="42"/>
  <c r="AD29" i="42"/>
  <c r="X29" i="42"/>
  <c r="R29" i="42"/>
  <c r="V29" i="42" s="1"/>
  <c r="P29" i="42"/>
  <c r="AD28" i="42"/>
  <c r="X28" i="42"/>
  <c r="R28" i="42"/>
  <c r="S28" i="42" s="1"/>
  <c r="P28" i="42"/>
  <c r="AD27" i="42"/>
  <c r="X27" i="42"/>
  <c r="R27" i="42"/>
  <c r="V27" i="42" s="1"/>
  <c r="P27" i="42"/>
  <c r="AD26" i="42"/>
  <c r="X26" i="42"/>
  <c r="R26" i="42"/>
  <c r="V26" i="42" s="1"/>
  <c r="P26" i="42"/>
  <c r="AD25" i="42"/>
  <c r="X25" i="42"/>
  <c r="R25" i="42"/>
  <c r="V25" i="42" s="1"/>
  <c r="AB25" i="42" s="1"/>
  <c r="P25" i="42"/>
  <c r="AD24" i="42"/>
  <c r="X24" i="42"/>
  <c r="R24" i="42"/>
  <c r="V24" i="42" s="1"/>
  <c r="P24" i="42"/>
  <c r="AD23" i="42"/>
  <c r="X23" i="42"/>
  <c r="R23" i="42"/>
  <c r="V23" i="42" s="1"/>
  <c r="P23" i="42"/>
  <c r="AD22" i="42"/>
  <c r="X22" i="42"/>
  <c r="R22" i="42"/>
  <c r="V22" i="42" s="1"/>
  <c r="AB22" i="42" s="1"/>
  <c r="P22" i="42"/>
  <c r="AD21" i="42"/>
  <c r="X21" i="42"/>
  <c r="R21" i="42"/>
  <c r="V21" i="42" s="1"/>
  <c r="P21" i="42"/>
  <c r="AD20" i="42"/>
  <c r="X20" i="42"/>
  <c r="R20" i="42"/>
  <c r="V20" i="42" s="1"/>
  <c r="P20" i="42"/>
  <c r="AD19" i="42"/>
  <c r="X19" i="42"/>
  <c r="R19" i="42"/>
  <c r="V19" i="42" s="1"/>
  <c r="P19" i="42"/>
  <c r="AD18" i="42"/>
  <c r="X18" i="42"/>
  <c r="R18" i="42"/>
  <c r="V18" i="42" s="1"/>
  <c r="P18" i="42"/>
  <c r="AD17" i="42"/>
  <c r="X17" i="42"/>
  <c r="R17" i="42"/>
  <c r="U17" i="42" s="1"/>
  <c r="P17" i="42"/>
  <c r="AD16" i="42"/>
  <c r="X16" i="42"/>
  <c r="R16" i="42"/>
  <c r="V16" i="42" s="1"/>
  <c r="AB16" i="42" s="1"/>
  <c r="P16" i="42"/>
  <c r="AD15" i="42"/>
  <c r="X15" i="42"/>
  <c r="R15" i="42"/>
  <c r="P15" i="42"/>
  <c r="AD14" i="42"/>
  <c r="X14" i="42"/>
  <c r="R14" i="42"/>
  <c r="U14" i="42" s="1"/>
  <c r="P14" i="42"/>
  <c r="W13" i="42"/>
  <c r="P13" i="42"/>
  <c r="AD35" i="41"/>
  <c r="X35" i="41"/>
  <c r="R35" i="41"/>
  <c r="V35" i="41" s="1"/>
  <c r="P35" i="41"/>
  <c r="AD34" i="41"/>
  <c r="X34" i="41"/>
  <c r="R34" i="41"/>
  <c r="V34" i="41" s="1"/>
  <c r="P34" i="41"/>
  <c r="AD33" i="41"/>
  <c r="X33" i="41"/>
  <c r="R33" i="41"/>
  <c r="V33" i="41" s="1"/>
  <c r="P33" i="41"/>
  <c r="AD32" i="41"/>
  <c r="X32" i="41"/>
  <c r="R32" i="41"/>
  <c r="V32" i="41" s="1"/>
  <c r="P32" i="41"/>
  <c r="AD31" i="41"/>
  <c r="X31" i="41"/>
  <c r="R31" i="41"/>
  <c r="V31" i="41" s="1"/>
  <c r="P31" i="41"/>
  <c r="AD30" i="41"/>
  <c r="X30" i="41"/>
  <c r="R30" i="41"/>
  <c r="V30" i="41" s="1"/>
  <c r="P30" i="41"/>
  <c r="AD29" i="41"/>
  <c r="X29" i="41"/>
  <c r="R29" i="41"/>
  <c r="V29" i="41" s="1"/>
  <c r="P29" i="41"/>
  <c r="AD28" i="41"/>
  <c r="X28" i="41"/>
  <c r="R28" i="41"/>
  <c r="V28" i="41" s="1"/>
  <c r="P28" i="41"/>
  <c r="AD27" i="41"/>
  <c r="X27" i="41"/>
  <c r="R27" i="41"/>
  <c r="V27" i="41" s="1"/>
  <c r="P27" i="41"/>
  <c r="AD26" i="41"/>
  <c r="X26" i="41"/>
  <c r="R26" i="41"/>
  <c r="V26" i="41" s="1"/>
  <c r="P26" i="41"/>
  <c r="AD25" i="41"/>
  <c r="X25" i="41"/>
  <c r="R25" i="41"/>
  <c r="V25" i="41" s="1"/>
  <c r="P25" i="41"/>
  <c r="AD24" i="41"/>
  <c r="X24" i="41"/>
  <c r="R24" i="41"/>
  <c r="V24" i="41" s="1"/>
  <c r="P24" i="41"/>
  <c r="AD23" i="41"/>
  <c r="X23" i="41"/>
  <c r="R23" i="41"/>
  <c r="V23" i="41" s="1"/>
  <c r="P23" i="41"/>
  <c r="AD22" i="41"/>
  <c r="X22" i="41"/>
  <c r="R22" i="41"/>
  <c r="V22" i="41" s="1"/>
  <c r="P22" i="41"/>
  <c r="AD21" i="41"/>
  <c r="X21" i="41"/>
  <c r="R21" i="41"/>
  <c r="V21" i="41" s="1"/>
  <c r="P21" i="41"/>
  <c r="AD19" i="41"/>
  <c r="X19" i="41"/>
  <c r="R19" i="41"/>
  <c r="U19" i="41" s="1"/>
  <c r="P19" i="41"/>
  <c r="AD18" i="41"/>
  <c r="X18" i="41"/>
  <c r="R18" i="41"/>
  <c r="V18" i="41" s="1"/>
  <c r="P18" i="41"/>
  <c r="AD17" i="41"/>
  <c r="X17" i="41"/>
  <c r="R17" i="41"/>
  <c r="V17" i="41" s="1"/>
  <c r="P17" i="41"/>
  <c r="AD16" i="41"/>
  <c r="X16" i="41"/>
  <c r="R16" i="41"/>
  <c r="V16" i="41" s="1"/>
  <c r="P16" i="41"/>
  <c r="AD15" i="41"/>
  <c r="X15" i="41"/>
  <c r="R15" i="41"/>
  <c r="V15" i="41" s="1"/>
  <c r="P15" i="41"/>
  <c r="AD14" i="41"/>
  <c r="X14" i="41"/>
  <c r="R14" i="41"/>
  <c r="V14" i="41" s="1"/>
  <c r="P14" i="41"/>
  <c r="W13" i="41"/>
  <c r="P13" i="41"/>
  <c r="AD36" i="40"/>
  <c r="X36" i="40"/>
  <c r="R36" i="40"/>
  <c r="P36" i="40"/>
  <c r="AD35" i="40"/>
  <c r="X35" i="40"/>
  <c r="R35" i="40"/>
  <c r="V35" i="40" s="1"/>
  <c r="P35" i="40"/>
  <c r="AD34" i="40"/>
  <c r="X34" i="40"/>
  <c r="R34" i="40"/>
  <c r="S34" i="40" s="1"/>
  <c r="P34" i="40"/>
  <c r="AD33" i="40"/>
  <c r="X33" i="40"/>
  <c r="R33" i="40"/>
  <c r="U33" i="40" s="1"/>
  <c r="P33" i="40"/>
  <c r="AD32" i="40"/>
  <c r="X32" i="40"/>
  <c r="R32" i="40"/>
  <c r="P32" i="40"/>
  <c r="AD31" i="40"/>
  <c r="X31" i="40"/>
  <c r="R31" i="40"/>
  <c r="U31" i="40" s="1"/>
  <c r="P31" i="40"/>
  <c r="AD30" i="40"/>
  <c r="X30" i="40"/>
  <c r="R30" i="40"/>
  <c r="P30" i="40"/>
  <c r="AD29" i="40"/>
  <c r="X29" i="40"/>
  <c r="R29" i="40"/>
  <c r="U29" i="40" s="1"/>
  <c r="P29" i="40"/>
  <c r="AD28" i="40"/>
  <c r="X28" i="40"/>
  <c r="R28" i="40"/>
  <c r="P28" i="40"/>
  <c r="AD27" i="40"/>
  <c r="X27" i="40"/>
  <c r="R27" i="40"/>
  <c r="U27" i="40" s="1"/>
  <c r="P27" i="40"/>
  <c r="AD26" i="40"/>
  <c r="X26" i="40"/>
  <c r="R26" i="40"/>
  <c r="S26" i="40" s="1"/>
  <c r="P26" i="40"/>
  <c r="AD25" i="40"/>
  <c r="X25" i="40"/>
  <c r="R25" i="40"/>
  <c r="U25" i="40" s="1"/>
  <c r="P25" i="40"/>
  <c r="AD24" i="40"/>
  <c r="X24" i="40"/>
  <c r="R24" i="40"/>
  <c r="S24" i="40" s="1"/>
  <c r="P24" i="40"/>
  <c r="AD23" i="40"/>
  <c r="X23" i="40"/>
  <c r="R23" i="40"/>
  <c r="U23" i="40" s="1"/>
  <c r="P23" i="40"/>
  <c r="AD22" i="40"/>
  <c r="X22" i="40"/>
  <c r="R22" i="40"/>
  <c r="P22" i="40"/>
  <c r="AD21" i="40"/>
  <c r="X21" i="40"/>
  <c r="R21" i="40"/>
  <c r="U21" i="40" s="1"/>
  <c r="P21" i="40"/>
  <c r="AD19" i="40"/>
  <c r="X19" i="40"/>
  <c r="R19" i="40"/>
  <c r="V19" i="40" s="1"/>
  <c r="P19" i="40"/>
  <c r="AD18" i="40"/>
  <c r="X18" i="40"/>
  <c r="R18" i="40"/>
  <c r="U18" i="40" s="1"/>
  <c r="P18" i="40"/>
  <c r="AD17" i="40"/>
  <c r="X17" i="40"/>
  <c r="R17" i="40"/>
  <c r="V17" i="40" s="1"/>
  <c r="P17" i="40"/>
  <c r="AD16" i="40"/>
  <c r="X16" i="40"/>
  <c r="R16" i="40"/>
  <c r="U16" i="40" s="1"/>
  <c r="P16" i="40"/>
  <c r="AD15" i="40"/>
  <c r="X15" i="40"/>
  <c r="R15" i="40"/>
  <c r="V15" i="40" s="1"/>
  <c r="P15" i="40"/>
  <c r="AD14" i="40"/>
  <c r="X14" i="40"/>
  <c r="R14" i="40"/>
  <c r="V14" i="40" s="1"/>
  <c r="P14" i="40"/>
  <c r="W13" i="40"/>
  <c r="P13" i="40"/>
  <c r="Q20" i="49" l="1"/>
  <c r="AX19" i="51"/>
  <c r="AY19" i="51" s="1"/>
  <c r="BA19" i="51"/>
  <c r="Z19" i="51"/>
  <c r="Y19" i="51"/>
  <c r="AC19" i="51" s="1"/>
  <c r="AX21" i="50"/>
  <c r="AY21" i="50" s="1"/>
  <c r="BA21" i="50"/>
  <c r="Z21" i="50"/>
  <c r="V21" i="50"/>
  <c r="AB21" i="50" s="1"/>
  <c r="U21" i="50"/>
  <c r="AA21" i="50" s="1"/>
  <c r="AF21" i="50"/>
  <c r="T21" i="50"/>
  <c r="AE21" i="50" s="1"/>
  <c r="AI21" i="50" s="1"/>
  <c r="X13" i="50"/>
  <c r="AD13" i="50" s="1"/>
  <c r="T17" i="50"/>
  <c r="AT17" i="50" s="1"/>
  <c r="AU17" i="50" s="1"/>
  <c r="AV17" i="50" s="1"/>
  <c r="AB18" i="50"/>
  <c r="BA20" i="49"/>
  <c r="AX20" i="49"/>
  <c r="AY20" i="49" s="1"/>
  <c r="Z20" i="49"/>
  <c r="AF20" i="49"/>
  <c r="T20" i="49"/>
  <c r="AE20" i="49" s="1"/>
  <c r="X13" i="49"/>
  <c r="AD13" i="49" s="1"/>
  <c r="AG22" i="49"/>
  <c r="AX20" i="48"/>
  <c r="AY20" i="48" s="1"/>
  <c r="BA20" i="48"/>
  <c r="AB20" i="48"/>
  <c r="Z20" i="48"/>
  <c r="AA20" i="48"/>
  <c r="V20" i="48"/>
  <c r="AH20" i="48" s="1"/>
  <c r="AG20" i="48"/>
  <c r="U20" i="48"/>
  <c r="AF20" i="48"/>
  <c r="T20" i="48"/>
  <c r="Y20" i="48" s="1"/>
  <c r="AC20" i="48" s="1"/>
  <c r="AB28" i="48"/>
  <c r="AB31" i="48"/>
  <c r="AB26" i="47"/>
  <c r="AW21" i="47"/>
  <c r="BA20" i="47"/>
  <c r="Z20" i="47"/>
  <c r="AH20" i="47"/>
  <c r="V20" i="47"/>
  <c r="AB20" i="47" s="1"/>
  <c r="U20" i="47"/>
  <c r="AA20" i="47" s="1"/>
  <c r="AF20" i="47"/>
  <c r="T20" i="47"/>
  <c r="AE20" i="47" s="1"/>
  <c r="AI20" i="47" s="1"/>
  <c r="BA21" i="46"/>
  <c r="AX21" i="46"/>
  <c r="AY21" i="46" s="1"/>
  <c r="AB21" i="46"/>
  <c r="Y21" i="46"/>
  <c r="AC21" i="46" s="1"/>
  <c r="AX21" i="45"/>
  <c r="AY21" i="45" s="1"/>
  <c r="BA21" i="45"/>
  <c r="Z21" i="45"/>
  <c r="Y21" i="45"/>
  <c r="AB20" i="45"/>
  <c r="AA20" i="45"/>
  <c r="Z20" i="45"/>
  <c r="AC20" i="45" s="1"/>
  <c r="AH20" i="45"/>
  <c r="AG20" i="45"/>
  <c r="AF20" i="45"/>
  <c r="AI20" i="45" s="1"/>
  <c r="AB25" i="45"/>
  <c r="AB28" i="45"/>
  <c r="X13" i="45"/>
  <c r="AD13" i="45" s="1"/>
  <c r="AB28" i="46"/>
  <c r="AB31" i="46"/>
  <c r="AB34" i="46"/>
  <c r="AA21" i="44"/>
  <c r="V14" i="44"/>
  <c r="AH14" i="44" s="1"/>
  <c r="Z21" i="43"/>
  <c r="AC21" i="43" s="1"/>
  <c r="W21" i="43"/>
  <c r="AQ13" i="43"/>
  <c r="AR13" i="43" s="1"/>
  <c r="AS13" i="43" s="1"/>
  <c r="AW13" i="43" s="1"/>
  <c r="AX13" i="43" s="1"/>
  <c r="AY13" i="43" s="1"/>
  <c r="X13" i="43"/>
  <c r="AB13" i="43" s="1"/>
  <c r="AH13" i="43" s="1"/>
  <c r="AA18" i="43"/>
  <c r="X13" i="42"/>
  <c r="AD13" i="42" s="1"/>
  <c r="AA20" i="41"/>
  <c r="AG20" i="41"/>
  <c r="V20" i="41"/>
  <c r="T20" i="41"/>
  <c r="Z20" i="40"/>
  <c r="AF20" i="40"/>
  <c r="AQ20" i="40"/>
  <c r="AR20" i="40" s="1"/>
  <c r="AS20" i="40" s="1"/>
  <c r="AE20" i="40"/>
  <c r="AI20" i="40" s="1"/>
  <c r="V20" i="40"/>
  <c r="Y20" i="40"/>
  <c r="AC20" i="40" s="1"/>
  <c r="BA20" i="3"/>
  <c r="AB20" i="3"/>
  <c r="AH20" i="3"/>
  <c r="W20" i="3"/>
  <c r="AE20" i="3"/>
  <c r="AG20" i="3"/>
  <c r="Y20" i="3"/>
  <c r="AC20" i="3" s="1"/>
  <c r="AF20" i="3"/>
  <c r="AB31" i="54"/>
  <c r="AQ13" i="54"/>
  <c r="AR13" i="54" s="1"/>
  <c r="AS13" i="54" s="1"/>
  <c r="AW13" i="54" s="1"/>
  <c r="AX13" i="54" s="1"/>
  <c r="AY13" i="54" s="1"/>
  <c r="U30" i="53"/>
  <c r="AG30" i="53" s="1"/>
  <c r="AB16" i="53"/>
  <c r="AB25" i="53"/>
  <c r="AQ13" i="53"/>
  <c r="AR13" i="53" s="1"/>
  <c r="AS13" i="53" s="1"/>
  <c r="AW13" i="53" s="1"/>
  <c r="AX13" i="53" s="1"/>
  <c r="AY13" i="53" s="1"/>
  <c r="AQ17" i="53"/>
  <c r="AR17" i="53" s="1"/>
  <c r="AS17" i="53" s="1"/>
  <c r="AQ15" i="53"/>
  <c r="AR15" i="53" s="1"/>
  <c r="AS15" i="53" s="1"/>
  <c r="Q30" i="52"/>
  <c r="AB31" i="52"/>
  <c r="V15" i="52"/>
  <c r="AH15" i="52" s="1"/>
  <c r="AB24" i="52"/>
  <c r="AB30" i="52"/>
  <c r="AF36" i="52"/>
  <c r="AH21" i="52"/>
  <c r="U36" i="52"/>
  <c r="AG36" i="52" s="1"/>
  <c r="Q25" i="52"/>
  <c r="T31" i="52"/>
  <c r="AT31" i="52" s="1"/>
  <c r="AU31" i="52" s="1"/>
  <c r="AV31" i="52" s="1"/>
  <c r="V35" i="52"/>
  <c r="AH35" i="52" s="1"/>
  <c r="AB29" i="52"/>
  <c r="U35" i="52"/>
  <c r="AG35" i="52" s="1"/>
  <c r="AT35" i="52"/>
  <c r="AU35" i="52" s="1"/>
  <c r="AV35" i="52" s="1"/>
  <c r="T19" i="52"/>
  <c r="Q31" i="52"/>
  <c r="T17" i="52"/>
  <c r="AB19" i="52"/>
  <c r="V36" i="52"/>
  <c r="S35" i="52"/>
  <c r="AF35" i="52" s="1"/>
  <c r="T15" i="52"/>
  <c r="AE15" i="52" s="1"/>
  <c r="U17" i="52"/>
  <c r="AG17" i="52" s="1"/>
  <c r="AH19" i="52"/>
  <c r="AH28" i="52"/>
  <c r="U15" i="52"/>
  <c r="AG15" i="52" s="1"/>
  <c r="V17" i="52"/>
  <c r="AH17" i="52" s="1"/>
  <c r="T36" i="52"/>
  <c r="AB17" i="52"/>
  <c r="AE31" i="52"/>
  <c r="T29" i="52"/>
  <c r="Q18" i="52"/>
  <c r="AH26" i="52"/>
  <c r="Q36" i="52"/>
  <c r="Y13" i="52"/>
  <c r="U34" i="52"/>
  <c r="AG34" i="52" s="1"/>
  <c r="AB16" i="51"/>
  <c r="T25" i="51"/>
  <c r="AT25" i="51" s="1"/>
  <c r="AU25" i="51" s="1"/>
  <c r="AV25" i="51" s="1"/>
  <c r="U25" i="51"/>
  <c r="AA25" i="51" s="1"/>
  <c r="AB25" i="51"/>
  <c r="S31" i="51"/>
  <c r="AF31" i="51" s="1"/>
  <c r="AQ13" i="51"/>
  <c r="AR13" i="51" s="1"/>
  <c r="AS13" i="51" s="1"/>
  <c r="AW13" i="51" s="1"/>
  <c r="AX13" i="51" s="1"/>
  <c r="AY13" i="51" s="1"/>
  <c r="AH25" i="51"/>
  <c r="AB23" i="51"/>
  <c r="AB26" i="51"/>
  <c r="AB15" i="51"/>
  <c r="AB18" i="51"/>
  <c r="AH23" i="50"/>
  <c r="V17" i="50"/>
  <c r="AH17" i="50" s="1"/>
  <c r="AB20" i="50"/>
  <c r="Q14" i="50"/>
  <c r="AB26" i="50"/>
  <c r="S24" i="50"/>
  <c r="Z24" i="50" s="1"/>
  <c r="AB33" i="50"/>
  <c r="AB34" i="50"/>
  <c r="T36" i="50"/>
  <c r="AT36" i="50" s="1"/>
  <c r="AU36" i="50" s="1"/>
  <c r="AV36" i="50" s="1"/>
  <c r="Q23" i="50"/>
  <c r="S17" i="50"/>
  <c r="AB23" i="50"/>
  <c r="AQ17" i="50"/>
  <c r="AR17" i="50" s="1"/>
  <c r="AS17" i="50" s="1"/>
  <c r="V15" i="50"/>
  <c r="AH15" i="50" s="1"/>
  <c r="S36" i="50"/>
  <c r="AF36" i="50" s="1"/>
  <c r="S15" i="50"/>
  <c r="AE17" i="50"/>
  <c r="Q33" i="50"/>
  <c r="AA36" i="50"/>
  <c r="Q18" i="50"/>
  <c r="Q36" i="50"/>
  <c r="Q16" i="50"/>
  <c r="S22" i="50"/>
  <c r="Z22" i="50" s="1"/>
  <c r="Q25" i="50"/>
  <c r="Q31" i="50"/>
  <c r="Q37" i="50"/>
  <c r="V14" i="50"/>
  <c r="AH16" i="50"/>
  <c r="S34" i="50"/>
  <c r="Z34" i="50" s="1"/>
  <c r="Q35" i="49"/>
  <c r="V21" i="49"/>
  <c r="AH21" i="49" s="1"/>
  <c r="AB30" i="49"/>
  <c r="AB31" i="49"/>
  <c r="AB35" i="49"/>
  <c r="V33" i="49"/>
  <c r="AH33" i="49" s="1"/>
  <c r="U35" i="49"/>
  <c r="AA35" i="49" s="1"/>
  <c r="S35" i="49"/>
  <c r="AF35" i="49" s="1"/>
  <c r="Q24" i="49"/>
  <c r="AH16" i="49"/>
  <c r="Q23" i="49"/>
  <c r="U33" i="49"/>
  <c r="AA33" i="49" s="1"/>
  <c r="T33" i="49"/>
  <c r="AB26" i="49"/>
  <c r="AB29" i="49"/>
  <c r="Q33" i="49"/>
  <c r="Q15" i="49"/>
  <c r="Q18" i="49"/>
  <c r="AB18" i="49"/>
  <c r="V24" i="49"/>
  <c r="AH24" i="49" s="1"/>
  <c r="AT34" i="49"/>
  <c r="AU34" i="49" s="1"/>
  <c r="AV34" i="49" s="1"/>
  <c r="T35" i="49"/>
  <c r="V32" i="49"/>
  <c r="AH32" i="49" s="1"/>
  <c r="AQ21" i="49"/>
  <c r="AR21" i="49" s="1"/>
  <c r="AS21" i="49" s="1"/>
  <c r="V22" i="49"/>
  <c r="AB22" i="49" s="1"/>
  <c r="Q32" i="49"/>
  <c r="AB16" i="48"/>
  <c r="S14" i="48"/>
  <c r="U23" i="48"/>
  <c r="AG23" i="48" s="1"/>
  <c r="AB18" i="48"/>
  <c r="V22" i="48"/>
  <c r="Q16" i="48"/>
  <c r="V25" i="48"/>
  <c r="AH25" i="48" s="1"/>
  <c r="V24" i="48"/>
  <c r="X13" i="48"/>
  <c r="AD13" i="48" s="1"/>
  <c r="AH27" i="48"/>
  <c r="Q17" i="48"/>
  <c r="U25" i="48"/>
  <c r="AG25" i="48" s="1"/>
  <c r="U21" i="48"/>
  <c r="AG21" i="48" s="1"/>
  <c r="V23" i="48"/>
  <c r="AH23" i="48" s="1"/>
  <c r="V21" i="48"/>
  <c r="AH21" i="48" s="1"/>
  <c r="AB15" i="47"/>
  <c r="AB22" i="47"/>
  <c r="AB25" i="47"/>
  <c r="AB28" i="47"/>
  <c r="AB31" i="47"/>
  <c r="AW13" i="47"/>
  <c r="AX13" i="47" s="1"/>
  <c r="AY13" i="47" s="1"/>
  <c r="AQ13" i="46"/>
  <c r="AR13" i="46" s="1"/>
  <c r="AS13" i="46" s="1"/>
  <c r="AW13" i="46" s="1"/>
  <c r="AX13" i="46" s="1"/>
  <c r="AY13" i="46" s="1"/>
  <c r="AB19" i="46"/>
  <c r="AB23" i="46"/>
  <c r="AB26" i="46"/>
  <c r="AB29" i="46"/>
  <c r="AB32" i="46"/>
  <c r="AB35" i="46"/>
  <c r="Q15" i="46"/>
  <c r="AH19" i="45"/>
  <c r="AB27" i="45"/>
  <c r="T17" i="45"/>
  <c r="AT17" i="45" s="1"/>
  <c r="AU17" i="45" s="1"/>
  <c r="AV17" i="45" s="1"/>
  <c r="Q27" i="45"/>
  <c r="Q33" i="45"/>
  <c r="T15" i="45"/>
  <c r="AT15" i="45" s="1"/>
  <c r="AU15" i="45" s="1"/>
  <c r="AV15" i="45" s="1"/>
  <c r="Q25" i="45"/>
  <c r="Q35" i="45"/>
  <c r="T19" i="45"/>
  <c r="AH15" i="45"/>
  <c r="AH24" i="45"/>
  <c r="AH22" i="45"/>
  <c r="Q23" i="45"/>
  <c r="AQ17" i="45"/>
  <c r="AR17" i="45" s="1"/>
  <c r="AS17" i="45" s="1"/>
  <c r="Q29" i="45"/>
  <c r="AB24" i="45"/>
  <c r="AH17" i="45"/>
  <c r="S24" i="45"/>
  <c r="Z24" i="45" s="1"/>
  <c r="AH26" i="45"/>
  <c r="AW13" i="45"/>
  <c r="AX13" i="45" s="1"/>
  <c r="AY13" i="45" s="1"/>
  <c r="AB25" i="44"/>
  <c r="AB31" i="44"/>
  <c r="AB34" i="44"/>
  <c r="V15" i="44"/>
  <c r="AB15" i="44" s="1"/>
  <c r="Q33" i="44"/>
  <c r="X13" i="44"/>
  <c r="AD13" i="44" s="1"/>
  <c r="AW13" i="44"/>
  <c r="AX13" i="44" s="1"/>
  <c r="AY13" i="44" s="1"/>
  <c r="AB27" i="44"/>
  <c r="AB33" i="44"/>
  <c r="AH17" i="44"/>
  <c r="S15" i="44"/>
  <c r="AF15" i="44" s="1"/>
  <c r="AH31" i="44"/>
  <c r="U35" i="44"/>
  <c r="AG35" i="44" s="1"/>
  <c r="T17" i="43"/>
  <c r="AT17" i="43" s="1"/>
  <c r="AU17" i="43" s="1"/>
  <c r="AV17" i="43" s="1"/>
  <c r="AH26" i="43"/>
  <c r="V17" i="43"/>
  <c r="AH17" i="43" s="1"/>
  <c r="AA23" i="43"/>
  <c r="AB29" i="43"/>
  <c r="AH19" i="43"/>
  <c r="AA20" i="43"/>
  <c r="AB27" i="43"/>
  <c r="AQ31" i="43"/>
  <c r="AR31" i="43" s="1"/>
  <c r="AS31" i="43" s="1"/>
  <c r="T19" i="43"/>
  <c r="AE19" i="43" s="1"/>
  <c r="T25" i="43"/>
  <c r="AE25" i="43" s="1"/>
  <c r="V33" i="43"/>
  <c r="AB33" i="43" s="1"/>
  <c r="AB17" i="43"/>
  <c r="AG23" i="43"/>
  <c r="AQ33" i="43"/>
  <c r="AR33" i="43" s="1"/>
  <c r="AS33" i="43" s="1"/>
  <c r="U28" i="43"/>
  <c r="AG28" i="43" s="1"/>
  <c r="V18" i="43"/>
  <c r="AB18" i="43" s="1"/>
  <c r="T32" i="43"/>
  <c r="AE32" i="43" s="1"/>
  <c r="V16" i="43"/>
  <c r="AH16" i="43" s="1"/>
  <c r="AH24" i="43"/>
  <c r="AG18" i="43"/>
  <c r="V23" i="43"/>
  <c r="AH23" i="43" s="1"/>
  <c r="AB25" i="43"/>
  <c r="S25" i="43"/>
  <c r="Z25" i="43" s="1"/>
  <c r="AB17" i="40"/>
  <c r="AA31" i="40"/>
  <c r="AG31" i="40"/>
  <c r="Q14" i="40"/>
  <c r="AA16" i="40"/>
  <c r="AB19" i="40"/>
  <c r="AB35" i="40"/>
  <c r="AG21" i="40"/>
  <c r="S15" i="40"/>
  <c r="Z15" i="40" s="1"/>
  <c r="AW13" i="40"/>
  <c r="AX13" i="40" s="1"/>
  <c r="AY13" i="40" s="1"/>
  <c r="AB35" i="41"/>
  <c r="X13" i="41"/>
  <c r="AD13" i="41" s="1"/>
  <c r="AR13" i="41"/>
  <c r="AS13" i="41" s="1"/>
  <c r="AW13" i="41" s="1"/>
  <c r="AX13" i="41" s="1"/>
  <c r="AY13" i="41" s="1"/>
  <c r="AB18" i="41"/>
  <c r="AB25" i="41"/>
  <c r="AH15" i="41"/>
  <c r="AB27" i="41"/>
  <c r="T32" i="41"/>
  <c r="AT32" i="41" s="1"/>
  <c r="AU32" i="41" s="1"/>
  <c r="AV32" i="41" s="1"/>
  <c r="S15" i="41"/>
  <c r="Z15" i="41" s="1"/>
  <c r="AB29" i="41"/>
  <c r="Q18" i="41"/>
  <c r="S28" i="41"/>
  <c r="Z28" i="41" s="1"/>
  <c r="Q14" i="41"/>
  <c r="AB16" i="41"/>
  <c r="T22" i="41"/>
  <c r="AE22" i="41" s="1"/>
  <c r="S19" i="41"/>
  <c r="V19" i="41"/>
  <c r="AB19" i="41" s="1"/>
  <c r="AB23" i="41"/>
  <c r="S26" i="41"/>
  <c r="T26" i="41"/>
  <c r="AE26" i="41" s="1"/>
  <c r="Q35" i="41"/>
  <c r="S24" i="41"/>
  <c r="AF24" i="41" s="1"/>
  <c r="G13" i="42"/>
  <c r="AT13" i="42" s="1"/>
  <c r="AU13" i="42" s="1"/>
  <c r="AV13" i="42" s="1"/>
  <c r="AW13" i="42" s="1"/>
  <c r="AX13" i="42" s="1"/>
  <c r="AY13" i="42" s="1"/>
  <c r="U15" i="42"/>
  <c r="V15" i="42"/>
  <c r="AH15" i="42" s="1"/>
  <c r="Q29" i="41"/>
  <c r="Q13" i="41"/>
  <c r="Q31" i="41"/>
  <c r="Q31" i="43"/>
  <c r="Q24" i="43"/>
  <c r="Q29" i="43"/>
  <c r="Q35" i="43"/>
  <c r="Q27" i="43"/>
  <c r="Q17" i="43"/>
  <c r="Q34" i="43"/>
  <c r="Q32" i="44"/>
  <c r="Q17" i="44"/>
  <c r="Q30" i="44"/>
  <c r="Q22" i="44"/>
  <c r="Q25" i="44"/>
  <c r="Q28" i="44"/>
  <c r="Q31" i="44"/>
  <c r="Q34" i="44"/>
  <c r="Q36" i="44"/>
  <c r="Q19" i="44"/>
  <c r="Q23" i="44"/>
  <c r="Q26" i="44"/>
  <c r="Q29" i="44"/>
  <c r="Q18" i="46"/>
  <c r="Q22" i="46"/>
  <c r="Q25" i="46"/>
  <c r="Q28" i="46"/>
  <c r="Q31" i="46"/>
  <c r="Q34" i="46"/>
  <c r="Q14" i="48"/>
  <c r="Q28" i="48"/>
  <c r="Q18" i="48"/>
  <c r="Q30" i="48"/>
  <c r="Q34" i="49"/>
  <c r="Q27" i="49"/>
  <c r="Q30" i="49"/>
  <c r="Q13" i="49"/>
  <c r="Q14" i="49"/>
  <c r="Q17" i="49"/>
  <c r="Q21" i="49"/>
  <c r="Q26" i="49"/>
  <c r="Q29" i="49"/>
  <c r="Q20" i="50"/>
  <c r="Q22" i="51"/>
  <c r="Q14" i="52"/>
  <c r="Q24" i="52"/>
  <c r="Q27" i="52"/>
  <c r="Q34" i="52"/>
  <c r="Q22" i="52"/>
  <c r="Q33" i="52"/>
  <c r="Q20" i="52"/>
  <c r="Q23" i="52"/>
  <c r="Q26" i="52"/>
  <c r="Q29" i="52"/>
  <c r="Q35" i="52"/>
  <c r="AB17" i="54"/>
  <c r="AB23" i="54"/>
  <c r="AB29" i="54"/>
  <c r="AB32" i="54"/>
  <c r="T32" i="54"/>
  <c r="T30" i="54"/>
  <c r="Y30" i="54" s="1"/>
  <c r="AB19" i="54"/>
  <c r="AB25" i="54"/>
  <c r="AA13" i="52"/>
  <c r="AB13" i="52"/>
  <c r="AH13" i="52" s="1"/>
  <c r="AD13" i="52"/>
  <c r="Z13" i="50"/>
  <c r="AF13" i="50" s="1"/>
  <c r="Y13" i="49"/>
  <c r="AE13" i="49" s="1"/>
  <c r="AL13" i="49" s="1"/>
  <c r="AN13" i="49" s="1"/>
  <c r="AA13" i="49"/>
  <c r="AG13" i="49" s="1"/>
  <c r="AK13" i="49" s="1"/>
  <c r="AM13" i="49" s="1"/>
  <c r="AB13" i="49"/>
  <c r="AH13" i="49" s="1"/>
  <c r="Z13" i="44"/>
  <c r="AF13" i="44" s="1"/>
  <c r="AD13" i="43"/>
  <c r="AA18" i="40"/>
  <c r="AG27" i="40"/>
  <c r="AA23" i="40"/>
  <c r="S17" i="40"/>
  <c r="Z17" i="40" s="1"/>
  <c r="S19" i="40"/>
  <c r="Z19" i="40" s="1"/>
  <c r="AA29" i="40"/>
  <c r="AB15" i="40"/>
  <c r="AA25" i="40"/>
  <c r="Q23" i="40"/>
  <c r="S30" i="54"/>
  <c r="Z30" i="54" s="1"/>
  <c r="S32" i="54"/>
  <c r="Z32" i="54" s="1"/>
  <c r="AB30" i="54"/>
  <c r="AH32" i="54"/>
  <c r="AH30" i="54"/>
  <c r="AE32" i="54"/>
  <c r="Q14" i="54"/>
  <c r="Q33" i="54"/>
  <c r="Q31" i="54"/>
  <c r="Q29" i="54"/>
  <c r="Q27" i="54"/>
  <c r="Q25" i="54"/>
  <c r="Q23" i="54"/>
  <c r="Q21" i="54"/>
  <c r="Q19" i="54"/>
  <c r="Q17" i="54"/>
  <c r="Q15" i="54"/>
  <c r="AB14" i="54"/>
  <c r="AH15" i="54"/>
  <c r="AH17" i="54"/>
  <c r="AH19" i="54"/>
  <c r="AH21" i="54"/>
  <c r="AH23" i="54"/>
  <c r="AH25" i="54"/>
  <c r="AH27" i="54"/>
  <c r="AH29" i="54"/>
  <c r="Q13" i="54"/>
  <c r="AH14" i="54"/>
  <c r="Q16" i="54"/>
  <c r="Q18" i="54"/>
  <c r="Q20" i="54"/>
  <c r="Q22" i="54"/>
  <c r="Q24" i="54"/>
  <c r="Q26" i="54"/>
  <c r="Q28" i="54"/>
  <c r="Q30" i="54"/>
  <c r="AH31" i="54"/>
  <c r="AB16" i="54"/>
  <c r="AB18" i="54"/>
  <c r="AB20" i="54"/>
  <c r="AB22" i="54"/>
  <c r="AB24" i="54"/>
  <c r="AB26" i="54"/>
  <c r="AB28" i="54"/>
  <c r="U33" i="54"/>
  <c r="AG33" i="54" s="1"/>
  <c r="V33" i="54"/>
  <c r="AB33" i="54" s="1"/>
  <c r="T33" i="54"/>
  <c r="S33" i="54"/>
  <c r="AF33" i="54" s="1"/>
  <c r="AH16" i="54"/>
  <c r="AH18" i="54"/>
  <c r="AH20" i="54"/>
  <c r="AH22" i="54"/>
  <c r="AH24" i="54"/>
  <c r="AH26" i="54"/>
  <c r="AH28" i="54"/>
  <c r="Q32" i="54"/>
  <c r="AH33" i="54"/>
  <c r="Y13" i="54"/>
  <c r="AF32" i="54"/>
  <c r="Z13" i="54"/>
  <c r="AF13" i="54" s="1"/>
  <c r="S15" i="54"/>
  <c r="S17" i="54"/>
  <c r="AF17" i="54" s="1"/>
  <c r="S19" i="54"/>
  <c r="AF19" i="54" s="1"/>
  <c r="S21" i="54"/>
  <c r="S23" i="54"/>
  <c r="AF23" i="54" s="1"/>
  <c r="S25" i="54"/>
  <c r="AF25" i="54" s="1"/>
  <c r="S27" i="54"/>
  <c r="AF27" i="54" s="1"/>
  <c r="S29" i="54"/>
  <c r="AF29" i="54" s="1"/>
  <c r="U30" i="54"/>
  <c r="AA30" i="54" s="1"/>
  <c r="S31" i="54"/>
  <c r="AF31" i="54" s="1"/>
  <c r="U32" i="54"/>
  <c r="AA32" i="54" s="1"/>
  <c r="AA13" i="54"/>
  <c r="T15" i="54"/>
  <c r="AF15" i="54"/>
  <c r="T17" i="54"/>
  <c r="T19" i="54"/>
  <c r="T21" i="54"/>
  <c r="AF21" i="54"/>
  <c r="T23" i="54"/>
  <c r="T25" i="54"/>
  <c r="T27" i="54"/>
  <c r="T29" i="54"/>
  <c r="T31" i="54"/>
  <c r="AB13" i="54"/>
  <c r="AH13" i="54" s="1"/>
  <c r="S14" i="54"/>
  <c r="Z14" i="54" s="1"/>
  <c r="U15" i="54"/>
  <c r="AA15" i="54" s="1"/>
  <c r="S16" i="54"/>
  <c r="Z16" i="54" s="1"/>
  <c r="U17" i="54"/>
  <c r="AA17" i="54" s="1"/>
  <c r="S18" i="54"/>
  <c r="Z18" i="54" s="1"/>
  <c r="U19" i="54"/>
  <c r="AA19" i="54" s="1"/>
  <c r="S20" i="54"/>
  <c r="Z20" i="54" s="1"/>
  <c r="U21" i="54"/>
  <c r="AA21" i="54" s="1"/>
  <c r="S22" i="54"/>
  <c r="Z22" i="54" s="1"/>
  <c r="U23" i="54"/>
  <c r="AA23" i="54" s="1"/>
  <c r="S24" i="54"/>
  <c r="AF24" i="54" s="1"/>
  <c r="U25" i="54"/>
  <c r="AA25" i="54" s="1"/>
  <c r="S26" i="54"/>
  <c r="Z26" i="54" s="1"/>
  <c r="U27" i="54"/>
  <c r="AA27" i="54" s="1"/>
  <c r="S28" i="54"/>
  <c r="Z28" i="54" s="1"/>
  <c r="U29" i="54"/>
  <c r="AA29" i="54" s="1"/>
  <c r="U31" i="54"/>
  <c r="AA31" i="54" s="1"/>
  <c r="T14" i="54"/>
  <c r="T16" i="54"/>
  <c r="T18" i="54"/>
  <c r="AE18" i="54" s="1"/>
  <c r="AF18" i="54"/>
  <c r="T20" i="54"/>
  <c r="T22" i="54"/>
  <c r="T24" i="54"/>
  <c r="T26" i="54"/>
  <c r="T28" i="54"/>
  <c r="U14" i="54"/>
  <c r="AG14" i="54" s="1"/>
  <c r="U16" i="54"/>
  <c r="AA16" i="54" s="1"/>
  <c r="U18" i="54"/>
  <c r="AA18" i="54" s="1"/>
  <c r="U20" i="54"/>
  <c r="AG20" i="54" s="1"/>
  <c r="U22" i="54"/>
  <c r="AG22" i="54" s="1"/>
  <c r="U24" i="54"/>
  <c r="AG24" i="54" s="1"/>
  <c r="U26" i="54"/>
  <c r="AA26" i="54" s="1"/>
  <c r="U28" i="54"/>
  <c r="AG28" i="54" s="1"/>
  <c r="Q21" i="53"/>
  <c r="AB21" i="53"/>
  <c r="AB27" i="53"/>
  <c r="Q33" i="53"/>
  <c r="Q30" i="53"/>
  <c r="AB31" i="53"/>
  <c r="AB29" i="53"/>
  <c r="U28" i="53"/>
  <c r="AG28" i="53" s="1"/>
  <c r="Q19" i="53"/>
  <c r="S26" i="53"/>
  <c r="AF26" i="53" s="1"/>
  <c r="Q31" i="53"/>
  <c r="S33" i="53"/>
  <c r="Z33" i="53" s="1"/>
  <c r="S28" i="53"/>
  <c r="AF28" i="53" s="1"/>
  <c r="U26" i="53"/>
  <c r="AG26" i="53" s="1"/>
  <c r="S19" i="53"/>
  <c r="Z19" i="53" s="1"/>
  <c r="S24" i="53"/>
  <c r="Z24" i="53" s="1"/>
  <c r="Q29" i="53"/>
  <c r="T19" i="53"/>
  <c r="U24" i="53"/>
  <c r="AG24" i="53" s="1"/>
  <c r="Q14" i="53"/>
  <c r="S22" i="53"/>
  <c r="AF22" i="53" s="1"/>
  <c r="Q27" i="53"/>
  <c r="U22" i="53"/>
  <c r="AG22" i="53" s="1"/>
  <c r="Q25" i="53"/>
  <c r="S32" i="53"/>
  <c r="Z32" i="53" s="1"/>
  <c r="U32" i="53"/>
  <c r="AG32" i="53" s="1"/>
  <c r="Q23" i="53"/>
  <c r="S30" i="53"/>
  <c r="AF30" i="53" s="1"/>
  <c r="S25" i="53"/>
  <c r="Z25" i="53" s="1"/>
  <c r="AH16" i="53"/>
  <c r="AB19" i="53"/>
  <c r="S23" i="53"/>
  <c r="Z23" i="53" s="1"/>
  <c r="Q22" i="53"/>
  <c r="Q24" i="53"/>
  <c r="Q26" i="53"/>
  <c r="Q32" i="53"/>
  <c r="S21" i="53"/>
  <c r="Z21" i="53" s="1"/>
  <c r="Q18" i="53"/>
  <c r="AB24" i="53"/>
  <c r="S27" i="53"/>
  <c r="Z27" i="53" s="1"/>
  <c r="AB18" i="53"/>
  <c r="Q20" i="53"/>
  <c r="S31" i="53"/>
  <c r="Z31" i="53" s="1"/>
  <c r="S29" i="53"/>
  <c r="AF29" i="53" s="1"/>
  <c r="Q16" i="53"/>
  <c r="Y13" i="53"/>
  <c r="AE13" i="53" s="1"/>
  <c r="AA13" i="53"/>
  <c r="AG13" i="53" s="1"/>
  <c r="AK13" i="53" s="1"/>
  <c r="AM13" i="53" s="1"/>
  <c r="AH14" i="53"/>
  <c r="AH19" i="53"/>
  <c r="AH21" i="53"/>
  <c r="AH23" i="53"/>
  <c r="AH25" i="53"/>
  <c r="AH27" i="53"/>
  <c r="AH29" i="53"/>
  <c r="AH31" i="53"/>
  <c r="AH33" i="53"/>
  <c r="Y17" i="53"/>
  <c r="AH18" i="53"/>
  <c r="AB22" i="53"/>
  <c r="AB26" i="53"/>
  <c r="AB28" i="53"/>
  <c r="AB30" i="53"/>
  <c r="AB32" i="53"/>
  <c r="AH20" i="53"/>
  <c r="AH22" i="53"/>
  <c r="AH24" i="53"/>
  <c r="AH26" i="53"/>
  <c r="AH28" i="53"/>
  <c r="AH30" i="53"/>
  <c r="AH32" i="53"/>
  <c r="Q15" i="53"/>
  <c r="Q17" i="53"/>
  <c r="Z13" i="53"/>
  <c r="AF13" i="53" s="1"/>
  <c r="S15" i="53"/>
  <c r="Z15" i="53" s="1"/>
  <c r="AE15" i="53"/>
  <c r="S17" i="53"/>
  <c r="AE17" i="53"/>
  <c r="T22" i="53"/>
  <c r="T24" i="53"/>
  <c r="AF24" i="53"/>
  <c r="T26" i="53"/>
  <c r="T28" i="53"/>
  <c r="T30" i="53"/>
  <c r="Y30" i="53" s="1"/>
  <c r="T32" i="53"/>
  <c r="AF32" i="53"/>
  <c r="AB13" i="53"/>
  <c r="AH13" i="53" s="1"/>
  <c r="S14" i="53"/>
  <c r="AF14" i="53" s="1"/>
  <c r="U15" i="53"/>
  <c r="AA15" i="53" s="1"/>
  <c r="S16" i="53"/>
  <c r="AF16" i="53" s="1"/>
  <c r="U17" i="53"/>
  <c r="AA17" i="53" s="1"/>
  <c r="T21" i="53"/>
  <c r="T23" i="53"/>
  <c r="T25" i="53"/>
  <c r="T27" i="53"/>
  <c r="T29" i="53"/>
  <c r="T31" i="53"/>
  <c r="T33" i="53"/>
  <c r="T14" i="53"/>
  <c r="V15" i="53"/>
  <c r="AB15" i="53" s="1"/>
  <c r="T16" i="53"/>
  <c r="V17" i="53"/>
  <c r="AB17" i="53" s="1"/>
  <c r="S18" i="53"/>
  <c r="AF18" i="53" s="1"/>
  <c r="U19" i="53"/>
  <c r="AA19" i="53" s="1"/>
  <c r="S20" i="53"/>
  <c r="U21" i="53"/>
  <c r="AA21" i="53" s="1"/>
  <c r="U23" i="53"/>
  <c r="AA23" i="53" s="1"/>
  <c r="U25" i="53"/>
  <c r="AA25" i="53" s="1"/>
  <c r="U27" i="53"/>
  <c r="AA27" i="53" s="1"/>
  <c r="U29" i="53"/>
  <c r="AA29" i="53" s="1"/>
  <c r="AK29" i="53" s="1"/>
  <c r="U31" i="53"/>
  <c r="AA31" i="53" s="1"/>
  <c r="AK31" i="53" s="1"/>
  <c r="U33" i="53"/>
  <c r="AA33" i="53" s="1"/>
  <c r="U14" i="53"/>
  <c r="AA14" i="53" s="1"/>
  <c r="U16" i="53"/>
  <c r="AA16" i="53" s="1"/>
  <c r="T18" i="53"/>
  <c r="T20" i="53"/>
  <c r="U18" i="53"/>
  <c r="AA18" i="53" s="1"/>
  <c r="U20" i="53"/>
  <c r="AA20" i="53" s="1"/>
  <c r="Y15" i="53"/>
  <c r="Z22" i="53"/>
  <c r="Z30" i="53"/>
  <c r="AA30" i="53"/>
  <c r="Q13" i="53"/>
  <c r="Q28" i="53"/>
  <c r="AE35" i="52"/>
  <c r="Z34" i="52"/>
  <c r="Y35" i="52"/>
  <c r="Z33" i="52"/>
  <c r="V34" i="52"/>
  <c r="AH34" i="52" s="1"/>
  <c r="AF34" i="52"/>
  <c r="T34" i="52"/>
  <c r="V33" i="52"/>
  <c r="AB33" i="52" s="1"/>
  <c r="AA36" i="52"/>
  <c r="U33" i="52"/>
  <c r="AA33" i="52" s="1"/>
  <c r="Z36" i="52"/>
  <c r="AB35" i="52"/>
  <c r="AF33" i="52"/>
  <c r="T33" i="52"/>
  <c r="AE36" i="52"/>
  <c r="AI36" i="52" s="1"/>
  <c r="AB34" i="52"/>
  <c r="S29" i="52"/>
  <c r="S31" i="52"/>
  <c r="AE13" i="52"/>
  <c r="AL13" i="52" s="1"/>
  <c r="AN13" i="52" s="1"/>
  <c r="AE17" i="52"/>
  <c r="T27" i="52"/>
  <c r="AE27" i="52" s="1"/>
  <c r="T25" i="52"/>
  <c r="AE25" i="52" s="1"/>
  <c r="V16" i="52"/>
  <c r="AH16" i="52" s="1"/>
  <c r="V18" i="52"/>
  <c r="AH18" i="52" s="1"/>
  <c r="AH20" i="52"/>
  <c r="Q21" i="52"/>
  <c r="T23" i="52"/>
  <c r="AE23" i="52" s="1"/>
  <c r="AH25" i="52"/>
  <c r="Q28" i="52"/>
  <c r="Q32" i="52"/>
  <c r="Q16" i="52"/>
  <c r="Q15" i="52"/>
  <c r="Q17" i="52"/>
  <c r="Q19" i="52"/>
  <c r="T21" i="52"/>
  <c r="AB26" i="52"/>
  <c r="AH30" i="52"/>
  <c r="AH24" i="52"/>
  <c r="AH22" i="52"/>
  <c r="AH29" i="52"/>
  <c r="AH31" i="52"/>
  <c r="AH27" i="52"/>
  <c r="AA14" i="52"/>
  <c r="AG14" i="52"/>
  <c r="AG16" i="52"/>
  <c r="AG18" i="52"/>
  <c r="AH23" i="52"/>
  <c r="AF13" i="52"/>
  <c r="AC13" i="52"/>
  <c r="AF15" i="52"/>
  <c r="W17" i="52"/>
  <c r="AF17" i="52"/>
  <c r="AI17" i="52" s="1"/>
  <c r="S14" i="52"/>
  <c r="Y19" i="52"/>
  <c r="S32" i="52"/>
  <c r="AF32" i="52" s="1"/>
  <c r="T14" i="52"/>
  <c r="AF14" i="52"/>
  <c r="Z19" i="52"/>
  <c r="T32" i="52"/>
  <c r="AG32" i="52"/>
  <c r="V14" i="52"/>
  <c r="AB14" i="52" s="1"/>
  <c r="AB21" i="52"/>
  <c r="AB23" i="52"/>
  <c r="AB25" i="52"/>
  <c r="AB27" i="52"/>
  <c r="AF31" i="52"/>
  <c r="AI31" i="52" s="1"/>
  <c r="V32" i="52"/>
  <c r="AH32" i="52" s="1"/>
  <c r="Y15" i="52"/>
  <c r="AA16" i="52"/>
  <c r="AK16" i="52" s="1"/>
  <c r="Y17" i="52"/>
  <c r="AA18" i="52"/>
  <c r="AK18" i="52" s="1"/>
  <c r="S20" i="52"/>
  <c r="S22" i="52"/>
  <c r="S24" i="52"/>
  <c r="AF24" i="52" s="1"/>
  <c r="S26" i="52"/>
  <c r="AF26" i="52" s="1"/>
  <c r="S28" i="52"/>
  <c r="AF28" i="52" s="1"/>
  <c r="U29" i="52"/>
  <c r="AA29" i="52" s="1"/>
  <c r="S30" i="52"/>
  <c r="U31" i="52"/>
  <c r="AA31" i="52" s="1"/>
  <c r="AG13" i="52"/>
  <c r="AK13" i="52" s="1"/>
  <c r="AM13" i="52" s="1"/>
  <c r="Z15" i="52"/>
  <c r="Z17" i="52"/>
  <c r="T20" i="52"/>
  <c r="T22" i="52"/>
  <c r="T24" i="52"/>
  <c r="Y24" i="52" s="1"/>
  <c r="T26" i="52"/>
  <c r="T28" i="52"/>
  <c r="T30" i="52"/>
  <c r="Q13" i="52"/>
  <c r="AA15" i="52"/>
  <c r="AA17" i="52"/>
  <c r="S19" i="52"/>
  <c r="AE19" i="52"/>
  <c r="U20" i="52"/>
  <c r="AA20" i="52" s="1"/>
  <c r="S21" i="52"/>
  <c r="U22" i="52"/>
  <c r="AA22" i="52" s="1"/>
  <c r="S23" i="52"/>
  <c r="Z23" i="52" s="1"/>
  <c r="U24" i="52"/>
  <c r="AA24" i="52" s="1"/>
  <c r="S25" i="52"/>
  <c r="Z25" i="52" s="1"/>
  <c r="U26" i="52"/>
  <c r="AA26" i="52" s="1"/>
  <c r="S27" i="52"/>
  <c r="U28" i="52"/>
  <c r="AA28" i="52" s="1"/>
  <c r="U30" i="52"/>
  <c r="AA30" i="52" s="1"/>
  <c r="Y32" i="52"/>
  <c r="Z32" i="52"/>
  <c r="S16" i="52"/>
  <c r="AF16" i="52" s="1"/>
  <c r="S18" i="52"/>
  <c r="U19" i="52"/>
  <c r="AA19" i="52" s="1"/>
  <c r="U21" i="52"/>
  <c r="AG21" i="52" s="1"/>
  <c r="U23" i="52"/>
  <c r="AG23" i="52" s="1"/>
  <c r="U25" i="52"/>
  <c r="AA25" i="52" s="1"/>
  <c r="U27" i="52"/>
  <c r="AA27" i="52" s="1"/>
  <c r="Y31" i="52"/>
  <c r="AA32" i="52"/>
  <c r="T16" i="52"/>
  <c r="AE16" i="52" s="1"/>
  <c r="T18" i="52"/>
  <c r="AE18" i="52" s="1"/>
  <c r="Z31" i="52"/>
  <c r="Q16" i="51"/>
  <c r="Q20" i="51"/>
  <c r="Q17" i="51"/>
  <c r="AH23" i="51"/>
  <c r="Q32" i="51"/>
  <c r="AB14" i="51"/>
  <c r="Q24" i="51"/>
  <c r="Q29" i="51"/>
  <c r="Q30" i="51"/>
  <c r="Q15" i="51"/>
  <c r="Q18" i="51"/>
  <c r="AB22" i="51"/>
  <c r="Q28" i="51"/>
  <c r="Q31" i="51"/>
  <c r="T27" i="51"/>
  <c r="S29" i="51"/>
  <c r="Z29" i="51" s="1"/>
  <c r="Q33" i="51"/>
  <c r="U27" i="51"/>
  <c r="AG27" i="51" s="1"/>
  <c r="T29" i="51"/>
  <c r="Y29" i="51" s="1"/>
  <c r="U29" i="51"/>
  <c r="AG29" i="51" s="1"/>
  <c r="T31" i="51"/>
  <c r="S33" i="51"/>
  <c r="AF33" i="51" s="1"/>
  <c r="AG25" i="51"/>
  <c r="U31" i="51"/>
  <c r="AG31" i="51" s="1"/>
  <c r="T33" i="51"/>
  <c r="Y33" i="51" s="1"/>
  <c r="Q14" i="51"/>
  <c r="AB20" i="51"/>
  <c r="AB24" i="51"/>
  <c r="U33" i="51"/>
  <c r="AG33" i="51" s="1"/>
  <c r="Q23" i="51"/>
  <c r="Q26" i="51"/>
  <c r="S27" i="51"/>
  <c r="AF27" i="51" s="1"/>
  <c r="Q21" i="51"/>
  <c r="S23" i="51"/>
  <c r="AF23" i="51" s="1"/>
  <c r="Q25" i="51"/>
  <c r="T23" i="51"/>
  <c r="Y23" i="51" s="1"/>
  <c r="T21" i="51"/>
  <c r="AE21" i="51" s="1"/>
  <c r="U23" i="51"/>
  <c r="AG23" i="51" s="1"/>
  <c r="S25" i="51"/>
  <c r="AF25" i="51" s="1"/>
  <c r="Q27" i="51"/>
  <c r="AB32" i="51"/>
  <c r="AE13" i="51"/>
  <c r="AL13" i="51" s="1"/>
  <c r="AN13" i="51" s="1"/>
  <c r="AB27" i="51"/>
  <c r="AH27" i="51"/>
  <c r="AB29" i="51"/>
  <c r="AH16" i="51"/>
  <c r="AH29" i="51"/>
  <c r="AB31" i="51"/>
  <c r="AH31" i="51"/>
  <c r="AB33" i="51"/>
  <c r="AH33" i="51"/>
  <c r="AH14" i="51"/>
  <c r="AB21" i="51"/>
  <c r="AH21" i="51"/>
  <c r="AH18" i="51"/>
  <c r="AF29" i="51"/>
  <c r="S15" i="51"/>
  <c r="AF15" i="51" s="1"/>
  <c r="S24" i="51"/>
  <c r="Z24" i="51" s="1"/>
  <c r="AA13" i="51"/>
  <c r="T15" i="51"/>
  <c r="T17" i="51"/>
  <c r="AF17" i="51"/>
  <c r="T20" i="51"/>
  <c r="T22" i="51"/>
  <c r="T24" i="51"/>
  <c r="T26" i="51"/>
  <c r="T28" i="51"/>
  <c r="AF28" i="51"/>
  <c r="T30" i="51"/>
  <c r="AF30" i="51"/>
  <c r="T32" i="51"/>
  <c r="S20" i="51"/>
  <c r="AF20" i="51" s="1"/>
  <c r="S22" i="51"/>
  <c r="AF22" i="51" s="1"/>
  <c r="S26" i="51"/>
  <c r="Z26" i="51" s="1"/>
  <c r="S32" i="51"/>
  <c r="AF32" i="51" s="1"/>
  <c r="AB13" i="51"/>
  <c r="AH13" i="51" s="1"/>
  <c r="S14" i="51"/>
  <c r="U15" i="51"/>
  <c r="AA15" i="51" s="1"/>
  <c r="S16" i="51"/>
  <c r="AF16" i="51" s="1"/>
  <c r="U17" i="51"/>
  <c r="AG17" i="51" s="1"/>
  <c r="S18" i="51"/>
  <c r="U20" i="51"/>
  <c r="AA20" i="51" s="1"/>
  <c r="S21" i="51"/>
  <c r="U22" i="51"/>
  <c r="AA22" i="51" s="1"/>
  <c r="U24" i="51"/>
  <c r="AA24" i="51" s="1"/>
  <c r="AK24" i="51" s="1"/>
  <c r="U26" i="51"/>
  <c r="AG26" i="51" s="1"/>
  <c r="U28" i="51"/>
  <c r="AA28" i="51" s="1"/>
  <c r="AK28" i="51" s="1"/>
  <c r="U30" i="51"/>
  <c r="AA30" i="51" s="1"/>
  <c r="U32" i="51"/>
  <c r="AG32" i="51" s="1"/>
  <c r="T14" i="51"/>
  <c r="AF14" i="51"/>
  <c r="AH15" i="51"/>
  <c r="T16" i="51"/>
  <c r="V17" i="51"/>
  <c r="AB17" i="51" s="1"/>
  <c r="T18" i="51"/>
  <c r="AH20" i="51"/>
  <c r="AH22" i="51"/>
  <c r="AH24" i="51"/>
  <c r="AH26" i="51"/>
  <c r="V28" i="51"/>
  <c r="AB28" i="51" s="1"/>
  <c r="V30" i="51"/>
  <c r="AB30" i="51" s="1"/>
  <c r="AH32" i="51"/>
  <c r="Z13" i="51"/>
  <c r="AF13" i="51" s="1"/>
  <c r="AD13" i="51"/>
  <c r="U14" i="51"/>
  <c r="AA14" i="51" s="1"/>
  <c r="U16" i="51"/>
  <c r="AA16" i="51" s="1"/>
  <c r="U18" i="51"/>
  <c r="AA18" i="51" s="1"/>
  <c r="U21" i="51"/>
  <c r="AA21" i="51" s="1"/>
  <c r="Y27" i="51"/>
  <c r="AA23" i="51"/>
  <c r="Y24" i="51"/>
  <c r="Z17" i="51"/>
  <c r="Z28" i="51"/>
  <c r="Z30" i="51"/>
  <c r="Z37" i="50"/>
  <c r="AG36" i="50"/>
  <c r="Z36" i="50"/>
  <c r="V37" i="50"/>
  <c r="AB37" i="50" s="1"/>
  <c r="U37" i="50"/>
  <c r="AA37" i="50" s="1"/>
  <c r="AF37" i="50"/>
  <c r="T37" i="50"/>
  <c r="V36" i="50"/>
  <c r="AB36" i="50" s="1"/>
  <c r="Q13" i="50"/>
  <c r="Q17" i="50"/>
  <c r="Q24" i="50"/>
  <c r="S26" i="50"/>
  <c r="Z26" i="50" s="1"/>
  <c r="AH28" i="50"/>
  <c r="AH20" i="50"/>
  <c r="AB24" i="50"/>
  <c r="AB31" i="50"/>
  <c r="AH33" i="50"/>
  <c r="Q19" i="50"/>
  <c r="Q22" i="50"/>
  <c r="AH26" i="50"/>
  <c r="Q29" i="50"/>
  <c r="Q34" i="50"/>
  <c r="AB29" i="50"/>
  <c r="Q27" i="50"/>
  <c r="Q32" i="50"/>
  <c r="T19" i="50"/>
  <c r="AB27" i="50"/>
  <c r="AB32" i="50"/>
  <c r="V19" i="50"/>
  <c r="AH19" i="50" s="1"/>
  <c r="Q30" i="50"/>
  <c r="S32" i="50"/>
  <c r="Q15" i="50"/>
  <c r="AB16" i="50"/>
  <c r="AB30" i="50"/>
  <c r="Q35" i="50"/>
  <c r="AH14" i="50"/>
  <c r="U16" i="50"/>
  <c r="AG16" i="50" s="1"/>
  <c r="Q28" i="50"/>
  <c r="S30" i="50"/>
  <c r="AF30" i="50" s="1"/>
  <c r="AB28" i="50"/>
  <c r="Q26" i="50"/>
  <c r="S28" i="50"/>
  <c r="Z28" i="50" s="1"/>
  <c r="AA15" i="50"/>
  <c r="Z15" i="50"/>
  <c r="AA19" i="50"/>
  <c r="AB19" i="50"/>
  <c r="Z19" i="50"/>
  <c r="AH31" i="50"/>
  <c r="AG15" i="50"/>
  <c r="AG19" i="50"/>
  <c r="AH25" i="50"/>
  <c r="AH29" i="50"/>
  <c r="AH27" i="50"/>
  <c r="W17" i="50"/>
  <c r="AH34" i="50"/>
  <c r="AB14" i="50"/>
  <c r="AH22" i="50"/>
  <c r="AH32" i="50"/>
  <c r="AG14" i="50"/>
  <c r="AH18" i="50"/>
  <c r="AA17" i="50"/>
  <c r="AB17" i="50"/>
  <c r="Z17" i="50"/>
  <c r="Y17" i="50"/>
  <c r="AH24" i="50"/>
  <c r="AH30" i="50"/>
  <c r="AG17" i="50"/>
  <c r="S35" i="50"/>
  <c r="AF35" i="50" s="1"/>
  <c r="T35" i="50"/>
  <c r="AG35" i="50"/>
  <c r="T22" i="50"/>
  <c r="AF22" i="50"/>
  <c r="T24" i="50"/>
  <c r="T26" i="50"/>
  <c r="Y26" i="50" s="1"/>
  <c r="T28" i="50"/>
  <c r="AF28" i="50"/>
  <c r="T30" i="50"/>
  <c r="T32" i="50"/>
  <c r="AF32" i="50"/>
  <c r="T34" i="50"/>
  <c r="V35" i="50"/>
  <c r="AB35" i="50" s="1"/>
  <c r="AA14" i="50"/>
  <c r="S16" i="50"/>
  <c r="S18" i="50"/>
  <c r="AF18" i="50" s="1"/>
  <c r="S20" i="50"/>
  <c r="AF20" i="50" s="1"/>
  <c r="U22" i="50"/>
  <c r="AA22" i="50" s="1"/>
  <c r="S23" i="50"/>
  <c r="AF23" i="50" s="1"/>
  <c r="U24" i="50"/>
  <c r="AG24" i="50" s="1"/>
  <c r="S25" i="50"/>
  <c r="U26" i="50"/>
  <c r="AA26" i="50" s="1"/>
  <c r="S27" i="50"/>
  <c r="U28" i="50"/>
  <c r="AG28" i="50" s="1"/>
  <c r="S29" i="50"/>
  <c r="AF29" i="50" s="1"/>
  <c r="U30" i="50"/>
  <c r="AA30" i="50" s="1"/>
  <c r="S31" i="50"/>
  <c r="AF31" i="50" s="1"/>
  <c r="U32" i="50"/>
  <c r="AA32" i="50" s="1"/>
  <c r="S33" i="50"/>
  <c r="U34" i="50"/>
  <c r="AA34" i="50" s="1"/>
  <c r="Y13" i="50"/>
  <c r="T16" i="50"/>
  <c r="T18" i="50"/>
  <c r="AE18" i="50" s="1"/>
  <c r="T20" i="50"/>
  <c r="AE20" i="50" s="1"/>
  <c r="T23" i="50"/>
  <c r="T25" i="50"/>
  <c r="AF25" i="50"/>
  <c r="T27" i="50"/>
  <c r="T29" i="50"/>
  <c r="T31" i="50"/>
  <c r="T33" i="50"/>
  <c r="U18" i="50"/>
  <c r="AA18" i="50" s="1"/>
  <c r="AK18" i="50" s="1"/>
  <c r="U20" i="50"/>
  <c r="AA20" i="50" s="1"/>
  <c r="AK20" i="50" s="1"/>
  <c r="U23" i="50"/>
  <c r="AA23" i="50" s="1"/>
  <c r="U25" i="50"/>
  <c r="AA25" i="50" s="1"/>
  <c r="U27" i="50"/>
  <c r="AA27" i="50" s="1"/>
  <c r="U29" i="50"/>
  <c r="AA29" i="50" s="1"/>
  <c r="U31" i="50"/>
  <c r="AA31" i="50" s="1"/>
  <c r="U33" i="50"/>
  <c r="AA33" i="50" s="1"/>
  <c r="AA13" i="50"/>
  <c r="T15" i="50"/>
  <c r="AF15" i="50"/>
  <c r="AF17" i="50"/>
  <c r="AF19" i="50"/>
  <c r="Z35" i="50"/>
  <c r="AB13" i="50"/>
  <c r="AH13" i="50" s="1"/>
  <c r="S14" i="50"/>
  <c r="Y32" i="50"/>
  <c r="AA35" i="50"/>
  <c r="T14" i="50"/>
  <c r="Z32" i="50"/>
  <c r="Y34" i="49"/>
  <c r="AF33" i="49"/>
  <c r="Z33" i="49"/>
  <c r="AH35" i="49"/>
  <c r="Z32" i="49"/>
  <c r="AE34" i="49"/>
  <c r="S34" i="49"/>
  <c r="U32" i="49"/>
  <c r="AA32" i="49" s="1"/>
  <c r="Z35" i="49"/>
  <c r="AF32" i="49"/>
  <c r="T32" i="49"/>
  <c r="V34" i="49"/>
  <c r="AB34" i="49" s="1"/>
  <c r="U34" i="49"/>
  <c r="AA34" i="49" s="1"/>
  <c r="AB14" i="49"/>
  <c r="AG24" i="49"/>
  <c r="U21" i="49"/>
  <c r="AG21" i="49" s="1"/>
  <c r="S23" i="49"/>
  <c r="Q25" i="49"/>
  <c r="Q28" i="49"/>
  <c r="Q31" i="49"/>
  <c r="T23" i="49"/>
  <c r="V23" i="49"/>
  <c r="AH23" i="49" s="1"/>
  <c r="AE21" i="49"/>
  <c r="Z13" i="49"/>
  <c r="AF13" i="49" s="1"/>
  <c r="Q16" i="49"/>
  <c r="Q19" i="49"/>
  <c r="AB16" i="49"/>
  <c r="AB19" i="49"/>
  <c r="T22" i="49"/>
  <c r="AH22" i="49"/>
  <c r="AH27" i="49"/>
  <c r="AH30" i="49"/>
  <c r="AH14" i="49"/>
  <c r="AF21" i="49"/>
  <c r="W21" i="49"/>
  <c r="AH25" i="49"/>
  <c r="AH28" i="49"/>
  <c r="AH31" i="49"/>
  <c r="AH18" i="49"/>
  <c r="AG23" i="49"/>
  <c r="Z17" i="49"/>
  <c r="AH26" i="49"/>
  <c r="AH29" i="49"/>
  <c r="T15" i="49"/>
  <c r="Y15" i="49" s="1"/>
  <c r="AF15" i="49"/>
  <c r="T17" i="49"/>
  <c r="AF17" i="49"/>
  <c r="T19" i="49"/>
  <c r="Z23" i="49"/>
  <c r="S14" i="49"/>
  <c r="AF14" i="49" s="1"/>
  <c r="U15" i="49"/>
  <c r="AA15" i="49" s="1"/>
  <c r="S16" i="49"/>
  <c r="AF16" i="49" s="1"/>
  <c r="U17" i="49"/>
  <c r="AA17" i="49" s="1"/>
  <c r="S18" i="49"/>
  <c r="AF18" i="49" s="1"/>
  <c r="U19" i="49"/>
  <c r="AA19" i="49" s="1"/>
  <c r="Y22" i="49"/>
  <c r="AA23" i="49"/>
  <c r="S29" i="49"/>
  <c r="AF29" i="49" s="1"/>
  <c r="S31" i="49"/>
  <c r="AF31" i="49" s="1"/>
  <c r="S19" i="49"/>
  <c r="T14" i="49"/>
  <c r="V15" i="49"/>
  <c r="AH15" i="49" s="1"/>
  <c r="T16" i="49"/>
  <c r="V17" i="49"/>
  <c r="AB17" i="49" s="1"/>
  <c r="T18" i="49"/>
  <c r="AH19" i="49"/>
  <c r="AB25" i="49"/>
  <c r="AB27" i="49"/>
  <c r="T29" i="49"/>
  <c r="T31" i="49"/>
  <c r="Y31" i="49" s="1"/>
  <c r="U14" i="49"/>
  <c r="AA14" i="49" s="1"/>
  <c r="U16" i="49"/>
  <c r="AA16" i="49" s="1"/>
  <c r="U18" i="49"/>
  <c r="AG18" i="49" s="1"/>
  <c r="Y21" i="49"/>
  <c r="AA22" i="49"/>
  <c r="AA24" i="49"/>
  <c r="S26" i="49"/>
  <c r="AF26" i="49" s="1"/>
  <c r="S28" i="49"/>
  <c r="AF28" i="49" s="1"/>
  <c r="U29" i="49"/>
  <c r="AA29" i="49" s="1"/>
  <c r="S30" i="49"/>
  <c r="AF30" i="49" s="1"/>
  <c r="U31" i="49"/>
  <c r="AA31" i="49" s="1"/>
  <c r="Z21" i="49"/>
  <c r="T26" i="49"/>
  <c r="T28" i="49"/>
  <c r="T30" i="49"/>
  <c r="AA21" i="49"/>
  <c r="Q22" i="49"/>
  <c r="S25" i="49"/>
  <c r="AF25" i="49" s="1"/>
  <c r="U26" i="49"/>
  <c r="AA26" i="49" s="1"/>
  <c r="S27" i="49"/>
  <c r="U28" i="49"/>
  <c r="AA28" i="49" s="1"/>
  <c r="U30" i="49"/>
  <c r="AA30" i="49" s="1"/>
  <c r="Z15" i="49"/>
  <c r="AF23" i="49"/>
  <c r="T25" i="49"/>
  <c r="T27" i="49"/>
  <c r="S22" i="49"/>
  <c r="Z22" i="49" s="1"/>
  <c r="AE22" i="49"/>
  <c r="S24" i="49"/>
  <c r="Z24" i="49" s="1"/>
  <c r="U25" i="49"/>
  <c r="AA25" i="49" s="1"/>
  <c r="AK25" i="49" s="1"/>
  <c r="U27" i="49"/>
  <c r="AA27" i="49" s="1"/>
  <c r="Z14" i="49"/>
  <c r="Z16" i="49"/>
  <c r="T24" i="49"/>
  <c r="AB30" i="48"/>
  <c r="Z13" i="48"/>
  <c r="AF13" i="48" s="1"/>
  <c r="AG15" i="48"/>
  <c r="S18" i="48"/>
  <c r="AF18" i="48" s="1"/>
  <c r="AB23" i="48"/>
  <c r="AB25" i="48"/>
  <c r="AH30" i="48"/>
  <c r="Q31" i="48"/>
  <c r="AB13" i="48"/>
  <c r="AH13" i="48" s="1"/>
  <c r="Q22" i="48"/>
  <c r="Q24" i="48"/>
  <c r="Q26" i="48"/>
  <c r="S16" i="48"/>
  <c r="Z16" i="48" s="1"/>
  <c r="Q19" i="48"/>
  <c r="S31" i="48"/>
  <c r="AF31" i="48" s="1"/>
  <c r="AH22" i="48"/>
  <c r="AH24" i="48"/>
  <c r="V26" i="48"/>
  <c r="AH26" i="48" s="1"/>
  <c r="Q29" i="48"/>
  <c r="AB22" i="48"/>
  <c r="AB24" i="48"/>
  <c r="Q32" i="48"/>
  <c r="Q21" i="48"/>
  <c r="Q23" i="48"/>
  <c r="Q25" i="48"/>
  <c r="Q27" i="48"/>
  <c r="Q15" i="48"/>
  <c r="AG17" i="48"/>
  <c r="T21" i="48"/>
  <c r="T23" i="48"/>
  <c r="T25" i="48"/>
  <c r="AH18" i="48"/>
  <c r="AH28" i="48"/>
  <c r="AH16" i="48"/>
  <c r="AH31" i="48"/>
  <c r="AG19" i="48"/>
  <c r="AG22" i="48"/>
  <c r="AG24" i="48"/>
  <c r="AG26" i="48"/>
  <c r="AH29" i="48"/>
  <c r="AH14" i="48"/>
  <c r="AF21" i="48"/>
  <c r="AF23" i="48"/>
  <c r="AF25" i="48"/>
  <c r="S15" i="48"/>
  <c r="Z15" i="48" s="1"/>
  <c r="S17" i="48"/>
  <c r="S19" i="48"/>
  <c r="AF19" i="48" s="1"/>
  <c r="S32" i="48"/>
  <c r="AF32" i="48" s="1"/>
  <c r="T15" i="48"/>
  <c r="T17" i="48"/>
  <c r="T19" i="48"/>
  <c r="T32" i="48"/>
  <c r="Y32" i="48" s="1"/>
  <c r="AG32" i="48"/>
  <c r="T14" i="48"/>
  <c r="AF14" i="48"/>
  <c r="V15" i="48"/>
  <c r="AB15" i="48" s="1"/>
  <c r="T16" i="48"/>
  <c r="V17" i="48"/>
  <c r="AH17" i="48" s="1"/>
  <c r="T18" i="48"/>
  <c r="V19" i="48"/>
  <c r="AB19" i="48" s="1"/>
  <c r="AB27" i="48"/>
  <c r="AB29" i="48"/>
  <c r="T31" i="48"/>
  <c r="V32" i="48"/>
  <c r="AB32" i="48" s="1"/>
  <c r="U14" i="48"/>
  <c r="AA14" i="48" s="1"/>
  <c r="U16" i="48"/>
  <c r="AG16" i="48" s="1"/>
  <c r="U18" i="48"/>
  <c r="AA18" i="48" s="1"/>
  <c r="AA22" i="48"/>
  <c r="AK22" i="48" s="1"/>
  <c r="AA24" i="48"/>
  <c r="Y25" i="48"/>
  <c r="AA26" i="48"/>
  <c r="S28" i="48"/>
  <c r="S30" i="48"/>
  <c r="AF30" i="48" s="1"/>
  <c r="U31" i="48"/>
  <c r="AA31" i="48" s="1"/>
  <c r="Z21" i="48"/>
  <c r="Z23" i="48"/>
  <c r="Z25" i="48"/>
  <c r="T28" i="48"/>
  <c r="T30" i="48"/>
  <c r="AA21" i="48"/>
  <c r="S27" i="48"/>
  <c r="AF27" i="48" s="1"/>
  <c r="U28" i="48"/>
  <c r="AA28" i="48" s="1"/>
  <c r="S29" i="48"/>
  <c r="AF29" i="48" s="1"/>
  <c r="U30" i="48"/>
  <c r="AA30" i="48" s="1"/>
  <c r="Z19" i="48"/>
  <c r="T27" i="48"/>
  <c r="T29" i="48"/>
  <c r="AA15" i="48"/>
  <c r="AA17" i="48"/>
  <c r="AA19" i="48"/>
  <c r="S22" i="48"/>
  <c r="AF22" i="48" s="1"/>
  <c r="S24" i="48"/>
  <c r="Z24" i="48" s="1"/>
  <c r="S26" i="48"/>
  <c r="Z26" i="48" s="1"/>
  <c r="U27" i="48"/>
  <c r="AA27" i="48" s="1"/>
  <c r="AK27" i="48" s="1"/>
  <c r="U29" i="48"/>
  <c r="AG29" i="48" s="1"/>
  <c r="AA32" i="48"/>
  <c r="Z14" i="48"/>
  <c r="T22" i="48"/>
  <c r="T24" i="48"/>
  <c r="T26" i="48"/>
  <c r="AH17" i="47"/>
  <c r="AH21" i="47"/>
  <c r="AH24" i="47"/>
  <c r="AH27" i="47"/>
  <c r="AH30" i="47"/>
  <c r="Q15" i="47"/>
  <c r="Q18" i="47"/>
  <c r="Q22" i="47"/>
  <c r="Q25" i="47"/>
  <c r="Q28" i="47"/>
  <c r="Q31" i="47"/>
  <c r="Q16" i="47"/>
  <c r="Q19" i="47"/>
  <c r="Q23" i="47"/>
  <c r="Q26" i="47"/>
  <c r="Q29" i="47"/>
  <c r="Q32" i="47"/>
  <c r="Q14" i="47"/>
  <c r="Q17" i="47"/>
  <c r="Q21" i="47"/>
  <c r="Q24" i="47"/>
  <c r="Q27" i="47"/>
  <c r="Q30" i="47"/>
  <c r="AB17" i="47"/>
  <c r="AB24" i="47"/>
  <c r="AB27" i="47"/>
  <c r="AB30" i="47"/>
  <c r="AB18" i="47"/>
  <c r="AH15" i="47"/>
  <c r="AH18" i="47"/>
  <c r="AH22" i="47"/>
  <c r="AH25" i="47"/>
  <c r="AH28" i="47"/>
  <c r="AH31" i="47"/>
  <c r="AB16" i="47"/>
  <c r="AH16" i="47"/>
  <c r="AH19" i="47"/>
  <c r="AH23" i="47"/>
  <c r="AH26" i="47"/>
  <c r="AH29" i="47"/>
  <c r="AH32" i="47"/>
  <c r="AH14" i="47"/>
  <c r="S23" i="47"/>
  <c r="AF23" i="47" s="1"/>
  <c r="S25" i="47"/>
  <c r="S27" i="47"/>
  <c r="AF27" i="47" s="1"/>
  <c r="S29" i="47"/>
  <c r="AF29" i="47" s="1"/>
  <c r="S31" i="47"/>
  <c r="AF31" i="47" s="1"/>
  <c r="Y13" i="47"/>
  <c r="AB14" i="47"/>
  <c r="AB21" i="47"/>
  <c r="T23" i="47"/>
  <c r="T25" i="47"/>
  <c r="T27" i="47"/>
  <c r="T29" i="47"/>
  <c r="T31" i="47"/>
  <c r="Z13" i="47"/>
  <c r="AF13" i="47" s="1"/>
  <c r="S15" i="47"/>
  <c r="AF15" i="47" s="1"/>
  <c r="S17" i="47"/>
  <c r="AF17" i="47" s="1"/>
  <c r="S19" i="47"/>
  <c r="S22" i="47"/>
  <c r="AF22" i="47" s="1"/>
  <c r="U23" i="47"/>
  <c r="AA23" i="47" s="1"/>
  <c r="S24" i="47"/>
  <c r="AF24" i="47" s="1"/>
  <c r="U25" i="47"/>
  <c r="AA25" i="47" s="1"/>
  <c r="S26" i="47"/>
  <c r="AF26" i="47" s="1"/>
  <c r="U27" i="47"/>
  <c r="AG27" i="47" s="1"/>
  <c r="S28" i="47"/>
  <c r="AF28" i="47" s="1"/>
  <c r="U29" i="47"/>
  <c r="AA29" i="47" s="1"/>
  <c r="S30" i="47"/>
  <c r="AF30" i="47" s="1"/>
  <c r="U31" i="47"/>
  <c r="AA31" i="47" s="1"/>
  <c r="S32" i="47"/>
  <c r="AF32" i="47" s="1"/>
  <c r="AA13" i="47"/>
  <c r="T15" i="47"/>
  <c r="AE15" i="47" s="1"/>
  <c r="T17" i="47"/>
  <c r="T19" i="47"/>
  <c r="T22" i="47"/>
  <c r="T24" i="47"/>
  <c r="T26" i="47"/>
  <c r="T28" i="47"/>
  <c r="T30" i="47"/>
  <c r="T32" i="47"/>
  <c r="AB13" i="47"/>
  <c r="AH13" i="47" s="1"/>
  <c r="S14" i="47"/>
  <c r="Z14" i="47" s="1"/>
  <c r="U15" i="47"/>
  <c r="AA15" i="47" s="1"/>
  <c r="S16" i="47"/>
  <c r="Z16" i="47" s="1"/>
  <c r="U17" i="47"/>
  <c r="AA17" i="47" s="1"/>
  <c r="S18" i="47"/>
  <c r="U19" i="47"/>
  <c r="AA19" i="47" s="1"/>
  <c r="S21" i="47"/>
  <c r="U22" i="47"/>
  <c r="AA22" i="47" s="1"/>
  <c r="U24" i="47"/>
  <c r="AA24" i="47" s="1"/>
  <c r="U26" i="47"/>
  <c r="AA26" i="47" s="1"/>
  <c r="U28" i="47"/>
  <c r="AA28" i="47" s="1"/>
  <c r="U30" i="47"/>
  <c r="AA30" i="47" s="1"/>
  <c r="U32" i="47"/>
  <c r="AA32" i="47" s="1"/>
  <c r="T14" i="47"/>
  <c r="T16" i="47"/>
  <c r="T18" i="47"/>
  <c r="T21" i="47"/>
  <c r="AF21" i="47"/>
  <c r="U14" i="47"/>
  <c r="AA14" i="47" s="1"/>
  <c r="U16" i="47"/>
  <c r="AA16" i="47" s="1"/>
  <c r="U18" i="47"/>
  <c r="AA18" i="47" s="1"/>
  <c r="U21" i="47"/>
  <c r="AG21" i="47" s="1"/>
  <c r="Y23" i="47"/>
  <c r="Y25" i="47"/>
  <c r="Z23" i="47"/>
  <c r="Q16" i="46"/>
  <c r="Q19" i="46"/>
  <c r="Q23" i="46"/>
  <c r="Q26" i="46"/>
  <c r="Q29" i="46"/>
  <c r="Q32" i="46"/>
  <c r="Q35" i="46"/>
  <c r="Q14" i="46"/>
  <c r="Q17" i="46"/>
  <c r="Q20" i="46"/>
  <c r="Q24" i="46"/>
  <c r="Q27" i="46"/>
  <c r="Q30" i="46"/>
  <c r="Q33" i="46"/>
  <c r="Q36" i="46"/>
  <c r="AB17" i="46"/>
  <c r="AB24" i="46"/>
  <c r="AB27" i="46"/>
  <c r="AB30" i="46"/>
  <c r="AB33" i="46"/>
  <c r="AH15" i="46"/>
  <c r="AH18" i="46"/>
  <c r="AH22" i="46"/>
  <c r="AH25" i="46"/>
  <c r="AH28" i="46"/>
  <c r="AH31" i="46"/>
  <c r="AH34" i="46"/>
  <c r="AB16" i="46"/>
  <c r="AH16" i="46"/>
  <c r="AH19" i="46"/>
  <c r="AH23" i="46"/>
  <c r="AH26" i="46"/>
  <c r="AH29" i="46"/>
  <c r="AH32" i="46"/>
  <c r="AH35" i="46"/>
  <c r="AB36" i="46"/>
  <c r="AH14" i="46"/>
  <c r="AH17" i="46"/>
  <c r="AH20" i="46"/>
  <c r="AH24" i="46"/>
  <c r="AH27" i="46"/>
  <c r="AH30" i="46"/>
  <c r="AH33" i="46"/>
  <c r="AH36" i="46"/>
  <c r="T36" i="46"/>
  <c r="S36" i="46"/>
  <c r="S23" i="46"/>
  <c r="Z23" i="46" s="1"/>
  <c r="S25" i="46"/>
  <c r="S27" i="46"/>
  <c r="S29" i="46"/>
  <c r="S31" i="46"/>
  <c r="S33" i="46"/>
  <c r="S35" i="46"/>
  <c r="U36" i="46"/>
  <c r="AG36" i="46" s="1"/>
  <c r="Y13" i="46"/>
  <c r="AB14" i="46"/>
  <c r="AB18" i="46"/>
  <c r="AB20" i="46"/>
  <c r="T23" i="46"/>
  <c r="T25" i="46"/>
  <c r="T27" i="46"/>
  <c r="AF27" i="46"/>
  <c r="T29" i="46"/>
  <c r="AF29" i="46"/>
  <c r="T31" i="46"/>
  <c r="T33" i="46"/>
  <c r="AE33" i="46" s="1"/>
  <c r="T35" i="46"/>
  <c r="AE35" i="46" s="1"/>
  <c r="Z13" i="46"/>
  <c r="AF13" i="46" s="1"/>
  <c r="S15" i="46"/>
  <c r="AF15" i="46" s="1"/>
  <c r="S17" i="46"/>
  <c r="AF17" i="46" s="1"/>
  <c r="S19" i="46"/>
  <c r="AF19" i="46" s="1"/>
  <c r="S22" i="46"/>
  <c r="AF22" i="46" s="1"/>
  <c r="U23" i="46"/>
  <c r="AA23" i="46" s="1"/>
  <c r="S24" i="46"/>
  <c r="U25" i="46"/>
  <c r="AA25" i="46" s="1"/>
  <c r="S26" i="46"/>
  <c r="U27" i="46"/>
  <c r="AG27" i="46" s="1"/>
  <c r="S28" i="46"/>
  <c r="U29" i="46"/>
  <c r="AA29" i="46" s="1"/>
  <c r="S30" i="46"/>
  <c r="AF30" i="46" s="1"/>
  <c r="U31" i="46"/>
  <c r="AA31" i="46" s="1"/>
  <c r="S32" i="46"/>
  <c r="AF32" i="46" s="1"/>
  <c r="U33" i="46"/>
  <c r="AG33" i="46" s="1"/>
  <c r="S34" i="46"/>
  <c r="AF34" i="46" s="1"/>
  <c r="U35" i="46"/>
  <c r="AA35" i="46" s="1"/>
  <c r="AA13" i="46"/>
  <c r="T15" i="46"/>
  <c r="T17" i="46"/>
  <c r="T19" i="46"/>
  <c r="T22" i="46"/>
  <c r="AE22" i="46" s="1"/>
  <c r="T24" i="46"/>
  <c r="T26" i="46"/>
  <c r="T28" i="46"/>
  <c r="AF28" i="46"/>
  <c r="T30" i="46"/>
  <c r="T32" i="46"/>
  <c r="T34" i="46"/>
  <c r="AB13" i="46"/>
  <c r="AH13" i="46" s="1"/>
  <c r="S14" i="46"/>
  <c r="Z14" i="46" s="1"/>
  <c r="U15" i="46"/>
  <c r="AA15" i="46" s="1"/>
  <c r="S16" i="46"/>
  <c r="Z16" i="46" s="1"/>
  <c r="U17" i="46"/>
  <c r="AA17" i="46" s="1"/>
  <c r="S18" i="46"/>
  <c r="AF18" i="46" s="1"/>
  <c r="U19" i="46"/>
  <c r="AA19" i="46" s="1"/>
  <c r="S20" i="46"/>
  <c r="AF20" i="46" s="1"/>
  <c r="U22" i="46"/>
  <c r="AA22" i="46" s="1"/>
  <c r="U24" i="46"/>
  <c r="AA24" i="46" s="1"/>
  <c r="U26" i="46"/>
  <c r="AA26" i="46" s="1"/>
  <c r="U28" i="46"/>
  <c r="AA28" i="46" s="1"/>
  <c r="AG28" i="46"/>
  <c r="U30" i="46"/>
  <c r="AA30" i="46" s="1"/>
  <c r="U32" i="46"/>
  <c r="AA32" i="46" s="1"/>
  <c r="U34" i="46"/>
  <c r="AA34" i="46" s="1"/>
  <c r="T14" i="46"/>
  <c r="T16" i="46"/>
  <c r="T18" i="46"/>
  <c r="T20" i="46"/>
  <c r="Z36" i="46"/>
  <c r="U14" i="46"/>
  <c r="AA14" i="46" s="1"/>
  <c r="U16" i="46"/>
  <c r="AG16" i="46" s="1"/>
  <c r="U18" i="46"/>
  <c r="AG18" i="46" s="1"/>
  <c r="U20" i="46"/>
  <c r="AA20" i="46" s="1"/>
  <c r="Y35" i="46"/>
  <c r="Z27" i="46"/>
  <c r="Z31" i="46"/>
  <c r="Y17" i="45"/>
  <c r="Y19" i="45"/>
  <c r="AB29" i="45"/>
  <c r="AB31" i="45"/>
  <c r="AB33" i="45"/>
  <c r="AB35" i="45"/>
  <c r="AE15" i="45"/>
  <c r="AE17" i="45"/>
  <c r="AE19" i="45"/>
  <c r="S14" i="45"/>
  <c r="Z14" i="45" s="1"/>
  <c r="Q30" i="45"/>
  <c r="Q32" i="45"/>
  <c r="Q34" i="45"/>
  <c r="Q36" i="45"/>
  <c r="Q28" i="45"/>
  <c r="Q26" i="45"/>
  <c r="S30" i="45"/>
  <c r="AF30" i="45" s="1"/>
  <c r="S32" i="45"/>
  <c r="AF32" i="45" s="1"/>
  <c r="S34" i="45"/>
  <c r="AF34" i="45" s="1"/>
  <c r="S36" i="45"/>
  <c r="AF36" i="45" s="1"/>
  <c r="Q24" i="45"/>
  <c r="AB26" i="45"/>
  <c r="S28" i="45"/>
  <c r="Z28" i="45" s="1"/>
  <c r="T30" i="45"/>
  <c r="Y30" i="45" s="1"/>
  <c r="T32" i="45"/>
  <c r="Y32" i="45" s="1"/>
  <c r="T34" i="45"/>
  <c r="Y34" i="45" s="1"/>
  <c r="T36" i="45"/>
  <c r="Q15" i="45"/>
  <c r="Q17" i="45"/>
  <c r="Q19" i="45"/>
  <c r="Q22" i="45"/>
  <c r="S26" i="45"/>
  <c r="Z26" i="45" s="1"/>
  <c r="Q20" i="45"/>
  <c r="AB15" i="45"/>
  <c r="AB17" i="45"/>
  <c r="AB19" i="45"/>
  <c r="AB22" i="45"/>
  <c r="AH30" i="45"/>
  <c r="AH32" i="45"/>
  <c r="AH34" i="45"/>
  <c r="AH36" i="45"/>
  <c r="Q13" i="45"/>
  <c r="S15" i="45"/>
  <c r="Z15" i="45" s="1"/>
  <c r="S17" i="45"/>
  <c r="Z17" i="45" s="1"/>
  <c r="S19" i="45"/>
  <c r="Z19" i="45" s="1"/>
  <c r="S22" i="45"/>
  <c r="Z22" i="45" s="1"/>
  <c r="AB14" i="45"/>
  <c r="AH29" i="45"/>
  <c r="AH31" i="45"/>
  <c r="AH33" i="45"/>
  <c r="AH35" i="45"/>
  <c r="AH14" i="45"/>
  <c r="AB16" i="45"/>
  <c r="AH27" i="45"/>
  <c r="AH16" i="45"/>
  <c r="AB18" i="45"/>
  <c r="AH25" i="45"/>
  <c r="AH18" i="45"/>
  <c r="AH23" i="45"/>
  <c r="AB30" i="45"/>
  <c r="AB32" i="45"/>
  <c r="AB34" i="45"/>
  <c r="AB36" i="45"/>
  <c r="AH28" i="45"/>
  <c r="S23" i="45"/>
  <c r="AF23" i="45" s="1"/>
  <c r="S25" i="45"/>
  <c r="AF25" i="45" s="1"/>
  <c r="S27" i="45"/>
  <c r="AF27" i="45" s="1"/>
  <c r="S29" i="45"/>
  <c r="U30" i="45"/>
  <c r="AA30" i="45" s="1"/>
  <c r="S31" i="45"/>
  <c r="Z31" i="45" s="1"/>
  <c r="U32" i="45"/>
  <c r="AG32" i="45" s="1"/>
  <c r="S33" i="45"/>
  <c r="U34" i="45"/>
  <c r="AG34" i="45" s="1"/>
  <c r="S35" i="45"/>
  <c r="AF35" i="45" s="1"/>
  <c r="U36" i="45"/>
  <c r="AA36" i="45" s="1"/>
  <c r="Y13" i="45"/>
  <c r="T23" i="45"/>
  <c r="AE23" i="45" s="1"/>
  <c r="T25" i="45"/>
  <c r="T27" i="45"/>
  <c r="Y27" i="45" s="1"/>
  <c r="T29" i="45"/>
  <c r="AF29" i="45"/>
  <c r="T31" i="45"/>
  <c r="T33" i="45"/>
  <c r="AF33" i="45"/>
  <c r="T35" i="45"/>
  <c r="AE35" i="45" s="1"/>
  <c r="Z13" i="45"/>
  <c r="AF13" i="45" s="1"/>
  <c r="Q14" i="45"/>
  <c r="Q16" i="45"/>
  <c r="Q18" i="45"/>
  <c r="U23" i="45"/>
  <c r="AA23" i="45" s="1"/>
  <c r="U25" i="45"/>
  <c r="AA25" i="45" s="1"/>
  <c r="U27" i="45"/>
  <c r="AG27" i="45" s="1"/>
  <c r="U29" i="45"/>
  <c r="AA29" i="45" s="1"/>
  <c r="U31" i="45"/>
  <c r="AG31" i="45" s="1"/>
  <c r="U33" i="45"/>
  <c r="AA33" i="45" s="1"/>
  <c r="U35" i="45"/>
  <c r="AA35" i="45" s="1"/>
  <c r="AK35" i="45" s="1"/>
  <c r="AA13" i="45"/>
  <c r="AF15" i="45"/>
  <c r="AF17" i="45"/>
  <c r="AI17" i="45" s="1"/>
  <c r="T22" i="45"/>
  <c r="AF22" i="45"/>
  <c r="T24" i="45"/>
  <c r="AF24" i="45"/>
  <c r="T26" i="45"/>
  <c r="Y26" i="45" s="1"/>
  <c r="AF26" i="45"/>
  <c r="T28" i="45"/>
  <c r="AF28" i="45"/>
  <c r="AB13" i="45"/>
  <c r="AH13" i="45" s="1"/>
  <c r="U15" i="45"/>
  <c r="AA15" i="45" s="1"/>
  <c r="S16" i="45"/>
  <c r="AF16" i="45" s="1"/>
  <c r="U17" i="45"/>
  <c r="AA17" i="45" s="1"/>
  <c r="S18" i="45"/>
  <c r="AF18" i="45" s="1"/>
  <c r="U19" i="45"/>
  <c r="AA19" i="45" s="1"/>
  <c r="AG19" i="45"/>
  <c r="U22" i="45"/>
  <c r="AA22" i="45" s="1"/>
  <c r="U24" i="45"/>
  <c r="AA24" i="45" s="1"/>
  <c r="U26" i="45"/>
  <c r="AA26" i="45" s="1"/>
  <c r="U28" i="45"/>
  <c r="AA28" i="45" s="1"/>
  <c r="T14" i="45"/>
  <c r="T16" i="45"/>
  <c r="T18" i="45"/>
  <c r="Z34" i="45"/>
  <c r="Z36" i="45"/>
  <c r="U14" i="45"/>
  <c r="AG14" i="45" s="1"/>
  <c r="U16" i="45"/>
  <c r="AG16" i="45" s="1"/>
  <c r="U18" i="45"/>
  <c r="AA18" i="45" s="1"/>
  <c r="Y23" i="45"/>
  <c r="Y25" i="45"/>
  <c r="Z36" i="44"/>
  <c r="V36" i="44"/>
  <c r="AB36" i="44" s="1"/>
  <c r="U36" i="44"/>
  <c r="AA36" i="44" s="1"/>
  <c r="AF36" i="44"/>
  <c r="T36" i="44"/>
  <c r="T14" i="44"/>
  <c r="AB19" i="44"/>
  <c r="AH22" i="44"/>
  <c r="AH25" i="44"/>
  <c r="AH28" i="44"/>
  <c r="AB14" i="44"/>
  <c r="S16" i="44"/>
  <c r="AF16" i="44" s="1"/>
  <c r="AH19" i="44"/>
  <c r="AB23" i="44"/>
  <c r="AB29" i="44"/>
  <c r="AG14" i="44"/>
  <c r="T16" i="44"/>
  <c r="V16" i="44"/>
  <c r="AH16" i="44" s="1"/>
  <c r="S18" i="44"/>
  <c r="AF18" i="44" s="1"/>
  <c r="Q35" i="44"/>
  <c r="Q15" i="44"/>
  <c r="T18" i="44"/>
  <c r="T20" i="44"/>
  <c r="Q24" i="44"/>
  <c r="Q27" i="44"/>
  <c r="AA15" i="44"/>
  <c r="V18" i="44"/>
  <c r="AH18" i="44" s="1"/>
  <c r="V20" i="44"/>
  <c r="AH20" i="44" s="1"/>
  <c r="S35" i="44"/>
  <c r="AB30" i="44"/>
  <c r="T35" i="44"/>
  <c r="Y35" i="44" s="1"/>
  <c r="Z15" i="44"/>
  <c r="S17" i="44"/>
  <c r="Z17" i="44" s="1"/>
  <c r="S14" i="44"/>
  <c r="W14" i="44" s="1"/>
  <c r="AH15" i="44"/>
  <c r="AB17" i="44"/>
  <c r="S19" i="44"/>
  <c r="Z19" i="44" s="1"/>
  <c r="AB22" i="44"/>
  <c r="AB28" i="44"/>
  <c r="AB26" i="44"/>
  <c r="AH34" i="44"/>
  <c r="AH23" i="44"/>
  <c r="AH26" i="44"/>
  <c r="AH29" i="44"/>
  <c r="AG16" i="44"/>
  <c r="AH32" i="44"/>
  <c r="AB24" i="44"/>
  <c r="AG18" i="44"/>
  <c r="AG20" i="44"/>
  <c r="AH24" i="44"/>
  <c r="AH27" i="44"/>
  <c r="AH30" i="44"/>
  <c r="AB35" i="44"/>
  <c r="AH33" i="44"/>
  <c r="AH35" i="44"/>
  <c r="Y20" i="44"/>
  <c r="S30" i="44"/>
  <c r="AF30" i="44" s="1"/>
  <c r="Y16" i="44"/>
  <c r="S32" i="44"/>
  <c r="AF32" i="44" s="1"/>
  <c r="Z14" i="44"/>
  <c r="T30" i="44"/>
  <c r="AE30" i="44" s="1"/>
  <c r="T32" i="44"/>
  <c r="T34" i="44"/>
  <c r="AA14" i="44"/>
  <c r="AA16" i="44"/>
  <c r="AA18" i="44"/>
  <c r="AA20" i="44"/>
  <c r="S23" i="44"/>
  <c r="S25" i="44"/>
  <c r="AF25" i="44" s="1"/>
  <c r="S27" i="44"/>
  <c r="AF27" i="44" s="1"/>
  <c r="S29" i="44"/>
  <c r="AF29" i="44" s="1"/>
  <c r="U30" i="44"/>
  <c r="AG30" i="44" s="1"/>
  <c r="S31" i="44"/>
  <c r="AF31" i="44" s="1"/>
  <c r="U32" i="44"/>
  <c r="AG32" i="44" s="1"/>
  <c r="S33" i="44"/>
  <c r="U34" i="44"/>
  <c r="AA34" i="44" s="1"/>
  <c r="Q13" i="44"/>
  <c r="Y14" i="44"/>
  <c r="S34" i="44"/>
  <c r="Z34" i="44" s="1"/>
  <c r="T23" i="44"/>
  <c r="AE23" i="44" s="1"/>
  <c r="T25" i="44"/>
  <c r="T27" i="44"/>
  <c r="T29" i="44"/>
  <c r="T31" i="44"/>
  <c r="T33" i="44"/>
  <c r="Q14" i="44"/>
  <c r="Q16" i="44"/>
  <c r="Q18" i="44"/>
  <c r="Q20" i="44"/>
  <c r="S22" i="44"/>
  <c r="U23" i="44"/>
  <c r="AA23" i="44" s="1"/>
  <c r="S24" i="44"/>
  <c r="U25" i="44"/>
  <c r="AA25" i="44" s="1"/>
  <c r="S26" i="44"/>
  <c r="AF26" i="44" s="1"/>
  <c r="U27" i="44"/>
  <c r="AA27" i="44" s="1"/>
  <c r="S28" i="44"/>
  <c r="AF28" i="44" s="1"/>
  <c r="U29" i="44"/>
  <c r="AA29" i="44" s="1"/>
  <c r="U31" i="44"/>
  <c r="AA31" i="44" s="1"/>
  <c r="U33" i="44"/>
  <c r="AA33" i="44" s="1"/>
  <c r="AA13" i="44"/>
  <c r="T15" i="44"/>
  <c r="T17" i="44"/>
  <c r="AF17" i="44"/>
  <c r="T19" i="44"/>
  <c r="T22" i="44"/>
  <c r="AF22" i="44"/>
  <c r="T24" i="44"/>
  <c r="T26" i="44"/>
  <c r="T28" i="44"/>
  <c r="Z35" i="44"/>
  <c r="AB13" i="44"/>
  <c r="AH13" i="44" s="1"/>
  <c r="AE14" i="44"/>
  <c r="AG15" i="44"/>
  <c r="U17" i="44"/>
  <c r="AA17" i="44" s="1"/>
  <c r="U19" i="44"/>
  <c r="AA19" i="44" s="1"/>
  <c r="S20" i="44"/>
  <c r="Z20" i="44" s="1"/>
  <c r="AE20" i="44"/>
  <c r="U22" i="44"/>
  <c r="AA22" i="44" s="1"/>
  <c r="U24" i="44"/>
  <c r="AA24" i="44" s="1"/>
  <c r="U26" i="44"/>
  <c r="AA26" i="44" s="1"/>
  <c r="U28" i="44"/>
  <c r="AA28" i="44" s="1"/>
  <c r="Z35" i="43"/>
  <c r="Z34" i="43"/>
  <c r="V35" i="43"/>
  <c r="AB35" i="43" s="1"/>
  <c r="U35" i="43"/>
  <c r="AG35" i="43" s="1"/>
  <c r="AF35" i="43"/>
  <c r="T35" i="43"/>
  <c r="Y35" i="43" s="1"/>
  <c r="AC35" i="43" s="1"/>
  <c r="V34" i="43"/>
  <c r="AB34" i="43" s="1"/>
  <c r="U34" i="43"/>
  <c r="AG34" i="43" s="1"/>
  <c r="AF34" i="43"/>
  <c r="T34" i="43"/>
  <c r="Q22" i="43"/>
  <c r="Y17" i="43"/>
  <c r="AB19" i="43"/>
  <c r="Q16" i="43"/>
  <c r="Y19" i="43"/>
  <c r="S31" i="43"/>
  <c r="Z31" i="43" s="1"/>
  <c r="Q14" i="43"/>
  <c r="AA16" i="43"/>
  <c r="Q18" i="43"/>
  <c r="Q23" i="43"/>
  <c r="U31" i="43"/>
  <c r="AG31" i="43" s="1"/>
  <c r="Q20" i="43"/>
  <c r="V31" i="43"/>
  <c r="AH31" i="43" s="1"/>
  <c r="Q33" i="43"/>
  <c r="AB30" i="43"/>
  <c r="AA31" i="43"/>
  <c r="V20" i="43"/>
  <c r="S30" i="43"/>
  <c r="Z30" i="43" s="1"/>
  <c r="S33" i="43"/>
  <c r="W33" i="43" s="1"/>
  <c r="Q15" i="43"/>
  <c r="AG16" i="43"/>
  <c r="AH25" i="43"/>
  <c r="T28" i="43"/>
  <c r="T30" i="43"/>
  <c r="U33" i="43"/>
  <c r="AG33" i="43" s="1"/>
  <c r="T15" i="43"/>
  <c r="Q19" i="43"/>
  <c r="AG20" i="43"/>
  <c r="Q26" i="43"/>
  <c r="AH30" i="43"/>
  <c r="AB32" i="43"/>
  <c r="AA33" i="43"/>
  <c r="AA13" i="43"/>
  <c r="V15" i="43"/>
  <c r="AH15" i="43" s="1"/>
  <c r="AB26" i="43"/>
  <c r="AE30" i="43"/>
  <c r="S32" i="43"/>
  <c r="Z32" i="43" s="1"/>
  <c r="AH28" i="43"/>
  <c r="AG15" i="43"/>
  <c r="AE31" i="43"/>
  <c r="AH32" i="43"/>
  <c r="AG17" i="43"/>
  <c r="AK18" i="43" s="1"/>
  <c r="AH22" i="43"/>
  <c r="AG19" i="43"/>
  <c r="AK20" i="43" s="1"/>
  <c r="AH29" i="43"/>
  <c r="AH27" i="43"/>
  <c r="AE33" i="43"/>
  <c r="AB28" i="43"/>
  <c r="T14" i="43"/>
  <c r="AF14" i="43"/>
  <c r="Q28" i="43"/>
  <c r="U14" i="43"/>
  <c r="AG14" i="43" s="1"/>
  <c r="Q25" i="43"/>
  <c r="Q30" i="43"/>
  <c r="Q32" i="43"/>
  <c r="V14" i="43"/>
  <c r="AH14" i="43" s="1"/>
  <c r="AB22" i="43"/>
  <c r="AB24" i="43"/>
  <c r="S28" i="43"/>
  <c r="Z28" i="43" s="1"/>
  <c r="AE28" i="43"/>
  <c r="AH33" i="43"/>
  <c r="AA15" i="43"/>
  <c r="AA17" i="43"/>
  <c r="AA19" i="43"/>
  <c r="S22" i="43"/>
  <c r="Z22" i="43" s="1"/>
  <c r="S24" i="43"/>
  <c r="AF24" i="43" s="1"/>
  <c r="U25" i="43"/>
  <c r="AA25" i="43" s="1"/>
  <c r="T27" i="43"/>
  <c r="S29" i="43"/>
  <c r="U30" i="43"/>
  <c r="AA30" i="43" s="1"/>
  <c r="U32" i="43"/>
  <c r="AA32" i="43" s="1"/>
  <c r="S27" i="43"/>
  <c r="Z27" i="43" s="1"/>
  <c r="Z14" i="43"/>
  <c r="T22" i="43"/>
  <c r="T24" i="43"/>
  <c r="Y24" i="43" s="1"/>
  <c r="S26" i="43"/>
  <c r="U27" i="43"/>
  <c r="AA27" i="43" s="1"/>
  <c r="T29" i="43"/>
  <c r="S16" i="43"/>
  <c r="S18" i="43"/>
  <c r="S20" i="43"/>
  <c r="Z20" i="43" s="1"/>
  <c r="U22" i="43"/>
  <c r="AG22" i="43" s="1"/>
  <c r="S23" i="43"/>
  <c r="AF23" i="43" s="1"/>
  <c r="U24" i="43"/>
  <c r="AG24" i="43" s="1"/>
  <c r="T26" i="43"/>
  <c r="U29" i="43"/>
  <c r="AA29" i="43" s="1"/>
  <c r="AK29" i="43" s="1"/>
  <c r="Y31" i="43"/>
  <c r="AL31" i="43" s="1"/>
  <c r="W32" i="43"/>
  <c r="Y33" i="43"/>
  <c r="AF32" i="43"/>
  <c r="Y13" i="43"/>
  <c r="T16" i="43"/>
  <c r="AE16" i="43" s="1"/>
  <c r="T18" i="43"/>
  <c r="T20" i="43"/>
  <c r="AF20" i="43"/>
  <c r="T23" i="43"/>
  <c r="U26" i="43"/>
  <c r="AA26" i="43" s="1"/>
  <c r="Y28" i="43"/>
  <c r="Z13" i="43"/>
  <c r="AF13" i="43" s="1"/>
  <c r="S15" i="43"/>
  <c r="S17" i="43"/>
  <c r="AE17" i="43"/>
  <c r="S19" i="43"/>
  <c r="Y30" i="43"/>
  <c r="Y32" i="43"/>
  <c r="AA28" i="43"/>
  <c r="AB31" i="43"/>
  <c r="S14" i="42"/>
  <c r="Z14" i="42" s="1"/>
  <c r="Q23" i="42"/>
  <c r="Q26" i="42"/>
  <c r="AB20" i="42"/>
  <c r="AB23" i="42"/>
  <c r="AB26" i="42"/>
  <c r="AB29" i="42"/>
  <c r="AG14" i="42"/>
  <c r="Q32" i="42"/>
  <c r="V17" i="42"/>
  <c r="AH17" i="42" s="1"/>
  <c r="Q15" i="42"/>
  <c r="Q29" i="42"/>
  <c r="Y13" i="42"/>
  <c r="Q18" i="42"/>
  <c r="Q21" i="42"/>
  <c r="Q24" i="42"/>
  <c r="Q27" i="42"/>
  <c r="Q30" i="42"/>
  <c r="Q20" i="42"/>
  <c r="AB18" i="42"/>
  <c r="AB21" i="42"/>
  <c r="AB24" i="42"/>
  <c r="AB27" i="42"/>
  <c r="Q14" i="42"/>
  <c r="Q16" i="42"/>
  <c r="Q19" i="42"/>
  <c r="Q22" i="42"/>
  <c r="Q25" i="42"/>
  <c r="Q28" i="42"/>
  <c r="Q31" i="42"/>
  <c r="T14" i="42"/>
  <c r="V14" i="42"/>
  <c r="AH14" i="42" s="1"/>
  <c r="Q17" i="42"/>
  <c r="AG17" i="42"/>
  <c r="AG15" i="42"/>
  <c r="AB30" i="42"/>
  <c r="AH18" i="42"/>
  <c r="AH21" i="42"/>
  <c r="AH24" i="42"/>
  <c r="AH27" i="42"/>
  <c r="AH20" i="42"/>
  <c r="AH23" i="42"/>
  <c r="AH29" i="42"/>
  <c r="AH16" i="42"/>
  <c r="AB19" i="42"/>
  <c r="AH26" i="42"/>
  <c r="AH19" i="42"/>
  <c r="AH22" i="42"/>
  <c r="AH25" i="42"/>
  <c r="AH31" i="42"/>
  <c r="S30" i="42"/>
  <c r="T28" i="42"/>
  <c r="AF28" i="42"/>
  <c r="T30" i="42"/>
  <c r="T32" i="42"/>
  <c r="AF32" i="42"/>
  <c r="Q13" i="42"/>
  <c r="AA15" i="42"/>
  <c r="AA17" i="42"/>
  <c r="S21" i="42"/>
  <c r="S23" i="42"/>
  <c r="AF23" i="42" s="1"/>
  <c r="S25" i="42"/>
  <c r="AF25" i="42" s="1"/>
  <c r="S27" i="42"/>
  <c r="U28" i="42"/>
  <c r="AG28" i="42" s="1"/>
  <c r="S29" i="42"/>
  <c r="Z29" i="42" s="1"/>
  <c r="U30" i="42"/>
  <c r="AG30" i="42" s="1"/>
  <c r="S31" i="42"/>
  <c r="AF31" i="42" s="1"/>
  <c r="U32" i="42"/>
  <c r="AG32" i="42" s="1"/>
  <c r="T21" i="42"/>
  <c r="AT21" i="42" s="1"/>
  <c r="AU21" i="42" s="1"/>
  <c r="AV21" i="42" s="1"/>
  <c r="AF21" i="42"/>
  <c r="T23" i="42"/>
  <c r="T25" i="42"/>
  <c r="AT25" i="42" s="1"/>
  <c r="AU25" i="42" s="1"/>
  <c r="AV25" i="42" s="1"/>
  <c r="T27" i="42"/>
  <c r="V28" i="42"/>
  <c r="AH28" i="42" s="1"/>
  <c r="T29" i="42"/>
  <c r="AH30" i="42"/>
  <c r="T31" i="42"/>
  <c r="V32" i="42"/>
  <c r="AH32" i="42" s="1"/>
  <c r="AA14" i="42"/>
  <c r="S16" i="42"/>
  <c r="AF16" i="42" s="1"/>
  <c r="S18" i="42"/>
  <c r="AF18" i="42" s="1"/>
  <c r="S20" i="42"/>
  <c r="AF20" i="42" s="1"/>
  <c r="U21" i="42"/>
  <c r="AA21" i="42" s="1"/>
  <c r="S22" i="42"/>
  <c r="AF22" i="42" s="1"/>
  <c r="U23" i="42"/>
  <c r="AA23" i="42" s="1"/>
  <c r="S24" i="42"/>
  <c r="U25" i="42"/>
  <c r="AG25" i="42" s="1"/>
  <c r="S26" i="42"/>
  <c r="U27" i="42"/>
  <c r="AG27" i="42" s="1"/>
  <c r="U29" i="42"/>
  <c r="AA29" i="42" s="1"/>
  <c r="AK29" i="42" s="1"/>
  <c r="U31" i="42"/>
  <c r="AG31" i="42" s="1"/>
  <c r="T16" i="42"/>
  <c r="T18" i="42"/>
  <c r="T20" i="42"/>
  <c r="T22" i="42"/>
  <c r="T24" i="42"/>
  <c r="T26" i="42"/>
  <c r="Z13" i="42"/>
  <c r="S15" i="42"/>
  <c r="Z15" i="42" s="1"/>
  <c r="U16" i="42"/>
  <c r="AA16" i="42" s="1"/>
  <c r="S17" i="42"/>
  <c r="U18" i="42"/>
  <c r="AA18" i="42" s="1"/>
  <c r="S19" i="42"/>
  <c r="Z19" i="42" s="1"/>
  <c r="U20" i="42"/>
  <c r="AA20" i="42" s="1"/>
  <c r="U22" i="42"/>
  <c r="AA22" i="42" s="1"/>
  <c r="U24" i="42"/>
  <c r="AA24" i="42" s="1"/>
  <c r="U26" i="42"/>
  <c r="AA26" i="42" s="1"/>
  <c r="AK26" i="42" s="1"/>
  <c r="AA13" i="42"/>
  <c r="T15" i="42"/>
  <c r="AF15" i="42"/>
  <c r="T17" i="42"/>
  <c r="AF17" i="42"/>
  <c r="T19" i="42"/>
  <c r="Z28" i="42"/>
  <c r="Z30" i="42"/>
  <c r="Z32" i="42"/>
  <c r="AB13" i="42"/>
  <c r="AH13" i="42" s="1"/>
  <c r="U19" i="42"/>
  <c r="AA19" i="42" s="1"/>
  <c r="Z31" i="42"/>
  <c r="AG19" i="41"/>
  <c r="AA19" i="41"/>
  <c r="AB31" i="41"/>
  <c r="Q15" i="41"/>
  <c r="S17" i="41"/>
  <c r="Z17" i="41" s="1"/>
  <c r="T19" i="41"/>
  <c r="Y19" i="41" s="1"/>
  <c r="T24" i="41"/>
  <c r="Y24" i="41" s="1"/>
  <c r="S22" i="41"/>
  <c r="AF22" i="41" s="1"/>
  <c r="Q27" i="41"/>
  <c r="S34" i="41"/>
  <c r="Z34" i="41" s="1"/>
  <c r="T34" i="41"/>
  <c r="Q25" i="41"/>
  <c r="S32" i="41"/>
  <c r="AF32" i="41" s="1"/>
  <c r="AA13" i="41"/>
  <c r="AG13" i="41" s="1"/>
  <c r="Q23" i="41"/>
  <c r="S30" i="41"/>
  <c r="AF30" i="41" s="1"/>
  <c r="Q16" i="41"/>
  <c r="T30" i="41"/>
  <c r="Y30" i="41" s="1"/>
  <c r="Q21" i="41"/>
  <c r="Q33" i="41"/>
  <c r="AB21" i="41"/>
  <c r="T28" i="41"/>
  <c r="AB33" i="41"/>
  <c r="AH17" i="41"/>
  <c r="AB17" i="41"/>
  <c r="T15" i="41"/>
  <c r="Q22" i="41"/>
  <c r="Q24" i="41"/>
  <c r="Q26" i="41"/>
  <c r="Q28" i="41"/>
  <c r="Q30" i="41"/>
  <c r="Q32" i="41"/>
  <c r="Q34" i="41"/>
  <c r="U15" i="41"/>
  <c r="AG15" i="41" s="1"/>
  <c r="AB32" i="41"/>
  <c r="AB34" i="41"/>
  <c r="Q17" i="41"/>
  <c r="T17" i="41"/>
  <c r="AB15" i="41"/>
  <c r="U17" i="41"/>
  <c r="AH18" i="41"/>
  <c r="Q19" i="41"/>
  <c r="AH23" i="41"/>
  <c r="AH14" i="41"/>
  <c r="AH35" i="41"/>
  <c r="AH31" i="41"/>
  <c r="AH16" i="41"/>
  <c r="AH33" i="41"/>
  <c r="AH29" i="41"/>
  <c r="AH27" i="41"/>
  <c r="AB22" i="41"/>
  <c r="AB24" i="41"/>
  <c r="AB26" i="41"/>
  <c r="AB28" i="41"/>
  <c r="AB30" i="41"/>
  <c r="AH25" i="41"/>
  <c r="AH22" i="41"/>
  <c r="AH24" i="41"/>
  <c r="AH26" i="41"/>
  <c r="AH28" i="41"/>
  <c r="AH30" i="41"/>
  <c r="AH32" i="41"/>
  <c r="AH34" i="41"/>
  <c r="AH21" i="41"/>
  <c r="AB14" i="41"/>
  <c r="S16" i="41"/>
  <c r="Z16" i="41" s="1"/>
  <c r="S18" i="41"/>
  <c r="Z18" i="41" s="1"/>
  <c r="S21" i="41"/>
  <c r="Z21" i="41" s="1"/>
  <c r="U22" i="41"/>
  <c r="AA22" i="41" s="1"/>
  <c r="S23" i="41"/>
  <c r="Z23" i="41" s="1"/>
  <c r="U24" i="41"/>
  <c r="S25" i="41"/>
  <c r="AF25" i="41" s="1"/>
  <c r="U26" i="41"/>
  <c r="AG26" i="41" s="1"/>
  <c r="S27" i="41"/>
  <c r="U28" i="41"/>
  <c r="AG28" i="41" s="1"/>
  <c r="S29" i="41"/>
  <c r="U30" i="41"/>
  <c r="S31" i="41"/>
  <c r="AF31" i="41" s="1"/>
  <c r="U32" i="41"/>
  <c r="S33" i="41"/>
  <c r="AF33" i="41" s="1"/>
  <c r="U34" i="41"/>
  <c r="S35" i="41"/>
  <c r="AF35" i="41" s="1"/>
  <c r="T16" i="41"/>
  <c r="T18" i="41"/>
  <c r="T21" i="41"/>
  <c r="T23" i="41"/>
  <c r="T25" i="41"/>
  <c r="T27" i="41"/>
  <c r="T29" i="41"/>
  <c r="T31" i="41"/>
  <c r="T33" i="41"/>
  <c r="T35" i="41"/>
  <c r="AF26" i="41"/>
  <c r="U16" i="41"/>
  <c r="AG16" i="41" s="1"/>
  <c r="U18" i="41"/>
  <c r="AA18" i="41" s="1"/>
  <c r="AE19" i="41"/>
  <c r="U21" i="41"/>
  <c r="AA21" i="41" s="1"/>
  <c r="U23" i="41"/>
  <c r="AA23" i="41" s="1"/>
  <c r="U25" i="41"/>
  <c r="AG25" i="41" s="1"/>
  <c r="U27" i="41"/>
  <c r="AG27" i="41" s="1"/>
  <c r="U29" i="41"/>
  <c r="AG29" i="41" s="1"/>
  <c r="U31" i="41"/>
  <c r="AA31" i="41" s="1"/>
  <c r="U33" i="41"/>
  <c r="AA33" i="41" s="1"/>
  <c r="U35" i="41"/>
  <c r="AG35" i="41" s="1"/>
  <c r="S14" i="41"/>
  <c r="Y22" i="41"/>
  <c r="T14" i="41"/>
  <c r="Z26" i="41"/>
  <c r="U14" i="41"/>
  <c r="AA14" i="41" s="1"/>
  <c r="AH14" i="40"/>
  <c r="AG29" i="40"/>
  <c r="U35" i="40"/>
  <c r="AG35" i="40" s="1"/>
  <c r="Q18" i="40"/>
  <c r="AA27" i="40"/>
  <c r="AA33" i="40"/>
  <c r="Q25" i="40"/>
  <c r="AG33" i="40"/>
  <c r="AG16" i="40"/>
  <c r="AF34" i="40"/>
  <c r="AH15" i="40"/>
  <c r="Q17" i="40"/>
  <c r="AH19" i="40"/>
  <c r="Q22" i="40"/>
  <c r="AG23" i="40"/>
  <c r="Q35" i="40"/>
  <c r="V22" i="40"/>
  <c r="AB22" i="40" s="1"/>
  <c r="U22" i="40"/>
  <c r="AG22" i="40" s="1"/>
  <c r="AK23" i="40" s="1"/>
  <c r="T22" i="40"/>
  <c r="Q27" i="40"/>
  <c r="Q33" i="40"/>
  <c r="S22" i="40"/>
  <c r="Z22" i="40" s="1"/>
  <c r="Q13" i="40"/>
  <c r="AG18" i="40"/>
  <c r="Q24" i="40"/>
  <c r="AG25" i="40"/>
  <c r="Q29" i="40"/>
  <c r="Q31" i="40"/>
  <c r="Q16" i="40"/>
  <c r="Q21" i="40"/>
  <c r="V24" i="40"/>
  <c r="AB24" i="40" s="1"/>
  <c r="T24" i="40"/>
  <c r="U24" i="40"/>
  <c r="AA24" i="40" s="1"/>
  <c r="AB14" i="40"/>
  <c r="AH35" i="40"/>
  <c r="V30" i="40"/>
  <c r="AH30" i="40" s="1"/>
  <c r="U30" i="40"/>
  <c r="AG30" i="40" s="1"/>
  <c r="AK31" i="40" s="1"/>
  <c r="T30" i="40"/>
  <c r="S30" i="40"/>
  <c r="AF30" i="40" s="1"/>
  <c r="Q15" i="40"/>
  <c r="AH17" i="40"/>
  <c r="Q19" i="40"/>
  <c r="AA21" i="40"/>
  <c r="Q26" i="40"/>
  <c r="AF24" i="40"/>
  <c r="V26" i="40"/>
  <c r="AB26" i="40" s="1"/>
  <c r="U26" i="40"/>
  <c r="AA26" i="40" s="1"/>
  <c r="T26" i="40"/>
  <c r="Q34" i="40"/>
  <c r="Q36" i="40"/>
  <c r="V34" i="40"/>
  <c r="AH34" i="40" s="1"/>
  <c r="T34" i="40"/>
  <c r="U34" i="40"/>
  <c r="AA34" i="40" s="1"/>
  <c r="S36" i="40"/>
  <c r="V36" i="40"/>
  <c r="AB36" i="40" s="1"/>
  <c r="T36" i="40"/>
  <c r="Y36" i="40" s="1"/>
  <c r="U36" i="40"/>
  <c r="AG36" i="40" s="1"/>
  <c r="Q28" i="40"/>
  <c r="Q32" i="40"/>
  <c r="AF26" i="40"/>
  <c r="V28" i="40"/>
  <c r="AB28" i="40" s="1"/>
  <c r="U28" i="40"/>
  <c r="AG28" i="40" s="1"/>
  <c r="T28" i="40"/>
  <c r="S28" i="40"/>
  <c r="Q30" i="40"/>
  <c r="V32" i="40"/>
  <c r="AH32" i="40" s="1"/>
  <c r="U32" i="40"/>
  <c r="AG32" i="40" s="1"/>
  <c r="T32" i="40"/>
  <c r="S32" i="40"/>
  <c r="Z32" i="40" s="1"/>
  <c r="X13" i="40"/>
  <c r="S16" i="40"/>
  <c r="S18" i="40"/>
  <c r="AF18" i="40" s="1"/>
  <c r="S21" i="40"/>
  <c r="S23" i="40"/>
  <c r="S25" i="40"/>
  <c r="AF25" i="40" s="1"/>
  <c r="S27" i="40"/>
  <c r="AF27" i="40" s="1"/>
  <c r="S29" i="40"/>
  <c r="Z29" i="40" s="1"/>
  <c r="S31" i="40"/>
  <c r="AF31" i="40" s="1"/>
  <c r="S33" i="40"/>
  <c r="S35" i="40"/>
  <c r="T16" i="40"/>
  <c r="T18" i="40"/>
  <c r="Y18" i="40" s="1"/>
  <c r="T21" i="40"/>
  <c r="T23" i="40"/>
  <c r="T25" i="40"/>
  <c r="T27" i="40"/>
  <c r="T29" i="40"/>
  <c r="T31" i="40"/>
  <c r="T33" i="40"/>
  <c r="T35" i="40"/>
  <c r="T15" i="40"/>
  <c r="V16" i="40"/>
  <c r="AB16" i="40" s="1"/>
  <c r="T17" i="40"/>
  <c r="AF17" i="40"/>
  <c r="V18" i="40"/>
  <c r="AB18" i="40" s="1"/>
  <c r="T19" i="40"/>
  <c r="AF19" i="40"/>
  <c r="V21" i="40"/>
  <c r="AB21" i="40" s="1"/>
  <c r="V23" i="40"/>
  <c r="AB23" i="40" s="1"/>
  <c r="V25" i="40"/>
  <c r="AB25" i="40" s="1"/>
  <c r="V27" i="40"/>
  <c r="AB27" i="40" s="1"/>
  <c r="V29" i="40"/>
  <c r="AB29" i="40" s="1"/>
  <c r="V31" i="40"/>
  <c r="AB31" i="40" s="1"/>
  <c r="V33" i="40"/>
  <c r="AB33" i="40" s="1"/>
  <c r="S14" i="40"/>
  <c r="U15" i="40"/>
  <c r="AA15" i="40" s="1"/>
  <c r="U17" i="40"/>
  <c r="AA17" i="40" s="1"/>
  <c r="U19" i="40"/>
  <c r="AA19" i="40" s="1"/>
  <c r="Y34" i="40"/>
  <c r="T14" i="40"/>
  <c r="Z24" i="40"/>
  <c r="Z26" i="40"/>
  <c r="Z34" i="40"/>
  <c r="U14" i="40"/>
  <c r="AG14" i="40" s="1"/>
  <c r="Z31" i="51" l="1"/>
  <c r="AE25" i="51"/>
  <c r="AA31" i="51"/>
  <c r="Z23" i="51"/>
  <c r="AQ25" i="51"/>
  <c r="AR25" i="51" s="1"/>
  <c r="AS25" i="51" s="1"/>
  <c r="Y25" i="51"/>
  <c r="AG21" i="50"/>
  <c r="AH21" i="50"/>
  <c r="W21" i="50"/>
  <c r="Y21" i="50"/>
  <c r="AC21" i="50" s="1"/>
  <c r="AF24" i="50"/>
  <c r="Y36" i="50"/>
  <c r="AQ36" i="50"/>
  <c r="AR36" i="50" s="1"/>
  <c r="AS36" i="50" s="1"/>
  <c r="AF26" i="50"/>
  <c r="Y20" i="49"/>
  <c r="AC20" i="49" s="1"/>
  <c r="W20" i="49"/>
  <c r="AG34" i="49"/>
  <c r="AI21" i="49"/>
  <c r="Z18" i="49"/>
  <c r="AK23" i="49"/>
  <c r="AB21" i="49"/>
  <c r="W20" i="48"/>
  <c r="AE20" i="48"/>
  <c r="AI20" i="48" s="1"/>
  <c r="Z31" i="48"/>
  <c r="Z18" i="48"/>
  <c r="W23" i="48"/>
  <c r="AB21" i="48"/>
  <c r="AA23" i="48"/>
  <c r="AK24" i="48"/>
  <c r="BA21" i="47"/>
  <c r="AG20" i="47"/>
  <c r="W20" i="47"/>
  <c r="Y20" i="47"/>
  <c r="AC20" i="47" s="1"/>
  <c r="AG16" i="42"/>
  <c r="AC21" i="45"/>
  <c r="Y33" i="46"/>
  <c r="W33" i="46"/>
  <c r="AB18" i="44"/>
  <c r="Y13" i="44"/>
  <c r="AE13" i="44" s="1"/>
  <c r="AL13" i="44" s="1"/>
  <c r="AN13" i="44" s="1"/>
  <c r="Y30" i="44"/>
  <c r="AH18" i="43"/>
  <c r="AB15" i="42"/>
  <c r="AF14" i="42"/>
  <c r="AG24" i="42"/>
  <c r="AT20" i="41"/>
  <c r="AU20" i="41" s="1"/>
  <c r="AV20" i="41" s="1"/>
  <c r="Y20" i="41"/>
  <c r="AC20" i="41" s="1"/>
  <c r="AE20" i="41"/>
  <c r="AI20" i="41" s="1"/>
  <c r="W20" i="41"/>
  <c r="AQ20" i="41"/>
  <c r="AR20" i="41" s="1"/>
  <c r="AS20" i="41" s="1"/>
  <c r="AB20" i="41"/>
  <c r="AH20" i="41"/>
  <c r="AB13" i="41"/>
  <c r="AH13" i="41" s="1"/>
  <c r="Z13" i="41"/>
  <c r="AF13" i="41" s="1"/>
  <c r="Y13" i="41"/>
  <c r="Z22" i="41"/>
  <c r="AH19" i="41"/>
  <c r="AB20" i="40"/>
  <c r="AH20" i="40"/>
  <c r="W20" i="40"/>
  <c r="AF15" i="40"/>
  <c r="AI20" i="3"/>
  <c r="AE30" i="54"/>
  <c r="AF26" i="54"/>
  <c r="Z33" i="54"/>
  <c r="AF30" i="54"/>
  <c r="AT18" i="54"/>
  <c r="AU18" i="54" s="1"/>
  <c r="AV18" i="54" s="1"/>
  <c r="AQ18" i="54"/>
  <c r="AR18" i="54" s="1"/>
  <c r="AS18" i="54" s="1"/>
  <c r="AT27" i="54"/>
  <c r="AU27" i="54" s="1"/>
  <c r="AV27" i="54" s="1"/>
  <c r="AQ27" i="54"/>
  <c r="AR27" i="54" s="1"/>
  <c r="AS27" i="54" s="1"/>
  <c r="AQ14" i="54"/>
  <c r="AR14" i="54" s="1"/>
  <c r="AS14" i="54" s="1"/>
  <c r="AW14" i="54" s="1"/>
  <c r="AX14" i="54" s="1"/>
  <c r="AY14" i="54" s="1"/>
  <c r="AT14" i="54"/>
  <c r="AU14" i="54" s="1"/>
  <c r="AV14" i="54" s="1"/>
  <c r="AE23" i="54"/>
  <c r="AI23" i="54" s="1"/>
  <c r="AQ23" i="54"/>
  <c r="AR23" i="54" s="1"/>
  <c r="AS23" i="54" s="1"/>
  <c r="AT23" i="54"/>
  <c r="AU23" i="54" s="1"/>
  <c r="AV23" i="54" s="1"/>
  <c r="AE27" i="54"/>
  <c r="AE21" i="54"/>
  <c r="AI21" i="54" s="1"/>
  <c r="AT21" i="54"/>
  <c r="AU21" i="54" s="1"/>
  <c r="AV21" i="54" s="1"/>
  <c r="AQ21" i="54"/>
  <c r="AR21" i="54" s="1"/>
  <c r="AS21" i="54" s="1"/>
  <c r="AQ28" i="54"/>
  <c r="AR28" i="54" s="1"/>
  <c r="AS28" i="54" s="1"/>
  <c r="AT28" i="54"/>
  <c r="AU28" i="54" s="1"/>
  <c r="AV28" i="54" s="1"/>
  <c r="AT19" i="54"/>
  <c r="AU19" i="54" s="1"/>
  <c r="AV19" i="54" s="1"/>
  <c r="AQ19" i="54"/>
  <c r="AR19" i="54" s="1"/>
  <c r="AS19" i="54" s="1"/>
  <c r="AW19" i="54" s="1"/>
  <c r="BA19" i="54" s="1"/>
  <c r="AT17" i="54"/>
  <c r="AU17" i="54" s="1"/>
  <c r="AV17" i="54" s="1"/>
  <c r="AQ17" i="54"/>
  <c r="AR17" i="54" s="1"/>
  <c r="AS17" i="54" s="1"/>
  <c r="AE25" i="54"/>
  <c r="AL26" i="54" s="1"/>
  <c r="AT25" i="54"/>
  <c r="AU25" i="54" s="1"/>
  <c r="AV25" i="54" s="1"/>
  <c r="AQ25" i="54"/>
  <c r="AR25" i="54" s="1"/>
  <c r="AS25" i="54" s="1"/>
  <c r="AT26" i="54"/>
  <c r="AU26" i="54" s="1"/>
  <c r="AV26" i="54" s="1"/>
  <c r="AQ26" i="54"/>
  <c r="AR26" i="54" s="1"/>
  <c r="AS26" i="54" s="1"/>
  <c r="AQ24" i="54"/>
  <c r="AR24" i="54" s="1"/>
  <c r="AS24" i="54" s="1"/>
  <c r="AT24" i="54"/>
  <c r="AU24" i="54" s="1"/>
  <c r="AV24" i="54" s="1"/>
  <c r="AE15" i="54"/>
  <c r="AI15" i="54" s="1"/>
  <c r="AT15" i="54"/>
  <c r="AU15" i="54" s="1"/>
  <c r="AV15" i="54" s="1"/>
  <c r="AQ15" i="54"/>
  <c r="AR15" i="54" s="1"/>
  <c r="AS15" i="54" s="1"/>
  <c r="AW15" i="54" s="1"/>
  <c r="BA15" i="54" s="1"/>
  <c r="AE17" i="54"/>
  <c r="AT22" i="54"/>
  <c r="AU22" i="54" s="1"/>
  <c r="AV22" i="54" s="1"/>
  <c r="AQ22" i="54"/>
  <c r="AR22" i="54" s="1"/>
  <c r="AS22" i="54" s="1"/>
  <c r="AW22" i="54" s="1"/>
  <c r="AT16" i="54"/>
  <c r="AU16" i="54" s="1"/>
  <c r="AV16" i="54" s="1"/>
  <c r="AQ16" i="54"/>
  <c r="AR16" i="54" s="1"/>
  <c r="AS16" i="54" s="1"/>
  <c r="AT33" i="54"/>
  <c r="AU33" i="54" s="1"/>
  <c r="AV33" i="54" s="1"/>
  <c r="AQ33" i="54"/>
  <c r="AR33" i="54" s="1"/>
  <c r="AS33" i="54" s="1"/>
  <c r="AQ20" i="54"/>
  <c r="AR20" i="54" s="1"/>
  <c r="AS20" i="54" s="1"/>
  <c r="AT20" i="54"/>
  <c r="AU20" i="54" s="1"/>
  <c r="AV20" i="54" s="1"/>
  <c r="AT31" i="54"/>
  <c r="AU31" i="54" s="1"/>
  <c r="AV31" i="54" s="1"/>
  <c r="AQ31" i="54"/>
  <c r="AR31" i="54" s="1"/>
  <c r="AS31" i="54" s="1"/>
  <c r="AT30" i="54"/>
  <c r="AU30" i="54" s="1"/>
  <c r="AV30" i="54" s="1"/>
  <c r="AQ30" i="54"/>
  <c r="AR30" i="54" s="1"/>
  <c r="AS30" i="54" s="1"/>
  <c r="AE29" i="54"/>
  <c r="AI29" i="54" s="1"/>
  <c r="AT29" i="54"/>
  <c r="AU29" i="54" s="1"/>
  <c r="AV29" i="54" s="1"/>
  <c r="AQ29" i="54"/>
  <c r="AR29" i="54" s="1"/>
  <c r="AS29" i="54" s="1"/>
  <c r="AT32" i="54"/>
  <c r="AU32" i="54" s="1"/>
  <c r="AV32" i="54" s="1"/>
  <c r="AQ32" i="54"/>
  <c r="AR32" i="54" s="1"/>
  <c r="AS32" i="54" s="1"/>
  <c r="AW32" i="54" s="1"/>
  <c r="Z26" i="53"/>
  <c r="AT18" i="53"/>
  <c r="AU18" i="53" s="1"/>
  <c r="AV18" i="53" s="1"/>
  <c r="AQ18" i="53"/>
  <c r="AR18" i="53" s="1"/>
  <c r="AS18" i="53" s="1"/>
  <c r="AW18" i="53" s="1"/>
  <c r="Y21" i="53"/>
  <c r="AT21" i="53"/>
  <c r="AU21" i="53" s="1"/>
  <c r="AV21" i="53" s="1"/>
  <c r="AQ21" i="53"/>
  <c r="AR21" i="53" s="1"/>
  <c r="AS21" i="53" s="1"/>
  <c r="Y24" i="53"/>
  <c r="AC24" i="53" s="1"/>
  <c r="AT24" i="53"/>
  <c r="AU24" i="53" s="1"/>
  <c r="AV24" i="53" s="1"/>
  <c r="AQ24" i="53"/>
  <c r="AR24" i="53" s="1"/>
  <c r="AS24" i="53" s="1"/>
  <c r="Y22" i="53"/>
  <c r="AC22" i="53" s="1"/>
  <c r="AT22" i="53"/>
  <c r="AU22" i="53" s="1"/>
  <c r="AV22" i="53" s="1"/>
  <c r="AQ22" i="53"/>
  <c r="AR22" i="53" s="1"/>
  <c r="AS22" i="53" s="1"/>
  <c r="AA26" i="53"/>
  <c r="AT16" i="53"/>
  <c r="AU16" i="53" s="1"/>
  <c r="AV16" i="53" s="1"/>
  <c r="AW17" i="53" s="1"/>
  <c r="BA17" i="53" s="1"/>
  <c r="AQ16" i="53"/>
  <c r="AR16" i="53" s="1"/>
  <c r="AS16" i="53" s="1"/>
  <c r="AW16" i="53" s="1"/>
  <c r="AT19" i="53"/>
  <c r="AU19" i="53" s="1"/>
  <c r="AV19" i="53" s="1"/>
  <c r="AQ19" i="53"/>
  <c r="AR19" i="53" s="1"/>
  <c r="AS19" i="53" s="1"/>
  <c r="AA28" i="53"/>
  <c r="AT14" i="53"/>
  <c r="AU14" i="53" s="1"/>
  <c r="AV14" i="53" s="1"/>
  <c r="AW15" i="53" s="1"/>
  <c r="BA15" i="53" s="1"/>
  <c r="AQ14" i="53"/>
  <c r="AR14" i="53" s="1"/>
  <c r="AS14" i="53" s="1"/>
  <c r="AW14" i="53" s="1"/>
  <c r="AX14" i="53" s="1"/>
  <c r="Y29" i="53"/>
  <c r="AQ29" i="53"/>
  <c r="AR29" i="53" s="1"/>
  <c r="AS29" i="53" s="1"/>
  <c r="AT29" i="53"/>
  <c r="AU29" i="53" s="1"/>
  <c r="AV29" i="53" s="1"/>
  <c r="W32" i="53"/>
  <c r="AT32" i="53"/>
  <c r="AU32" i="53" s="1"/>
  <c r="AV32" i="53" s="1"/>
  <c r="AQ32" i="53"/>
  <c r="AR32" i="53" s="1"/>
  <c r="AS32" i="53" s="1"/>
  <c r="Y27" i="53"/>
  <c r="AT27" i="53"/>
  <c r="AU27" i="53" s="1"/>
  <c r="AV27" i="53" s="1"/>
  <c r="AQ27" i="53"/>
  <c r="AR27" i="53" s="1"/>
  <c r="AS27" i="53" s="1"/>
  <c r="AT30" i="53"/>
  <c r="AU30" i="53" s="1"/>
  <c r="AV30" i="53" s="1"/>
  <c r="AQ30" i="53"/>
  <c r="AR30" i="53" s="1"/>
  <c r="AS30" i="53" s="1"/>
  <c r="Y33" i="53"/>
  <c r="AT33" i="53"/>
  <c r="AU33" i="53" s="1"/>
  <c r="AV33" i="53" s="1"/>
  <c r="AQ33" i="53"/>
  <c r="AR33" i="53" s="1"/>
  <c r="AS33" i="53" s="1"/>
  <c r="Y31" i="53"/>
  <c r="AC31" i="53" s="1"/>
  <c r="AT31" i="53"/>
  <c r="AU31" i="53" s="1"/>
  <c r="AV31" i="53" s="1"/>
  <c r="AQ31" i="53"/>
  <c r="AR31" i="53" s="1"/>
  <c r="AS31" i="53" s="1"/>
  <c r="AQ25" i="53"/>
  <c r="AR25" i="53" s="1"/>
  <c r="AS25" i="53" s="1"/>
  <c r="AT25" i="53"/>
  <c r="AU25" i="53" s="1"/>
  <c r="AV25" i="53" s="1"/>
  <c r="Y28" i="53"/>
  <c r="AT28" i="53"/>
  <c r="AU28" i="53" s="1"/>
  <c r="AV28" i="53" s="1"/>
  <c r="AQ28" i="53"/>
  <c r="AR28" i="53" s="1"/>
  <c r="AS28" i="53" s="1"/>
  <c r="AF23" i="53"/>
  <c r="AT26" i="53"/>
  <c r="AU26" i="53" s="1"/>
  <c r="AV26" i="53" s="1"/>
  <c r="AQ26" i="53"/>
  <c r="AR26" i="53" s="1"/>
  <c r="AS26" i="53" s="1"/>
  <c r="AA32" i="53"/>
  <c r="AT20" i="53"/>
  <c r="AU20" i="53" s="1"/>
  <c r="AV20" i="53" s="1"/>
  <c r="AQ20" i="53"/>
  <c r="AR20" i="53" s="1"/>
  <c r="AS20" i="53" s="1"/>
  <c r="Y23" i="53"/>
  <c r="AT23" i="53"/>
  <c r="AU23" i="53" s="1"/>
  <c r="AV23" i="53" s="1"/>
  <c r="AQ23" i="53"/>
  <c r="AR23" i="53" s="1"/>
  <c r="AS23" i="53" s="1"/>
  <c r="AG26" i="52"/>
  <c r="Y25" i="52"/>
  <c r="W36" i="52"/>
  <c r="W29" i="52"/>
  <c r="AB15" i="52"/>
  <c r="AA34" i="52"/>
  <c r="AG27" i="52"/>
  <c r="W15" i="52"/>
  <c r="AB16" i="52"/>
  <c r="AF29" i="52"/>
  <c r="AA35" i="52"/>
  <c r="AK35" i="52" s="1"/>
  <c r="AG19" i="52"/>
  <c r="W35" i="52"/>
  <c r="Y23" i="52"/>
  <c r="AQ31" i="52"/>
  <c r="AR31" i="52" s="1"/>
  <c r="AS31" i="52" s="1"/>
  <c r="Z29" i="52"/>
  <c r="AK33" i="52"/>
  <c r="Z35" i="52"/>
  <c r="AG29" i="52"/>
  <c r="AQ14" i="52"/>
  <c r="AR14" i="52" s="1"/>
  <c r="AS14" i="52" s="1"/>
  <c r="AW14" i="52" s="1"/>
  <c r="AX14" i="52" s="1"/>
  <c r="AT14" i="52"/>
  <c r="AU14" i="52" s="1"/>
  <c r="AV14" i="52" s="1"/>
  <c r="AT17" i="52"/>
  <c r="AU17" i="52" s="1"/>
  <c r="AV17" i="52" s="1"/>
  <c r="AQ17" i="52"/>
  <c r="AR17" i="52" s="1"/>
  <c r="AS17" i="52" s="1"/>
  <c r="AT29" i="52"/>
  <c r="AU29" i="52" s="1"/>
  <c r="AV29" i="52" s="1"/>
  <c r="AQ29" i="52"/>
  <c r="AR29" i="52" s="1"/>
  <c r="AS29" i="52" s="1"/>
  <c r="AT28" i="52"/>
  <c r="AU28" i="52" s="1"/>
  <c r="AV28" i="52" s="1"/>
  <c r="AQ28" i="52"/>
  <c r="AR28" i="52" s="1"/>
  <c r="AS28" i="52" s="1"/>
  <c r="AT23" i="52"/>
  <c r="AU23" i="52" s="1"/>
  <c r="AV23" i="52" s="1"/>
  <c r="AQ23" i="52"/>
  <c r="AR23" i="52" s="1"/>
  <c r="AS23" i="52" s="1"/>
  <c r="Y29" i="52"/>
  <c r="Y27" i="52"/>
  <c r="AB32" i="52"/>
  <c r="AQ34" i="52"/>
  <c r="AR34" i="52" s="1"/>
  <c r="AS34" i="52" s="1"/>
  <c r="AT34" i="52"/>
  <c r="AU34" i="52" s="1"/>
  <c r="AV34" i="52" s="1"/>
  <c r="AW35" i="52" s="1"/>
  <c r="AQ36" i="52"/>
  <c r="AR36" i="52" s="1"/>
  <c r="AS36" i="52" s="1"/>
  <c r="AW36" i="52" s="1"/>
  <c r="BA36" i="52" s="1"/>
  <c r="AT36" i="52"/>
  <c r="AU36" i="52" s="1"/>
  <c r="AV36" i="52" s="1"/>
  <c r="AT16" i="52"/>
  <c r="AU16" i="52" s="1"/>
  <c r="AV16" i="52" s="1"/>
  <c r="AQ16" i="52"/>
  <c r="AR16" i="52" s="1"/>
  <c r="AS16" i="52" s="1"/>
  <c r="AT26" i="52"/>
  <c r="AU26" i="52" s="1"/>
  <c r="AV26" i="52" s="1"/>
  <c r="AQ26" i="52"/>
  <c r="AR26" i="52" s="1"/>
  <c r="AS26" i="52" s="1"/>
  <c r="Y36" i="52"/>
  <c r="AQ24" i="52"/>
  <c r="AR24" i="52" s="1"/>
  <c r="AS24" i="52" s="1"/>
  <c r="AT24" i="52"/>
  <c r="AU24" i="52" s="1"/>
  <c r="AV24" i="52" s="1"/>
  <c r="AB36" i="52"/>
  <c r="AE29" i="52"/>
  <c r="AT18" i="52"/>
  <c r="AU18" i="52" s="1"/>
  <c r="AV18" i="52" s="1"/>
  <c r="AQ18" i="52"/>
  <c r="AR18" i="52" s="1"/>
  <c r="AS18" i="52" s="1"/>
  <c r="AW18" i="52" s="1"/>
  <c r="AQ30" i="52"/>
  <c r="AR30" i="52" s="1"/>
  <c r="AS30" i="52" s="1"/>
  <c r="AW30" i="52" s="1"/>
  <c r="BA30" i="52" s="1"/>
  <c r="AT30" i="52"/>
  <c r="AU30" i="52" s="1"/>
  <c r="AV30" i="52" s="1"/>
  <c r="AW31" i="52" s="1"/>
  <c r="AG33" i="52"/>
  <c r="AK20" i="52"/>
  <c r="AT22" i="52"/>
  <c r="AU22" i="52" s="1"/>
  <c r="AV22" i="52" s="1"/>
  <c r="AQ22" i="52"/>
  <c r="AR22" i="52" s="1"/>
  <c r="AS22" i="52" s="1"/>
  <c r="AT21" i="52"/>
  <c r="AU21" i="52" s="1"/>
  <c r="AV21" i="52" s="1"/>
  <c r="AQ21" i="52"/>
  <c r="AR21" i="52" s="1"/>
  <c r="AS21" i="52" s="1"/>
  <c r="AQ19" i="52"/>
  <c r="AR19" i="52" s="1"/>
  <c r="AS19" i="52" s="1"/>
  <c r="AT19" i="52"/>
  <c r="AU19" i="52" s="1"/>
  <c r="AV19" i="52" s="1"/>
  <c r="AT20" i="52"/>
  <c r="AU20" i="52" s="1"/>
  <c r="AV20" i="52" s="1"/>
  <c r="AQ20" i="52"/>
  <c r="AR20" i="52" s="1"/>
  <c r="AS20" i="52" s="1"/>
  <c r="AW20" i="52" s="1"/>
  <c r="AE33" i="52"/>
  <c r="AI33" i="52" s="1"/>
  <c r="AT33" i="52"/>
  <c r="AU33" i="52" s="1"/>
  <c r="AV33" i="52" s="1"/>
  <c r="AQ33" i="52"/>
  <c r="AR33" i="52" s="1"/>
  <c r="AS33" i="52" s="1"/>
  <c r="AH36" i="52"/>
  <c r="AQ25" i="52"/>
  <c r="AR25" i="52" s="1"/>
  <c r="AS25" i="52" s="1"/>
  <c r="AT25" i="52"/>
  <c r="AU25" i="52" s="1"/>
  <c r="AV25" i="52" s="1"/>
  <c r="AI35" i="52"/>
  <c r="AT27" i="52"/>
  <c r="AU27" i="52" s="1"/>
  <c r="AV27" i="52" s="1"/>
  <c r="AQ27" i="52"/>
  <c r="AR27" i="52" s="1"/>
  <c r="AS27" i="52" s="1"/>
  <c r="AT15" i="52"/>
  <c r="AU15" i="52" s="1"/>
  <c r="AV15" i="52" s="1"/>
  <c r="AQ15" i="52"/>
  <c r="AR15" i="52" s="1"/>
  <c r="AS15" i="52" s="1"/>
  <c r="AT32" i="52"/>
  <c r="AU32" i="52" s="1"/>
  <c r="AV32" i="52" s="1"/>
  <c r="AQ32" i="52"/>
  <c r="AR32" i="52" s="1"/>
  <c r="AS32" i="52" s="1"/>
  <c r="AW32" i="52" s="1"/>
  <c r="BA32" i="52" s="1"/>
  <c r="AI15" i="52"/>
  <c r="AC36" i="52"/>
  <c r="AC35" i="52"/>
  <c r="AG15" i="51"/>
  <c r="W25" i="51"/>
  <c r="AG24" i="51"/>
  <c r="AT24" i="51"/>
  <c r="AU24" i="51" s="1"/>
  <c r="AV24" i="51" s="1"/>
  <c r="AW25" i="51" s="1"/>
  <c r="BA25" i="51" s="1"/>
  <c r="AQ24" i="51"/>
  <c r="AR24" i="51" s="1"/>
  <c r="AS24" i="51" s="1"/>
  <c r="AT29" i="51"/>
  <c r="AU29" i="51" s="1"/>
  <c r="AV29" i="51" s="1"/>
  <c r="AQ29" i="51"/>
  <c r="AR29" i="51" s="1"/>
  <c r="AS29" i="51" s="1"/>
  <c r="AT31" i="51"/>
  <c r="AU31" i="51" s="1"/>
  <c r="AV31" i="51" s="1"/>
  <c r="AQ31" i="51"/>
  <c r="AR31" i="51" s="1"/>
  <c r="AS31" i="51" s="1"/>
  <c r="AK18" i="51"/>
  <c r="AT18" i="51"/>
  <c r="AU18" i="51" s="1"/>
  <c r="AV18" i="51" s="1"/>
  <c r="AQ18" i="51"/>
  <c r="AR18" i="51" s="1"/>
  <c r="AS18" i="51" s="1"/>
  <c r="AQ22" i="51"/>
  <c r="AR22" i="51" s="1"/>
  <c r="AS22" i="51" s="1"/>
  <c r="AT22" i="51"/>
  <c r="AU22" i="51" s="1"/>
  <c r="AV22" i="51" s="1"/>
  <c r="Z33" i="51"/>
  <c r="W23" i="51"/>
  <c r="AT20" i="51"/>
  <c r="AU20" i="51" s="1"/>
  <c r="AV20" i="51" s="1"/>
  <c r="AQ20" i="51"/>
  <c r="AR20" i="51" s="1"/>
  <c r="AS20" i="51" s="1"/>
  <c r="AQ30" i="51"/>
  <c r="AR30" i="51" s="1"/>
  <c r="AS30" i="51" s="1"/>
  <c r="AT30" i="51"/>
  <c r="AU30" i="51" s="1"/>
  <c r="AV30" i="51" s="1"/>
  <c r="AT16" i="51"/>
  <c r="AU16" i="51" s="1"/>
  <c r="AV16" i="51" s="1"/>
  <c r="AQ16" i="51"/>
  <c r="AR16" i="51" s="1"/>
  <c r="AS16" i="51" s="1"/>
  <c r="AQ17" i="51"/>
  <c r="AR17" i="51" s="1"/>
  <c r="AS17" i="51" s="1"/>
  <c r="AT17" i="51"/>
  <c r="AU17" i="51" s="1"/>
  <c r="AV17" i="51" s="1"/>
  <c r="AT21" i="51"/>
  <c r="AU21" i="51" s="1"/>
  <c r="AV21" i="51" s="1"/>
  <c r="AQ21" i="51"/>
  <c r="AR21" i="51" s="1"/>
  <c r="AS21" i="51" s="1"/>
  <c r="AQ33" i="51"/>
  <c r="AR33" i="51" s="1"/>
  <c r="AS33" i="51" s="1"/>
  <c r="AT33" i="51"/>
  <c r="AU33" i="51" s="1"/>
  <c r="AV33" i="51" s="1"/>
  <c r="AQ27" i="51"/>
  <c r="AR27" i="51" s="1"/>
  <c r="AS27" i="51" s="1"/>
  <c r="AT27" i="51"/>
  <c r="AU27" i="51" s="1"/>
  <c r="AV27" i="51" s="1"/>
  <c r="Z32" i="51"/>
  <c r="Z25" i="51"/>
  <c r="AT15" i="51"/>
  <c r="AU15" i="51" s="1"/>
  <c r="AV15" i="51" s="1"/>
  <c r="AQ15" i="51"/>
  <c r="AR15" i="51" s="1"/>
  <c r="AS15" i="51" s="1"/>
  <c r="AT23" i="51"/>
  <c r="AU23" i="51" s="1"/>
  <c r="AV23" i="51" s="1"/>
  <c r="AQ23" i="51"/>
  <c r="AR23" i="51" s="1"/>
  <c r="AS23" i="51" s="1"/>
  <c r="AT14" i="51"/>
  <c r="AU14" i="51" s="1"/>
  <c r="AV14" i="51" s="1"/>
  <c r="AQ14" i="51"/>
  <c r="AR14" i="51" s="1"/>
  <c r="AS14" i="51" s="1"/>
  <c r="AW14" i="51" s="1"/>
  <c r="AX14" i="51" s="1"/>
  <c r="AT32" i="51"/>
  <c r="AU32" i="51" s="1"/>
  <c r="AV32" i="51" s="1"/>
  <c r="AQ32" i="51"/>
  <c r="AR32" i="51" s="1"/>
  <c r="AS32" i="51" s="1"/>
  <c r="Z15" i="51"/>
  <c r="AT28" i="51"/>
  <c r="AU28" i="51" s="1"/>
  <c r="AV28" i="51" s="1"/>
  <c r="AQ28" i="51"/>
  <c r="AR28" i="51" s="1"/>
  <c r="AS28" i="51" s="1"/>
  <c r="AW28" i="51" s="1"/>
  <c r="AI25" i="51"/>
  <c r="AT26" i="51"/>
  <c r="AU26" i="51" s="1"/>
  <c r="AV26" i="51" s="1"/>
  <c r="AQ26" i="51"/>
  <c r="AR26" i="51" s="1"/>
  <c r="AS26" i="51" s="1"/>
  <c r="AW26" i="51" s="1"/>
  <c r="Y21" i="51"/>
  <c r="W28" i="50"/>
  <c r="AB15" i="50"/>
  <c r="AE36" i="50"/>
  <c r="AI36" i="50" s="1"/>
  <c r="AC26" i="50"/>
  <c r="AC32" i="50"/>
  <c r="AQ29" i="50"/>
  <c r="AR29" i="50" s="1"/>
  <c r="AS29" i="50" s="1"/>
  <c r="AT29" i="50"/>
  <c r="AU29" i="50" s="1"/>
  <c r="AV29" i="50" s="1"/>
  <c r="AT27" i="50"/>
  <c r="AU27" i="50" s="1"/>
  <c r="AV27" i="50" s="1"/>
  <c r="AQ27" i="50"/>
  <c r="AR27" i="50" s="1"/>
  <c r="AS27" i="50" s="1"/>
  <c r="AQ28" i="50"/>
  <c r="AR28" i="50" s="1"/>
  <c r="AS28" i="50" s="1"/>
  <c r="AT28" i="50"/>
  <c r="AU28" i="50" s="1"/>
  <c r="AV28" i="50" s="1"/>
  <c r="AK36" i="50"/>
  <c r="AG27" i="50"/>
  <c r="AE37" i="50"/>
  <c r="AI37" i="50" s="1"/>
  <c r="AQ37" i="50"/>
  <c r="AR37" i="50" s="1"/>
  <c r="AS37" i="50" s="1"/>
  <c r="AW37" i="50" s="1"/>
  <c r="AT37" i="50"/>
  <c r="AU37" i="50" s="1"/>
  <c r="AV37" i="50" s="1"/>
  <c r="AT25" i="50"/>
  <c r="AU25" i="50" s="1"/>
  <c r="AV25" i="50" s="1"/>
  <c r="AQ25" i="50"/>
  <c r="AR25" i="50" s="1"/>
  <c r="AS25" i="50" s="1"/>
  <c r="W26" i="50"/>
  <c r="AT26" i="50"/>
  <c r="AU26" i="50" s="1"/>
  <c r="AV26" i="50" s="1"/>
  <c r="AQ26" i="50"/>
  <c r="AR26" i="50" s="1"/>
  <c r="AS26" i="50" s="1"/>
  <c r="AT23" i="50"/>
  <c r="AU23" i="50" s="1"/>
  <c r="AV23" i="50" s="1"/>
  <c r="AQ23" i="50"/>
  <c r="AR23" i="50" s="1"/>
  <c r="AS23" i="50" s="1"/>
  <c r="AG23" i="50"/>
  <c r="AT20" i="50"/>
  <c r="AU20" i="50" s="1"/>
  <c r="AV20" i="50" s="1"/>
  <c r="AQ20" i="50"/>
  <c r="AR20" i="50" s="1"/>
  <c r="AS20" i="50" s="1"/>
  <c r="AT24" i="50"/>
  <c r="AU24" i="50" s="1"/>
  <c r="AV24" i="50" s="1"/>
  <c r="AQ24" i="50"/>
  <c r="AR24" i="50" s="1"/>
  <c r="AS24" i="50" s="1"/>
  <c r="AT19" i="50"/>
  <c r="AU19" i="50" s="1"/>
  <c r="AV19" i="50" s="1"/>
  <c r="AQ19" i="50"/>
  <c r="AR19" i="50" s="1"/>
  <c r="AS19" i="50" s="1"/>
  <c r="AI17" i="50"/>
  <c r="AT18" i="50"/>
  <c r="AU18" i="50" s="1"/>
  <c r="AV18" i="50" s="1"/>
  <c r="AQ18" i="50"/>
  <c r="AR18" i="50" s="1"/>
  <c r="AS18" i="50" s="1"/>
  <c r="AW18" i="50" s="1"/>
  <c r="AG26" i="50"/>
  <c r="AC36" i="50"/>
  <c r="AT16" i="50"/>
  <c r="AU16" i="50" s="1"/>
  <c r="AV16" i="50" s="1"/>
  <c r="AW17" i="50" s="1"/>
  <c r="BA17" i="50" s="1"/>
  <c r="AQ16" i="50"/>
  <c r="AR16" i="50" s="1"/>
  <c r="AS16" i="50" s="1"/>
  <c r="AF34" i="50"/>
  <c r="Y22" i="50"/>
  <c r="AQ22" i="50"/>
  <c r="AR22" i="50" s="1"/>
  <c r="AS22" i="50" s="1"/>
  <c r="AT22" i="50"/>
  <c r="AU22" i="50" s="1"/>
  <c r="AV22" i="50" s="1"/>
  <c r="Y15" i="50"/>
  <c r="AC15" i="50" s="1"/>
  <c r="AT15" i="50"/>
  <c r="AU15" i="50" s="1"/>
  <c r="AV15" i="50" s="1"/>
  <c r="AQ15" i="50"/>
  <c r="AR15" i="50" s="1"/>
  <c r="AS15" i="50" s="1"/>
  <c r="AG18" i="50"/>
  <c r="W34" i="50"/>
  <c r="AT34" i="50"/>
  <c r="AU34" i="50" s="1"/>
  <c r="AV34" i="50" s="1"/>
  <c r="AQ34" i="50"/>
  <c r="AR34" i="50" s="1"/>
  <c r="AS34" i="50" s="1"/>
  <c r="AT35" i="50"/>
  <c r="AU35" i="50" s="1"/>
  <c r="AV35" i="50" s="1"/>
  <c r="AW36" i="50" s="1"/>
  <c r="AQ35" i="50"/>
  <c r="AR35" i="50" s="1"/>
  <c r="AS35" i="50" s="1"/>
  <c r="AE14" i="50"/>
  <c r="AT14" i="50"/>
  <c r="AU14" i="50" s="1"/>
  <c r="AV14" i="50" s="1"/>
  <c r="AQ14" i="50"/>
  <c r="AR14" i="50" s="1"/>
  <c r="AS14" i="50" s="1"/>
  <c r="AW14" i="50" s="1"/>
  <c r="AX14" i="50" s="1"/>
  <c r="AY14" i="50" s="1"/>
  <c r="AT33" i="50"/>
  <c r="AU33" i="50" s="1"/>
  <c r="AV33" i="50" s="1"/>
  <c r="AQ33" i="50"/>
  <c r="AR33" i="50" s="1"/>
  <c r="AS33" i="50" s="1"/>
  <c r="AE33" i="50"/>
  <c r="AT32" i="50"/>
  <c r="AU32" i="50" s="1"/>
  <c r="AV32" i="50" s="1"/>
  <c r="AQ32" i="50"/>
  <c r="AR32" i="50" s="1"/>
  <c r="AS32" i="50" s="1"/>
  <c r="AT31" i="50"/>
  <c r="AU31" i="50" s="1"/>
  <c r="AV31" i="50" s="1"/>
  <c r="AQ31" i="50"/>
  <c r="AR31" i="50" s="1"/>
  <c r="AS31" i="50" s="1"/>
  <c r="AT30" i="50"/>
  <c r="AU30" i="50" s="1"/>
  <c r="AV30" i="50" s="1"/>
  <c r="AQ30" i="50"/>
  <c r="AR30" i="50" s="1"/>
  <c r="AS30" i="50" s="1"/>
  <c r="BA37" i="50"/>
  <c r="AB23" i="49"/>
  <c r="AH34" i="49"/>
  <c r="AB33" i="49"/>
  <c r="Z29" i="49"/>
  <c r="AB24" i="49"/>
  <c r="AG17" i="49"/>
  <c r="AG33" i="49"/>
  <c r="AK34" i="49" s="1"/>
  <c r="AG14" i="49"/>
  <c r="AG30" i="49"/>
  <c r="AK31" i="49" s="1"/>
  <c r="W33" i="49"/>
  <c r="AG35" i="49"/>
  <c r="AT16" i="49"/>
  <c r="AU16" i="49" s="1"/>
  <c r="AV16" i="49" s="1"/>
  <c r="AQ16" i="49"/>
  <c r="AR16" i="49" s="1"/>
  <c r="AS16" i="49" s="1"/>
  <c r="AE35" i="49"/>
  <c r="AI35" i="49" s="1"/>
  <c r="AQ35" i="49"/>
  <c r="AR35" i="49" s="1"/>
  <c r="AS35" i="49" s="1"/>
  <c r="AW35" i="49" s="1"/>
  <c r="BA35" i="49" s="1"/>
  <c r="AT35" i="49"/>
  <c r="AU35" i="49" s="1"/>
  <c r="AV35" i="49" s="1"/>
  <c r="AG31" i="49"/>
  <c r="AK15" i="49"/>
  <c r="Y33" i="49"/>
  <c r="AT33" i="49"/>
  <c r="AU33" i="49" s="1"/>
  <c r="AV33" i="49" s="1"/>
  <c r="AW34" i="49" s="1"/>
  <c r="AQ33" i="49"/>
  <c r="AR33" i="49" s="1"/>
  <c r="AS33" i="49" s="1"/>
  <c r="Y23" i="49"/>
  <c r="AT23" i="49"/>
  <c r="AU23" i="49" s="1"/>
  <c r="AV23" i="49" s="1"/>
  <c r="AQ23" i="49"/>
  <c r="AR23" i="49" s="1"/>
  <c r="AS23" i="49" s="1"/>
  <c r="AK14" i="49"/>
  <c r="AM14" i="49" s="1"/>
  <c r="AM15" i="49" s="1"/>
  <c r="AT14" i="49"/>
  <c r="AU14" i="49" s="1"/>
  <c r="AV14" i="49" s="1"/>
  <c r="AQ14" i="49"/>
  <c r="AR14" i="49" s="1"/>
  <c r="AS14" i="49" s="1"/>
  <c r="AW14" i="49" s="1"/>
  <c r="AX14" i="49" s="1"/>
  <c r="AY14" i="49" s="1"/>
  <c r="AE14" i="49"/>
  <c r="AL15" i="49" s="1"/>
  <c r="AT22" i="49"/>
  <c r="AU22" i="49" s="1"/>
  <c r="AV22" i="49" s="1"/>
  <c r="AQ22" i="49"/>
  <c r="AR22" i="49" s="1"/>
  <c r="AS22" i="49" s="1"/>
  <c r="AW22" i="49" s="1"/>
  <c r="BA22" i="49" s="1"/>
  <c r="AB32" i="49"/>
  <c r="AE26" i="49"/>
  <c r="AQ26" i="49"/>
  <c r="AR26" i="49" s="1"/>
  <c r="AS26" i="49" s="1"/>
  <c r="AT26" i="49"/>
  <c r="AU26" i="49" s="1"/>
  <c r="AV26" i="49" s="1"/>
  <c r="AT31" i="49"/>
  <c r="AU31" i="49" s="1"/>
  <c r="AV31" i="49" s="1"/>
  <c r="AQ31" i="49"/>
  <c r="AR31" i="49" s="1"/>
  <c r="AS31" i="49" s="1"/>
  <c r="AE33" i="49"/>
  <c r="AI33" i="49" s="1"/>
  <c r="AG29" i="49"/>
  <c r="AT29" i="49"/>
  <c r="AU29" i="49" s="1"/>
  <c r="AV29" i="49" s="1"/>
  <c r="AQ29" i="49"/>
  <c r="AR29" i="49" s="1"/>
  <c r="AS29" i="49" s="1"/>
  <c r="AE19" i="49"/>
  <c r="AT19" i="49"/>
  <c r="AU19" i="49" s="1"/>
  <c r="AV19" i="49" s="1"/>
  <c r="AQ19" i="49"/>
  <c r="AR19" i="49" s="1"/>
  <c r="AS19" i="49" s="1"/>
  <c r="AT18" i="49"/>
  <c r="AU18" i="49" s="1"/>
  <c r="AV18" i="49" s="1"/>
  <c r="AQ18" i="49"/>
  <c r="AR18" i="49" s="1"/>
  <c r="AS18" i="49" s="1"/>
  <c r="Y27" i="49"/>
  <c r="AL27" i="49" s="1"/>
  <c r="AQ27" i="49"/>
  <c r="AR27" i="49" s="1"/>
  <c r="AS27" i="49" s="1"/>
  <c r="AW27" i="49" s="1"/>
  <c r="AT27" i="49"/>
  <c r="AU27" i="49" s="1"/>
  <c r="AV27" i="49" s="1"/>
  <c r="W35" i="49"/>
  <c r="Y35" i="49"/>
  <c r="AC35" i="49" s="1"/>
  <c r="AT25" i="49"/>
  <c r="AU25" i="49" s="1"/>
  <c r="AV25" i="49" s="1"/>
  <c r="AQ25" i="49"/>
  <c r="AR25" i="49" s="1"/>
  <c r="AS25" i="49" s="1"/>
  <c r="AT30" i="49"/>
  <c r="AU30" i="49" s="1"/>
  <c r="AV30" i="49" s="1"/>
  <c r="AQ30" i="49"/>
  <c r="AR30" i="49" s="1"/>
  <c r="AS30" i="49" s="1"/>
  <c r="AT17" i="49"/>
  <c r="AU17" i="49" s="1"/>
  <c r="AV17" i="49" s="1"/>
  <c r="AQ17" i="49"/>
  <c r="AR17" i="49" s="1"/>
  <c r="AS17" i="49" s="1"/>
  <c r="AT32" i="49"/>
  <c r="AU32" i="49" s="1"/>
  <c r="AV32" i="49" s="1"/>
  <c r="AQ32" i="49"/>
  <c r="AR32" i="49" s="1"/>
  <c r="AS32" i="49" s="1"/>
  <c r="AT24" i="49"/>
  <c r="AU24" i="49" s="1"/>
  <c r="AV24" i="49" s="1"/>
  <c r="AQ24" i="49"/>
  <c r="AR24" i="49" s="1"/>
  <c r="AS24" i="49" s="1"/>
  <c r="AE28" i="49"/>
  <c r="AT28" i="49"/>
  <c r="AU28" i="49" s="1"/>
  <c r="AV28" i="49" s="1"/>
  <c r="AQ28" i="49"/>
  <c r="AR28" i="49" s="1"/>
  <c r="AS28" i="49" s="1"/>
  <c r="AK19" i="49"/>
  <c r="AC33" i="49"/>
  <c r="AQ15" i="49"/>
  <c r="AR15" i="49" s="1"/>
  <c r="AS15" i="49" s="1"/>
  <c r="AT15" i="49"/>
  <c r="AU15" i="49" s="1"/>
  <c r="AV15" i="49" s="1"/>
  <c r="W23" i="49"/>
  <c r="AF16" i="48"/>
  <c r="AA13" i="48"/>
  <c r="AG13" i="48" s="1"/>
  <c r="AK13" i="48" s="1"/>
  <c r="AM13" i="48" s="1"/>
  <c r="W25" i="48"/>
  <c r="AA25" i="48"/>
  <c r="AK25" i="48" s="1"/>
  <c r="Y13" i="48"/>
  <c r="AC13" i="48" s="1"/>
  <c r="AI13" i="48" s="1"/>
  <c r="AJ13" i="48" s="1"/>
  <c r="AO13" i="48" s="1"/>
  <c r="AP13" i="48" s="1"/>
  <c r="AZ13" i="48" s="1"/>
  <c r="AT24" i="48"/>
  <c r="AU24" i="48" s="1"/>
  <c r="AV24" i="48" s="1"/>
  <c r="AQ24" i="48"/>
  <c r="AR24" i="48" s="1"/>
  <c r="AS24" i="48" s="1"/>
  <c r="AT31" i="48"/>
  <c r="AU31" i="48" s="1"/>
  <c r="AV31" i="48" s="1"/>
  <c r="AQ31" i="48"/>
  <c r="AR31" i="48" s="1"/>
  <c r="AS31" i="48" s="1"/>
  <c r="AT14" i="48"/>
  <c r="AU14" i="48" s="1"/>
  <c r="AV14" i="48" s="1"/>
  <c r="AQ14" i="48"/>
  <c r="AR14" i="48" s="1"/>
  <c r="AS14" i="48" s="1"/>
  <c r="AW14" i="48" s="1"/>
  <c r="AX14" i="48" s="1"/>
  <c r="AQ32" i="48"/>
  <c r="AR32" i="48" s="1"/>
  <c r="AS32" i="48" s="1"/>
  <c r="AT32" i="48"/>
  <c r="AU32" i="48" s="1"/>
  <c r="AV32" i="48" s="1"/>
  <c r="AT19" i="48"/>
  <c r="AU19" i="48" s="1"/>
  <c r="AV19" i="48" s="1"/>
  <c r="AQ19" i="48"/>
  <c r="AR19" i="48" s="1"/>
  <c r="AS19" i="48" s="1"/>
  <c r="AT25" i="48"/>
  <c r="AU25" i="48" s="1"/>
  <c r="AV25" i="48" s="1"/>
  <c r="AQ25" i="48"/>
  <c r="AR25" i="48" s="1"/>
  <c r="AS25" i="48" s="1"/>
  <c r="AE25" i="48"/>
  <c r="AI25" i="48" s="1"/>
  <c r="AT29" i="48"/>
  <c r="AU29" i="48" s="1"/>
  <c r="AV29" i="48" s="1"/>
  <c r="AQ29" i="48"/>
  <c r="AR29" i="48" s="1"/>
  <c r="AS29" i="48" s="1"/>
  <c r="AT17" i="48"/>
  <c r="AU17" i="48" s="1"/>
  <c r="AV17" i="48" s="1"/>
  <c r="AQ17" i="48"/>
  <c r="AR17" i="48" s="1"/>
  <c r="AS17" i="48" s="1"/>
  <c r="AT23" i="48"/>
  <c r="AU23" i="48" s="1"/>
  <c r="AV23" i="48" s="1"/>
  <c r="AQ23" i="48"/>
  <c r="AR23" i="48" s="1"/>
  <c r="AS23" i="48" s="1"/>
  <c r="AE23" i="48"/>
  <c r="AI23" i="48" s="1"/>
  <c r="AT30" i="48"/>
  <c r="AU30" i="48" s="1"/>
  <c r="AV30" i="48" s="1"/>
  <c r="AQ30" i="48"/>
  <c r="AR30" i="48" s="1"/>
  <c r="AS30" i="48" s="1"/>
  <c r="AT18" i="48"/>
  <c r="AU18" i="48" s="1"/>
  <c r="AV18" i="48" s="1"/>
  <c r="AQ18" i="48"/>
  <c r="AR18" i="48" s="1"/>
  <c r="AS18" i="48" s="1"/>
  <c r="AT15" i="48"/>
  <c r="AU15" i="48" s="1"/>
  <c r="AV15" i="48" s="1"/>
  <c r="AQ15" i="48"/>
  <c r="AR15" i="48" s="1"/>
  <c r="AS15" i="48" s="1"/>
  <c r="AT21" i="48"/>
  <c r="AU21" i="48" s="1"/>
  <c r="AV21" i="48" s="1"/>
  <c r="AQ21" i="48"/>
  <c r="AR21" i="48" s="1"/>
  <c r="AS21" i="48" s="1"/>
  <c r="AT27" i="48"/>
  <c r="AU27" i="48" s="1"/>
  <c r="AV27" i="48" s="1"/>
  <c r="AQ27" i="48"/>
  <c r="AR27" i="48" s="1"/>
  <c r="AS27" i="48" s="1"/>
  <c r="AT28" i="48"/>
  <c r="AU28" i="48" s="1"/>
  <c r="AV28" i="48" s="1"/>
  <c r="AQ28" i="48"/>
  <c r="AR28" i="48" s="1"/>
  <c r="AS28" i="48" s="1"/>
  <c r="AQ16" i="48"/>
  <c r="AR16" i="48" s="1"/>
  <c r="AS16" i="48" s="1"/>
  <c r="AT16" i="48"/>
  <c r="AU16" i="48" s="1"/>
  <c r="AV16" i="48" s="1"/>
  <c r="AT22" i="48"/>
  <c r="AU22" i="48" s="1"/>
  <c r="AV22" i="48" s="1"/>
  <c r="AQ22" i="48"/>
  <c r="AR22" i="48" s="1"/>
  <c r="AS22" i="48" s="1"/>
  <c r="AE15" i="48"/>
  <c r="AT26" i="48"/>
  <c r="AU26" i="48" s="1"/>
  <c r="AV26" i="48" s="1"/>
  <c r="AQ26" i="48"/>
  <c r="AR26" i="48" s="1"/>
  <c r="AS26" i="48" s="1"/>
  <c r="AE22" i="48"/>
  <c r="AI22" i="48" s="1"/>
  <c r="AG31" i="48"/>
  <c r="AG15" i="47"/>
  <c r="Z27" i="47"/>
  <c r="AT19" i="47"/>
  <c r="AU19" i="47" s="1"/>
  <c r="AV19" i="47" s="1"/>
  <c r="AQ19" i="47"/>
  <c r="AR19" i="47" s="1"/>
  <c r="AS19" i="47" s="1"/>
  <c r="AT25" i="47"/>
  <c r="AU25" i="47" s="1"/>
  <c r="AV25" i="47" s="1"/>
  <c r="AQ25" i="47"/>
  <c r="AR25" i="47" s="1"/>
  <c r="AS25" i="47" s="1"/>
  <c r="AC23" i="47"/>
  <c r="AE17" i="47"/>
  <c r="AI17" i="47" s="1"/>
  <c r="AQ17" i="47"/>
  <c r="AR17" i="47" s="1"/>
  <c r="AS17" i="47" s="1"/>
  <c r="AT17" i="47"/>
  <c r="AU17" i="47" s="1"/>
  <c r="AV17" i="47" s="1"/>
  <c r="AT23" i="47"/>
  <c r="AU23" i="47" s="1"/>
  <c r="AV23" i="47" s="1"/>
  <c r="AQ23" i="47"/>
  <c r="AR23" i="47" s="1"/>
  <c r="AS23" i="47" s="1"/>
  <c r="AT15" i="47"/>
  <c r="AU15" i="47" s="1"/>
  <c r="AV15" i="47" s="1"/>
  <c r="AQ15" i="47"/>
  <c r="AR15" i="47" s="1"/>
  <c r="AS15" i="47" s="1"/>
  <c r="AT32" i="47"/>
  <c r="AU32" i="47" s="1"/>
  <c r="AV32" i="47" s="1"/>
  <c r="AQ32" i="47"/>
  <c r="AR32" i="47" s="1"/>
  <c r="AS32" i="47" s="1"/>
  <c r="AG31" i="47"/>
  <c r="AT30" i="47"/>
  <c r="AU30" i="47" s="1"/>
  <c r="AV30" i="47" s="1"/>
  <c r="AQ30" i="47"/>
  <c r="AR30" i="47" s="1"/>
  <c r="AS30" i="47" s="1"/>
  <c r="AQ28" i="47"/>
  <c r="AR28" i="47" s="1"/>
  <c r="AS28" i="47" s="1"/>
  <c r="AT28" i="47"/>
  <c r="AU28" i="47" s="1"/>
  <c r="AV28" i="47" s="1"/>
  <c r="AT18" i="47"/>
  <c r="AU18" i="47" s="1"/>
  <c r="AV18" i="47" s="1"/>
  <c r="AQ18" i="47"/>
  <c r="AR18" i="47" s="1"/>
  <c r="AS18" i="47" s="1"/>
  <c r="AT26" i="47"/>
  <c r="AU26" i="47" s="1"/>
  <c r="AV26" i="47" s="1"/>
  <c r="AQ26" i="47"/>
  <c r="AR26" i="47" s="1"/>
  <c r="AS26" i="47" s="1"/>
  <c r="AW26" i="47" s="1"/>
  <c r="AT16" i="47"/>
  <c r="AU16" i="47" s="1"/>
  <c r="AV16" i="47" s="1"/>
  <c r="AQ16" i="47"/>
  <c r="AR16" i="47" s="1"/>
  <c r="AS16" i="47" s="1"/>
  <c r="AW16" i="47" s="1"/>
  <c r="AG17" i="47"/>
  <c r="AT24" i="47"/>
  <c r="AU24" i="47" s="1"/>
  <c r="AV24" i="47" s="1"/>
  <c r="AQ24" i="47"/>
  <c r="AR24" i="47" s="1"/>
  <c r="AS24" i="47" s="1"/>
  <c r="AE31" i="47"/>
  <c r="AI31" i="47" s="1"/>
  <c r="AT31" i="47"/>
  <c r="AU31" i="47" s="1"/>
  <c r="AV31" i="47" s="1"/>
  <c r="AQ31" i="47"/>
  <c r="AR31" i="47" s="1"/>
  <c r="AS31" i="47" s="1"/>
  <c r="AT14" i="47"/>
  <c r="AU14" i="47" s="1"/>
  <c r="AV14" i="47" s="1"/>
  <c r="AQ14" i="47"/>
  <c r="AR14" i="47" s="1"/>
  <c r="AS14" i="47" s="1"/>
  <c r="AW14" i="47" s="1"/>
  <c r="AT29" i="47"/>
  <c r="AU29" i="47" s="1"/>
  <c r="AV29" i="47" s="1"/>
  <c r="AQ29" i="47"/>
  <c r="AR29" i="47" s="1"/>
  <c r="AS29" i="47" s="1"/>
  <c r="AG32" i="47"/>
  <c r="AE22" i="47"/>
  <c r="AI22" i="47" s="1"/>
  <c r="AT22" i="47"/>
  <c r="AU22" i="47" s="1"/>
  <c r="AV22" i="47" s="1"/>
  <c r="AQ22" i="47"/>
  <c r="AR22" i="47" s="1"/>
  <c r="AS22" i="47" s="1"/>
  <c r="AT27" i="47"/>
  <c r="AU27" i="47" s="1"/>
  <c r="AV27" i="47" s="1"/>
  <c r="AQ27" i="47"/>
  <c r="AR27" i="47" s="1"/>
  <c r="AS27" i="47" s="1"/>
  <c r="AX14" i="47"/>
  <c r="AY14" i="47" s="1"/>
  <c r="AF14" i="46"/>
  <c r="AG20" i="46"/>
  <c r="AG31" i="46"/>
  <c r="AK32" i="46" s="1"/>
  <c r="AG30" i="46"/>
  <c r="AA27" i="46"/>
  <c r="AG14" i="46"/>
  <c r="AG32" i="46"/>
  <c r="AT28" i="46"/>
  <c r="AU28" i="46" s="1"/>
  <c r="AV28" i="46" s="1"/>
  <c r="AQ28" i="46"/>
  <c r="AR28" i="46" s="1"/>
  <c r="AS28" i="46" s="1"/>
  <c r="AG23" i="46"/>
  <c r="AK24" i="46" s="1"/>
  <c r="AE29" i="46"/>
  <c r="AI29" i="46" s="1"/>
  <c r="AT29" i="46"/>
  <c r="AU29" i="46" s="1"/>
  <c r="AV29" i="46" s="1"/>
  <c r="AQ29" i="46"/>
  <c r="AR29" i="46" s="1"/>
  <c r="AS29" i="46" s="1"/>
  <c r="AW29" i="46" s="1"/>
  <c r="BA29" i="46" s="1"/>
  <c r="AQ26" i="46"/>
  <c r="AR26" i="46" s="1"/>
  <c r="AS26" i="46" s="1"/>
  <c r="AW26" i="46" s="1"/>
  <c r="AT26" i="46"/>
  <c r="AU26" i="46" s="1"/>
  <c r="AV26" i="46" s="1"/>
  <c r="AT24" i="46"/>
  <c r="AU24" i="46" s="1"/>
  <c r="AV24" i="46" s="1"/>
  <c r="AQ24" i="46"/>
  <c r="AR24" i="46" s="1"/>
  <c r="AS24" i="46" s="1"/>
  <c r="AT27" i="46"/>
  <c r="AU27" i="46" s="1"/>
  <c r="AV27" i="46" s="1"/>
  <c r="AQ27" i="46"/>
  <c r="AR27" i="46" s="1"/>
  <c r="AS27" i="46" s="1"/>
  <c r="AT31" i="46"/>
  <c r="AU31" i="46" s="1"/>
  <c r="AV31" i="46" s="1"/>
  <c r="AQ31" i="46"/>
  <c r="AR31" i="46" s="1"/>
  <c r="AS31" i="46" s="1"/>
  <c r="AT22" i="46"/>
  <c r="AU22" i="46" s="1"/>
  <c r="AV22" i="46" s="1"/>
  <c r="AQ22" i="46"/>
  <c r="AR22" i="46" s="1"/>
  <c r="AS22" i="46" s="1"/>
  <c r="AT25" i="46"/>
  <c r="AU25" i="46" s="1"/>
  <c r="AV25" i="46" s="1"/>
  <c r="AQ25" i="46"/>
  <c r="AR25" i="46" s="1"/>
  <c r="AS25" i="46" s="1"/>
  <c r="AT19" i="46"/>
  <c r="AU19" i="46" s="1"/>
  <c r="AV19" i="46" s="1"/>
  <c r="AQ19" i="46"/>
  <c r="AR19" i="46" s="1"/>
  <c r="AS19" i="46" s="1"/>
  <c r="AT23" i="46"/>
  <c r="AU23" i="46" s="1"/>
  <c r="AV23" i="46" s="1"/>
  <c r="AQ23" i="46"/>
  <c r="AR23" i="46" s="1"/>
  <c r="AS23" i="46" s="1"/>
  <c r="AT30" i="46"/>
  <c r="AU30" i="46" s="1"/>
  <c r="AV30" i="46" s="1"/>
  <c r="AQ30" i="46"/>
  <c r="AR30" i="46" s="1"/>
  <c r="AS30" i="46" s="1"/>
  <c r="AW30" i="46" s="1"/>
  <c r="AT36" i="46"/>
  <c r="AU36" i="46" s="1"/>
  <c r="AV36" i="46" s="1"/>
  <c r="AQ36" i="46"/>
  <c r="AR36" i="46" s="1"/>
  <c r="AS36" i="46" s="1"/>
  <c r="AG29" i="46"/>
  <c r="AK30" i="46" s="1"/>
  <c r="AT14" i="46"/>
  <c r="AU14" i="46" s="1"/>
  <c r="AV14" i="46" s="1"/>
  <c r="AQ14" i="46"/>
  <c r="AR14" i="46" s="1"/>
  <c r="AS14" i="46" s="1"/>
  <c r="AW14" i="46" s="1"/>
  <c r="AQ20" i="46"/>
  <c r="AR20" i="46" s="1"/>
  <c r="AS20" i="46" s="1"/>
  <c r="AT20" i="46"/>
  <c r="AU20" i="46" s="1"/>
  <c r="AV20" i="46" s="1"/>
  <c r="AQ17" i="46"/>
  <c r="AR17" i="46" s="1"/>
  <c r="AS17" i="46" s="1"/>
  <c r="AT17" i="46"/>
  <c r="AU17" i="46" s="1"/>
  <c r="AV17" i="46" s="1"/>
  <c r="AT18" i="46"/>
  <c r="AU18" i="46" s="1"/>
  <c r="AV18" i="46" s="1"/>
  <c r="AQ18" i="46"/>
  <c r="AR18" i="46" s="1"/>
  <c r="AS18" i="46" s="1"/>
  <c r="AT34" i="46"/>
  <c r="AU34" i="46" s="1"/>
  <c r="AV34" i="46" s="1"/>
  <c r="AQ34" i="46"/>
  <c r="AR34" i="46" s="1"/>
  <c r="AS34" i="46" s="1"/>
  <c r="AQ16" i="46"/>
  <c r="AR16" i="46" s="1"/>
  <c r="AS16" i="46" s="1"/>
  <c r="AT16" i="46"/>
  <c r="AU16" i="46" s="1"/>
  <c r="AV16" i="46" s="1"/>
  <c r="AT32" i="46"/>
  <c r="AU32" i="46" s="1"/>
  <c r="AV32" i="46" s="1"/>
  <c r="AQ32" i="46"/>
  <c r="AR32" i="46" s="1"/>
  <c r="AS32" i="46" s="1"/>
  <c r="AT15" i="46"/>
  <c r="AU15" i="46" s="1"/>
  <c r="AV15" i="46" s="1"/>
  <c r="AQ15" i="46"/>
  <c r="AR15" i="46" s="1"/>
  <c r="AS15" i="46" s="1"/>
  <c r="AT35" i="46"/>
  <c r="AU35" i="46" s="1"/>
  <c r="AV35" i="46" s="1"/>
  <c r="AQ35" i="46"/>
  <c r="AR35" i="46" s="1"/>
  <c r="AS35" i="46" s="1"/>
  <c r="AA16" i="46"/>
  <c r="AE20" i="46"/>
  <c r="AI20" i="46" s="1"/>
  <c r="AQ33" i="46"/>
  <c r="AR33" i="46" s="1"/>
  <c r="AS33" i="46" s="1"/>
  <c r="AT33" i="46"/>
  <c r="AU33" i="46" s="1"/>
  <c r="AV33" i="46" s="1"/>
  <c r="AA33" i="46"/>
  <c r="AX14" i="46"/>
  <c r="AY14" i="46" s="1"/>
  <c r="AC15" i="45"/>
  <c r="AA32" i="45"/>
  <c r="AK32" i="45" s="1"/>
  <c r="AG33" i="45"/>
  <c r="Y15" i="45"/>
  <c r="AA31" i="45"/>
  <c r="AQ15" i="45"/>
  <c r="AR15" i="45" s="1"/>
  <c r="AS15" i="45" s="1"/>
  <c r="AI15" i="45"/>
  <c r="AG35" i="45"/>
  <c r="AG36" i="45"/>
  <c r="AT19" i="45"/>
  <c r="AU19" i="45" s="1"/>
  <c r="AV19" i="45" s="1"/>
  <c r="AQ19" i="45"/>
  <c r="AR19" i="45" s="1"/>
  <c r="AS19" i="45" s="1"/>
  <c r="Z25" i="45"/>
  <c r="AC25" i="45" s="1"/>
  <c r="Z32" i="45"/>
  <c r="Y35" i="45"/>
  <c r="AF19" i="45"/>
  <c r="AI19" i="45" s="1"/>
  <c r="AF14" i="45"/>
  <c r="AE16" i="45"/>
  <c r="AT16" i="45"/>
  <c r="AU16" i="45" s="1"/>
  <c r="AV16" i="45" s="1"/>
  <c r="AW17" i="45" s="1"/>
  <c r="BA17" i="45" s="1"/>
  <c r="AQ16" i="45"/>
  <c r="AR16" i="45" s="1"/>
  <c r="AS16" i="45" s="1"/>
  <c r="AW16" i="45" s="1"/>
  <c r="AE18" i="45"/>
  <c r="AT18" i="45"/>
  <c r="AU18" i="45" s="1"/>
  <c r="AV18" i="45" s="1"/>
  <c r="AQ18" i="45"/>
  <c r="AR18" i="45" s="1"/>
  <c r="AS18" i="45" s="1"/>
  <c r="AW18" i="45" s="1"/>
  <c r="AT36" i="45"/>
  <c r="AU36" i="45" s="1"/>
  <c r="AV36" i="45" s="1"/>
  <c r="AQ36" i="45"/>
  <c r="AR36" i="45" s="1"/>
  <c r="AS36" i="45" s="1"/>
  <c r="AT14" i="45"/>
  <c r="AU14" i="45" s="1"/>
  <c r="AV14" i="45" s="1"/>
  <c r="AW15" i="45" s="1"/>
  <c r="BA15" i="45" s="1"/>
  <c r="AQ14" i="45"/>
  <c r="AR14" i="45" s="1"/>
  <c r="AS14" i="45" s="1"/>
  <c r="AW14" i="45" s="1"/>
  <c r="AX14" i="45" s="1"/>
  <c r="AT22" i="45"/>
  <c r="AU22" i="45" s="1"/>
  <c r="AV22" i="45" s="1"/>
  <c r="AQ22" i="45"/>
  <c r="AR22" i="45" s="1"/>
  <c r="AS22" i="45" s="1"/>
  <c r="AG25" i="45"/>
  <c r="AE34" i="45"/>
  <c r="AI34" i="45" s="1"/>
  <c r="AT30" i="45"/>
  <c r="AU30" i="45" s="1"/>
  <c r="AV30" i="45" s="1"/>
  <c r="AQ30" i="45"/>
  <c r="AR30" i="45" s="1"/>
  <c r="AS30" i="45" s="1"/>
  <c r="W24" i="45"/>
  <c r="AQ24" i="45"/>
  <c r="AR24" i="45" s="1"/>
  <c r="AS24" i="45" s="1"/>
  <c r="AW24" i="45" s="1"/>
  <c r="AT24" i="45"/>
  <c r="AU24" i="45" s="1"/>
  <c r="AV24" i="45" s="1"/>
  <c r="AK20" i="45"/>
  <c r="AT29" i="45"/>
  <c r="AU29" i="45" s="1"/>
  <c r="AV29" i="45" s="1"/>
  <c r="AQ29" i="45"/>
  <c r="AR29" i="45" s="1"/>
  <c r="AS29" i="45" s="1"/>
  <c r="Y24" i="45"/>
  <c r="AE32" i="45"/>
  <c r="AI32" i="45" s="1"/>
  <c r="AG23" i="45"/>
  <c r="AT27" i="45"/>
  <c r="AU27" i="45" s="1"/>
  <c r="AV27" i="45" s="1"/>
  <c r="AQ27" i="45"/>
  <c r="AR27" i="45" s="1"/>
  <c r="AS27" i="45" s="1"/>
  <c r="AT34" i="45"/>
  <c r="AU34" i="45" s="1"/>
  <c r="AV34" i="45" s="1"/>
  <c r="AQ34" i="45"/>
  <c r="AR34" i="45" s="1"/>
  <c r="AS34" i="45" s="1"/>
  <c r="AT31" i="45"/>
  <c r="AU31" i="45" s="1"/>
  <c r="AV31" i="45" s="1"/>
  <c r="AQ31" i="45"/>
  <c r="AR31" i="45" s="1"/>
  <c r="AS31" i="45" s="1"/>
  <c r="AG30" i="45"/>
  <c r="AT25" i="45"/>
  <c r="AU25" i="45" s="1"/>
  <c r="AV25" i="45" s="1"/>
  <c r="AQ25" i="45"/>
  <c r="AR25" i="45" s="1"/>
  <c r="AS25" i="45" s="1"/>
  <c r="AQ33" i="45"/>
  <c r="AR33" i="45" s="1"/>
  <c r="AS33" i="45" s="1"/>
  <c r="AT33" i="45"/>
  <c r="AU33" i="45" s="1"/>
  <c r="AV33" i="45" s="1"/>
  <c r="Z23" i="45"/>
  <c r="AC23" i="45" s="1"/>
  <c r="AT23" i="45"/>
  <c r="AU23" i="45" s="1"/>
  <c r="AV23" i="45" s="1"/>
  <c r="AQ23" i="45"/>
  <c r="AR23" i="45" s="1"/>
  <c r="AS23" i="45" s="1"/>
  <c r="AW23" i="45" s="1"/>
  <c r="BA23" i="45" s="1"/>
  <c r="AT28" i="45"/>
  <c r="AU28" i="45" s="1"/>
  <c r="AV28" i="45" s="1"/>
  <c r="AQ28" i="45"/>
  <c r="AR28" i="45" s="1"/>
  <c r="AS28" i="45" s="1"/>
  <c r="AW28" i="45" s="1"/>
  <c r="AE27" i="45"/>
  <c r="AI27" i="45" s="1"/>
  <c r="AG22" i="45"/>
  <c r="AT32" i="45"/>
  <c r="AU32" i="45" s="1"/>
  <c r="AV32" i="45" s="1"/>
  <c r="AQ32" i="45"/>
  <c r="AR32" i="45" s="1"/>
  <c r="AS32" i="45" s="1"/>
  <c r="AA34" i="45"/>
  <c r="AK34" i="45" s="1"/>
  <c r="AT20" i="45"/>
  <c r="AU20" i="45" s="1"/>
  <c r="AV20" i="45" s="1"/>
  <c r="AQ20" i="45"/>
  <c r="AR20" i="45" s="1"/>
  <c r="AS20" i="45" s="1"/>
  <c r="AT26" i="45"/>
  <c r="AU26" i="45" s="1"/>
  <c r="AV26" i="45" s="1"/>
  <c r="AQ26" i="45"/>
  <c r="AR26" i="45" s="1"/>
  <c r="AS26" i="45" s="1"/>
  <c r="AT35" i="45"/>
  <c r="AU35" i="45" s="1"/>
  <c r="AV35" i="45" s="1"/>
  <c r="AQ35" i="45"/>
  <c r="AR35" i="45" s="1"/>
  <c r="AS35" i="45" s="1"/>
  <c r="AG23" i="44"/>
  <c r="AK24" i="44" s="1"/>
  <c r="AG24" i="44"/>
  <c r="AA35" i="44"/>
  <c r="AG19" i="44"/>
  <c r="AQ24" i="44"/>
  <c r="AR24" i="44" s="1"/>
  <c r="AS24" i="44" s="1"/>
  <c r="AT24" i="44"/>
  <c r="AU24" i="44" s="1"/>
  <c r="AV24" i="44" s="1"/>
  <c r="AT33" i="44"/>
  <c r="AU33" i="44" s="1"/>
  <c r="AV33" i="44" s="1"/>
  <c r="AQ33" i="44"/>
  <c r="AR33" i="44" s="1"/>
  <c r="AS33" i="44" s="1"/>
  <c r="AT19" i="44"/>
  <c r="AU19" i="44" s="1"/>
  <c r="AV19" i="44" s="1"/>
  <c r="AQ19" i="44"/>
  <c r="AR19" i="44" s="1"/>
  <c r="AS19" i="44" s="1"/>
  <c r="AE33" i="44"/>
  <c r="Z30" i="44"/>
  <c r="AC30" i="44" s="1"/>
  <c r="AT31" i="44"/>
  <c r="AU31" i="44" s="1"/>
  <c r="AV31" i="44" s="1"/>
  <c r="AQ31" i="44"/>
  <c r="AR31" i="44" s="1"/>
  <c r="AS31" i="44" s="1"/>
  <c r="AT20" i="44"/>
  <c r="AU20" i="44" s="1"/>
  <c r="AV20" i="44" s="1"/>
  <c r="AQ20" i="44"/>
  <c r="AR20" i="44" s="1"/>
  <c r="AS20" i="44" s="1"/>
  <c r="W17" i="44"/>
  <c r="AQ17" i="44"/>
  <c r="AR17" i="44" s="1"/>
  <c r="AS17" i="44" s="1"/>
  <c r="AT17" i="44"/>
  <c r="AU17" i="44" s="1"/>
  <c r="AV17" i="44" s="1"/>
  <c r="AE24" i="44"/>
  <c r="AT18" i="44"/>
  <c r="AU18" i="44" s="1"/>
  <c r="AV18" i="44" s="1"/>
  <c r="AQ18" i="44"/>
  <c r="AR18" i="44" s="1"/>
  <c r="AS18" i="44" s="1"/>
  <c r="AT29" i="44"/>
  <c r="AU29" i="44" s="1"/>
  <c r="AV29" i="44" s="1"/>
  <c r="AQ29" i="44"/>
  <c r="AR29" i="44" s="1"/>
  <c r="AS29" i="44" s="1"/>
  <c r="AT34" i="44"/>
  <c r="AU34" i="44" s="1"/>
  <c r="AV34" i="44" s="1"/>
  <c r="AQ34" i="44"/>
  <c r="AR34" i="44" s="1"/>
  <c r="AS34" i="44" s="1"/>
  <c r="AT35" i="44"/>
  <c r="AU35" i="44" s="1"/>
  <c r="AV35" i="44" s="1"/>
  <c r="AQ35" i="44"/>
  <c r="AR35" i="44" s="1"/>
  <c r="AS35" i="44" s="1"/>
  <c r="AB16" i="44"/>
  <c r="W15" i="44"/>
  <c r="AQ15" i="44"/>
  <c r="AR15" i="44" s="1"/>
  <c r="AS15" i="44" s="1"/>
  <c r="AT15" i="44"/>
  <c r="AU15" i="44" s="1"/>
  <c r="AV15" i="44" s="1"/>
  <c r="AT27" i="44"/>
  <c r="AU27" i="44" s="1"/>
  <c r="AV27" i="44" s="1"/>
  <c r="AQ27" i="44"/>
  <c r="AR27" i="44" s="1"/>
  <c r="AS27" i="44" s="1"/>
  <c r="AQ32" i="44"/>
  <c r="AR32" i="44" s="1"/>
  <c r="AS32" i="44" s="1"/>
  <c r="AT32" i="44"/>
  <c r="AU32" i="44" s="1"/>
  <c r="AV32" i="44" s="1"/>
  <c r="Y33" i="44"/>
  <c r="AB20" i="44"/>
  <c r="AT25" i="44"/>
  <c r="AU25" i="44" s="1"/>
  <c r="AV25" i="44" s="1"/>
  <c r="AQ25" i="44"/>
  <c r="AR25" i="44" s="1"/>
  <c r="AS25" i="44" s="1"/>
  <c r="AT30" i="44"/>
  <c r="AU30" i="44" s="1"/>
  <c r="AV30" i="44" s="1"/>
  <c r="AQ30" i="44"/>
  <c r="AR30" i="44" s="1"/>
  <c r="AS30" i="44" s="1"/>
  <c r="AA30" i="44"/>
  <c r="AE28" i="44"/>
  <c r="AI28" i="44" s="1"/>
  <c r="AQ28" i="44"/>
  <c r="AR28" i="44" s="1"/>
  <c r="AS28" i="44" s="1"/>
  <c r="AW28" i="44" s="1"/>
  <c r="AT28" i="44"/>
  <c r="AU28" i="44" s="1"/>
  <c r="AV28" i="44" s="1"/>
  <c r="AT23" i="44"/>
  <c r="AU23" i="44" s="1"/>
  <c r="AV23" i="44" s="1"/>
  <c r="AQ23" i="44"/>
  <c r="AR23" i="44" s="1"/>
  <c r="AS23" i="44" s="1"/>
  <c r="AE25" i="44"/>
  <c r="AI25" i="44" s="1"/>
  <c r="AT14" i="44"/>
  <c r="AU14" i="44" s="1"/>
  <c r="AV14" i="44" s="1"/>
  <c r="AQ14" i="44"/>
  <c r="AR14" i="44" s="1"/>
  <c r="AS14" i="44" s="1"/>
  <c r="AW14" i="44" s="1"/>
  <c r="AX14" i="44" s="1"/>
  <c r="AY14" i="44" s="1"/>
  <c r="AE22" i="44"/>
  <c r="AI22" i="44" s="1"/>
  <c r="AT22" i="44"/>
  <c r="AU22" i="44" s="1"/>
  <c r="AV22" i="44" s="1"/>
  <c r="AQ22" i="44"/>
  <c r="AR22" i="44" s="1"/>
  <c r="AS22" i="44" s="1"/>
  <c r="AE26" i="44"/>
  <c r="AI26" i="44" s="1"/>
  <c r="AT26" i="44"/>
  <c r="AU26" i="44" s="1"/>
  <c r="AV26" i="44" s="1"/>
  <c r="AQ26" i="44"/>
  <c r="AR26" i="44" s="1"/>
  <c r="AS26" i="44" s="1"/>
  <c r="AT16" i="44"/>
  <c r="AU16" i="44" s="1"/>
  <c r="AV16" i="44" s="1"/>
  <c r="AQ16" i="44"/>
  <c r="AR16" i="44" s="1"/>
  <c r="AS16" i="44" s="1"/>
  <c r="AQ36" i="44"/>
  <c r="AR36" i="44" s="1"/>
  <c r="AS36" i="44" s="1"/>
  <c r="AT36" i="44"/>
  <c r="AU36" i="44" s="1"/>
  <c r="AV36" i="44" s="1"/>
  <c r="Y25" i="43"/>
  <c r="AC25" i="43" s="1"/>
  <c r="AQ17" i="43"/>
  <c r="AR17" i="43" s="1"/>
  <c r="AS17" i="43" s="1"/>
  <c r="AB16" i="43"/>
  <c r="W25" i="43"/>
  <c r="AF25" i="43"/>
  <c r="AI25" i="43" s="1"/>
  <c r="AG30" i="43"/>
  <c r="AK31" i="43" s="1"/>
  <c r="W16" i="43"/>
  <c r="AA14" i="43"/>
  <c r="W30" i="43"/>
  <c r="AF27" i="43"/>
  <c r="AL24" i="43"/>
  <c r="AW17" i="43"/>
  <c r="BA17" i="43" s="1"/>
  <c r="AK16" i="43"/>
  <c r="AT29" i="43"/>
  <c r="AU29" i="43" s="1"/>
  <c r="AV29" i="43" s="1"/>
  <c r="AQ29" i="43"/>
  <c r="AR29" i="43" s="1"/>
  <c r="AS29" i="43" s="1"/>
  <c r="AE23" i="43"/>
  <c r="AI23" i="43" s="1"/>
  <c r="AT23" i="43"/>
  <c r="AU23" i="43" s="1"/>
  <c r="AV23" i="43" s="1"/>
  <c r="AQ23" i="43"/>
  <c r="AR23" i="43" s="1"/>
  <c r="AS23" i="43" s="1"/>
  <c r="AT27" i="43"/>
  <c r="AU27" i="43" s="1"/>
  <c r="AV27" i="43" s="1"/>
  <c r="AQ27" i="43"/>
  <c r="AR27" i="43" s="1"/>
  <c r="AS27" i="43" s="1"/>
  <c r="AB23" i="43"/>
  <c r="AT26" i="43"/>
  <c r="AU26" i="43" s="1"/>
  <c r="AV26" i="43" s="1"/>
  <c r="AQ26" i="43"/>
  <c r="AR26" i="43" s="1"/>
  <c r="AS26" i="43" s="1"/>
  <c r="AQ15" i="43"/>
  <c r="AR15" i="43" s="1"/>
  <c r="AS15" i="43" s="1"/>
  <c r="AT15" i="43"/>
  <c r="AU15" i="43" s="1"/>
  <c r="AV15" i="43" s="1"/>
  <c r="AE20" i="43"/>
  <c r="AI20" i="43" s="1"/>
  <c r="AQ20" i="43"/>
  <c r="AR20" i="43" s="1"/>
  <c r="AS20" i="43" s="1"/>
  <c r="AT20" i="43"/>
  <c r="AU20" i="43" s="1"/>
  <c r="AV20" i="43" s="1"/>
  <c r="AE18" i="43"/>
  <c r="AT18" i="43"/>
  <c r="AU18" i="43" s="1"/>
  <c r="AV18" i="43" s="1"/>
  <c r="AQ18" i="43"/>
  <c r="AR18" i="43" s="1"/>
  <c r="AS18" i="43" s="1"/>
  <c r="AW18" i="43" s="1"/>
  <c r="AT24" i="43"/>
  <c r="AU24" i="43" s="1"/>
  <c r="AV24" i="43" s="1"/>
  <c r="AQ24" i="43"/>
  <c r="AR24" i="43" s="1"/>
  <c r="AS24" i="43" s="1"/>
  <c r="AT30" i="43"/>
  <c r="AU30" i="43" s="1"/>
  <c r="AV30" i="43" s="1"/>
  <c r="AW31" i="43" s="1"/>
  <c r="AQ30" i="43"/>
  <c r="AR30" i="43" s="1"/>
  <c r="AS30" i="43" s="1"/>
  <c r="AT25" i="43"/>
  <c r="AU25" i="43" s="1"/>
  <c r="AV25" i="43" s="1"/>
  <c r="AQ25" i="43"/>
  <c r="AR25" i="43" s="1"/>
  <c r="AS25" i="43" s="1"/>
  <c r="AT16" i="43"/>
  <c r="AU16" i="43" s="1"/>
  <c r="AV16" i="43" s="1"/>
  <c r="AQ16" i="43"/>
  <c r="AR16" i="43" s="1"/>
  <c r="AS16" i="43" s="1"/>
  <c r="AQ22" i="43"/>
  <c r="AR22" i="43" s="1"/>
  <c r="AS22" i="43" s="1"/>
  <c r="AT22" i="43"/>
  <c r="AU22" i="43" s="1"/>
  <c r="AV22" i="43" s="1"/>
  <c r="AT28" i="43"/>
  <c r="AU28" i="43" s="1"/>
  <c r="AV28" i="43" s="1"/>
  <c r="AQ28" i="43"/>
  <c r="AR28" i="43" s="1"/>
  <c r="AS28" i="43" s="1"/>
  <c r="AT19" i="43"/>
  <c r="AU19" i="43" s="1"/>
  <c r="AV19" i="43" s="1"/>
  <c r="AQ19" i="43"/>
  <c r="AR19" i="43" s="1"/>
  <c r="AS19" i="43" s="1"/>
  <c r="AT14" i="43"/>
  <c r="AU14" i="43" s="1"/>
  <c r="AV14" i="43" s="1"/>
  <c r="AQ14" i="43"/>
  <c r="AR14" i="43" s="1"/>
  <c r="AS14" i="43" s="1"/>
  <c r="AW14" i="43" s="1"/>
  <c r="AX14" i="43" s="1"/>
  <c r="AY14" i="43" s="1"/>
  <c r="AA24" i="43"/>
  <c r="AK24" i="43" s="1"/>
  <c r="AA35" i="43"/>
  <c r="AQ35" i="43"/>
  <c r="AR35" i="43" s="1"/>
  <c r="AS35" i="43" s="1"/>
  <c r="AT35" i="43"/>
  <c r="AU35" i="43" s="1"/>
  <c r="AV35" i="43" s="1"/>
  <c r="AI32" i="43"/>
  <c r="AA22" i="43"/>
  <c r="AT34" i="43"/>
  <c r="AU34" i="43" s="1"/>
  <c r="AV34" i="43" s="1"/>
  <c r="AQ34" i="43"/>
  <c r="AR34" i="43" s="1"/>
  <c r="AS34" i="43" s="1"/>
  <c r="AW34" i="43" s="1"/>
  <c r="AT32" i="43"/>
  <c r="AU32" i="43" s="1"/>
  <c r="AV32" i="43" s="1"/>
  <c r="AW33" i="43" s="1"/>
  <c r="AQ32" i="43"/>
  <c r="AR32" i="43" s="1"/>
  <c r="AS32" i="43" s="1"/>
  <c r="AW32" i="43" s="1"/>
  <c r="BA32" i="43" s="1"/>
  <c r="W18" i="43"/>
  <c r="Y14" i="43"/>
  <c r="AC14" i="43" s="1"/>
  <c r="AL33" i="43"/>
  <c r="AK19" i="40"/>
  <c r="Z31" i="40"/>
  <c r="AK29" i="40"/>
  <c r="AQ32" i="40"/>
  <c r="AR32" i="40" s="1"/>
  <c r="AS32" i="40" s="1"/>
  <c r="AT32" i="40"/>
  <c r="AU32" i="40" s="1"/>
  <c r="AV32" i="40" s="1"/>
  <c r="AT15" i="40"/>
  <c r="AU15" i="40" s="1"/>
  <c r="AV15" i="40" s="1"/>
  <c r="AQ15" i="40"/>
  <c r="AR15" i="40" s="1"/>
  <c r="AS15" i="40" s="1"/>
  <c r="AQ36" i="40"/>
  <c r="AR36" i="40" s="1"/>
  <c r="AS36" i="40" s="1"/>
  <c r="AT36" i="40"/>
  <c r="AU36" i="40" s="1"/>
  <c r="AV36" i="40" s="1"/>
  <c r="AQ24" i="40"/>
  <c r="AR24" i="40" s="1"/>
  <c r="AS24" i="40" s="1"/>
  <c r="AT24" i="40"/>
  <c r="AU24" i="40" s="1"/>
  <c r="AV24" i="40" s="1"/>
  <c r="AQ35" i="40"/>
  <c r="AR35" i="40" s="1"/>
  <c r="AS35" i="40" s="1"/>
  <c r="AT35" i="40"/>
  <c r="AU35" i="40" s="1"/>
  <c r="AV35" i="40" s="1"/>
  <c r="AT33" i="40"/>
  <c r="AU33" i="40" s="1"/>
  <c r="AV33" i="40" s="1"/>
  <c r="AQ33" i="40"/>
  <c r="AR33" i="40" s="1"/>
  <c r="AS33" i="40" s="1"/>
  <c r="AW33" i="40" s="1"/>
  <c r="AT31" i="40"/>
  <c r="AU31" i="40" s="1"/>
  <c r="AV31" i="40" s="1"/>
  <c r="AQ31" i="40"/>
  <c r="AR31" i="40" s="1"/>
  <c r="AS31" i="40" s="1"/>
  <c r="AT14" i="40"/>
  <c r="AU14" i="40" s="1"/>
  <c r="AV14" i="40" s="1"/>
  <c r="AQ14" i="40"/>
  <c r="AR14" i="40" s="1"/>
  <c r="AS14" i="40" s="1"/>
  <c r="AW14" i="40" s="1"/>
  <c r="AX14" i="40" s="1"/>
  <c r="AY14" i="40" s="1"/>
  <c r="AF22" i="40"/>
  <c r="AT29" i="40"/>
  <c r="AU29" i="40" s="1"/>
  <c r="AV29" i="40" s="1"/>
  <c r="AQ29" i="40"/>
  <c r="AR29" i="40" s="1"/>
  <c r="AS29" i="40" s="1"/>
  <c r="Y28" i="40"/>
  <c r="AT28" i="40"/>
  <c r="AU28" i="40" s="1"/>
  <c r="AV28" i="40" s="1"/>
  <c r="AQ28" i="40"/>
  <c r="AR28" i="40" s="1"/>
  <c r="AS28" i="40" s="1"/>
  <c r="AT34" i="40"/>
  <c r="AU34" i="40" s="1"/>
  <c r="AV34" i="40" s="1"/>
  <c r="AQ34" i="40"/>
  <c r="AR34" i="40" s="1"/>
  <c r="AS34" i="40" s="1"/>
  <c r="AT22" i="40"/>
  <c r="AU22" i="40" s="1"/>
  <c r="AV22" i="40" s="1"/>
  <c r="AQ22" i="40"/>
  <c r="AR22" i="40" s="1"/>
  <c r="AS22" i="40" s="1"/>
  <c r="AT27" i="40"/>
  <c r="AU27" i="40" s="1"/>
  <c r="AV27" i="40" s="1"/>
  <c r="AQ27" i="40"/>
  <c r="AR27" i="40" s="1"/>
  <c r="AS27" i="40" s="1"/>
  <c r="AT19" i="40"/>
  <c r="AU19" i="40" s="1"/>
  <c r="AV19" i="40" s="1"/>
  <c r="AQ19" i="40"/>
  <c r="AR19" i="40" s="1"/>
  <c r="AS19" i="40" s="1"/>
  <c r="AT25" i="40"/>
  <c r="AU25" i="40" s="1"/>
  <c r="AV25" i="40" s="1"/>
  <c r="AQ25" i="40"/>
  <c r="AR25" i="40" s="1"/>
  <c r="AS25" i="40" s="1"/>
  <c r="AT30" i="40"/>
  <c r="AU30" i="40" s="1"/>
  <c r="AV30" i="40" s="1"/>
  <c r="AQ30" i="40"/>
  <c r="AR30" i="40" s="1"/>
  <c r="AS30" i="40" s="1"/>
  <c r="AT16" i="40"/>
  <c r="AU16" i="40" s="1"/>
  <c r="AV16" i="40" s="1"/>
  <c r="AQ16" i="40"/>
  <c r="AR16" i="40" s="1"/>
  <c r="AS16" i="40" s="1"/>
  <c r="AT23" i="40"/>
  <c r="AU23" i="40" s="1"/>
  <c r="AV23" i="40" s="1"/>
  <c r="AQ23" i="40"/>
  <c r="AR23" i="40" s="1"/>
  <c r="AS23" i="40" s="1"/>
  <c r="Y16" i="40"/>
  <c r="AT21" i="40"/>
  <c r="AU21" i="40" s="1"/>
  <c r="AV21" i="40" s="1"/>
  <c r="AQ21" i="40"/>
  <c r="AR21" i="40" s="1"/>
  <c r="AS21" i="40" s="1"/>
  <c r="AH26" i="40"/>
  <c r="Y26" i="40"/>
  <c r="AC26" i="40" s="1"/>
  <c r="AT26" i="40"/>
  <c r="AU26" i="40" s="1"/>
  <c r="AV26" i="40" s="1"/>
  <c r="AQ26" i="40"/>
  <c r="AR26" i="40" s="1"/>
  <c r="AS26" i="40" s="1"/>
  <c r="AH33" i="40"/>
  <c r="W17" i="40"/>
  <c r="AQ17" i="40"/>
  <c r="AR17" i="40" s="1"/>
  <c r="AS17" i="40" s="1"/>
  <c r="AT17" i="40"/>
  <c r="AU17" i="40" s="1"/>
  <c r="AV17" i="40" s="1"/>
  <c r="AT18" i="40"/>
  <c r="AU18" i="40" s="1"/>
  <c r="AV18" i="40" s="1"/>
  <c r="AQ18" i="40"/>
  <c r="AR18" i="40" s="1"/>
  <c r="AS18" i="40" s="1"/>
  <c r="AF28" i="41"/>
  <c r="Z24" i="41"/>
  <c r="AC24" i="41" s="1"/>
  <c r="AF15" i="41"/>
  <c r="Y34" i="41"/>
  <c r="AT34" i="41"/>
  <c r="AU34" i="41" s="1"/>
  <c r="AV34" i="41" s="1"/>
  <c r="AE35" i="41"/>
  <c r="AI35" i="41" s="1"/>
  <c r="AT35" i="41"/>
  <c r="AU35" i="41" s="1"/>
  <c r="AV35" i="41" s="1"/>
  <c r="AQ21" i="41"/>
  <c r="AT21" i="41"/>
  <c r="AU21" i="41" s="1"/>
  <c r="AV21" i="41" s="1"/>
  <c r="AE32" i="41"/>
  <c r="AI32" i="41" s="1"/>
  <c r="AQ18" i="41"/>
  <c r="AT18" i="41"/>
  <c r="AU18" i="41" s="1"/>
  <c r="AV18" i="41" s="1"/>
  <c r="AQ28" i="41"/>
  <c r="AT28" i="41"/>
  <c r="AU28" i="41" s="1"/>
  <c r="AV28" i="41" s="1"/>
  <c r="AQ16" i="41"/>
  <c r="AT16" i="41"/>
  <c r="AU16" i="41" s="1"/>
  <c r="AV16" i="41" s="1"/>
  <c r="AQ23" i="41"/>
  <c r="AT23" i="41"/>
  <c r="AU23" i="41" s="1"/>
  <c r="AV23" i="41" s="1"/>
  <c r="Z32" i="41"/>
  <c r="AQ32" i="41"/>
  <c r="AI26" i="41"/>
  <c r="AQ26" i="41"/>
  <c r="AT26" i="41"/>
  <c r="AU26" i="41" s="1"/>
  <c r="AV26" i="41" s="1"/>
  <c r="AQ33" i="41"/>
  <c r="AT33" i="41"/>
  <c r="AU33" i="41" s="1"/>
  <c r="AV33" i="41" s="1"/>
  <c r="AQ17" i="41"/>
  <c r="AT17" i="41"/>
  <c r="AU17" i="41" s="1"/>
  <c r="AV17" i="41" s="1"/>
  <c r="AQ19" i="41"/>
  <c r="AT19" i="41"/>
  <c r="AU19" i="41" s="1"/>
  <c r="AV19" i="41" s="1"/>
  <c r="AQ31" i="41"/>
  <c r="AT31" i="41"/>
  <c r="AU31" i="41" s="1"/>
  <c r="AV31" i="41" s="1"/>
  <c r="Y32" i="41"/>
  <c r="AE14" i="41"/>
  <c r="AT14" i="41"/>
  <c r="AU14" i="41" s="1"/>
  <c r="AV14" i="41" s="1"/>
  <c r="AQ29" i="41"/>
  <c r="AT29" i="41"/>
  <c r="AU29" i="41" s="1"/>
  <c r="AV29" i="41" s="1"/>
  <c r="W32" i="41"/>
  <c r="AQ24" i="41"/>
  <c r="AT24" i="41"/>
  <c r="AU24" i="41" s="1"/>
  <c r="AV24" i="41" s="1"/>
  <c r="AQ27" i="41"/>
  <c r="AT27" i="41"/>
  <c r="AU27" i="41" s="1"/>
  <c r="AV27" i="41" s="1"/>
  <c r="AQ15" i="41"/>
  <c r="AT15" i="41"/>
  <c r="AU15" i="41" s="1"/>
  <c r="AV15" i="41" s="1"/>
  <c r="AQ30" i="41"/>
  <c r="AT30" i="41"/>
  <c r="AU30" i="41" s="1"/>
  <c r="AV30" i="41" s="1"/>
  <c r="Y26" i="41"/>
  <c r="AQ25" i="41"/>
  <c r="AT25" i="41"/>
  <c r="AU25" i="41" s="1"/>
  <c r="AV25" i="41" s="1"/>
  <c r="AQ22" i="41"/>
  <c r="AT22" i="41"/>
  <c r="AU22" i="41" s="1"/>
  <c r="AV22" i="41" s="1"/>
  <c r="W19" i="41"/>
  <c r="Y29" i="41"/>
  <c r="W30" i="41"/>
  <c r="Y27" i="41"/>
  <c r="AL27" i="41" s="1"/>
  <c r="AF21" i="41"/>
  <c r="Z30" i="41"/>
  <c r="AC30" i="41" s="1"/>
  <c r="Z19" i="41"/>
  <c r="AC19" i="41" s="1"/>
  <c r="AF19" i="41"/>
  <c r="AI19" i="41" s="1"/>
  <c r="AE30" i="41"/>
  <c r="AI30" i="41" s="1"/>
  <c r="AF17" i="41"/>
  <c r="AE15" i="41"/>
  <c r="AA16" i="41"/>
  <c r="AI22" i="41"/>
  <c r="AF18" i="41"/>
  <c r="Y28" i="41"/>
  <c r="AF16" i="41"/>
  <c r="AE28" i="41"/>
  <c r="W24" i="41"/>
  <c r="AG18" i="41"/>
  <c r="AK19" i="41" s="1"/>
  <c r="AE24" i="41"/>
  <c r="AI24" i="41" s="1"/>
  <c r="AE17" i="41"/>
  <c r="AQ19" i="42"/>
  <c r="AR19" i="42" s="1"/>
  <c r="AT19" i="42"/>
  <c r="AU19" i="42" s="1"/>
  <c r="AV19" i="42" s="1"/>
  <c r="AQ17" i="42"/>
  <c r="AR17" i="42" s="1"/>
  <c r="AT17" i="42"/>
  <c r="AU17" i="42" s="1"/>
  <c r="AV17" i="42" s="1"/>
  <c r="AQ15" i="42"/>
  <c r="AR15" i="42" s="1"/>
  <c r="AT15" i="42"/>
  <c r="AU15" i="42" s="1"/>
  <c r="AV15" i="42" s="1"/>
  <c r="AQ26" i="42"/>
  <c r="AR26" i="42" s="1"/>
  <c r="AS26" i="42" s="1"/>
  <c r="AW26" i="42" s="1"/>
  <c r="AT26" i="42"/>
  <c r="AU26" i="42" s="1"/>
  <c r="AV26" i="42" s="1"/>
  <c r="AQ24" i="42"/>
  <c r="AR24" i="42" s="1"/>
  <c r="AS24" i="42" s="1"/>
  <c r="AT24" i="42"/>
  <c r="AU24" i="42" s="1"/>
  <c r="AV24" i="42" s="1"/>
  <c r="AQ22" i="42"/>
  <c r="AR22" i="42" s="1"/>
  <c r="AS22" i="42" s="1"/>
  <c r="AW22" i="42" s="1"/>
  <c r="AT22" i="42"/>
  <c r="AU22" i="42" s="1"/>
  <c r="AV22" i="42" s="1"/>
  <c r="AQ20" i="42"/>
  <c r="AR20" i="42" s="1"/>
  <c r="AT20" i="42"/>
  <c r="AU20" i="42" s="1"/>
  <c r="AV20" i="42" s="1"/>
  <c r="AQ18" i="42"/>
  <c r="AR18" i="42" s="1"/>
  <c r="AT18" i="42"/>
  <c r="AU18" i="42" s="1"/>
  <c r="AV18" i="42" s="1"/>
  <c r="AQ16" i="42"/>
  <c r="AR16" i="42" s="1"/>
  <c r="AT16" i="42"/>
  <c r="AU16" i="42" s="1"/>
  <c r="AV16" i="42" s="1"/>
  <c r="AQ31" i="42"/>
  <c r="AR31" i="42" s="1"/>
  <c r="AT31" i="42"/>
  <c r="AU31" i="42" s="1"/>
  <c r="AV31" i="42" s="1"/>
  <c r="AQ29" i="42"/>
  <c r="AR29" i="42" s="1"/>
  <c r="AS29" i="42" s="1"/>
  <c r="AW29" i="42" s="1"/>
  <c r="AT29" i="42"/>
  <c r="AU29" i="42" s="1"/>
  <c r="AV29" i="42" s="1"/>
  <c r="AQ27" i="42"/>
  <c r="AR27" i="42" s="1"/>
  <c r="AS27" i="42" s="1"/>
  <c r="AT27" i="42"/>
  <c r="AU27" i="42" s="1"/>
  <c r="AV27" i="42" s="1"/>
  <c r="AE23" i="42"/>
  <c r="AT23" i="42"/>
  <c r="AU23" i="42" s="1"/>
  <c r="AV23" i="42" s="1"/>
  <c r="AQ32" i="42"/>
  <c r="AR32" i="42" s="1"/>
  <c r="AT32" i="42"/>
  <c r="AU32" i="42" s="1"/>
  <c r="AV32" i="42" s="1"/>
  <c r="AQ30" i="42"/>
  <c r="AR30" i="42" s="1"/>
  <c r="AT30" i="42"/>
  <c r="AU30" i="42" s="1"/>
  <c r="AV30" i="42" s="1"/>
  <c r="AQ28" i="42"/>
  <c r="AR28" i="42" s="1"/>
  <c r="AS28" i="42" s="1"/>
  <c r="AW28" i="42" s="1"/>
  <c r="AT28" i="42"/>
  <c r="AU28" i="42" s="1"/>
  <c r="AV28" i="42" s="1"/>
  <c r="AQ14" i="42"/>
  <c r="AR14" i="42" s="1"/>
  <c r="AS14" i="42" s="1"/>
  <c r="AW14" i="42" s="1"/>
  <c r="AX14" i="42" s="1"/>
  <c r="AY14" i="42" s="1"/>
  <c r="AT14" i="42"/>
  <c r="AU14" i="42" s="1"/>
  <c r="AV14" i="42" s="1"/>
  <c r="AG16" i="54"/>
  <c r="Y26" i="54"/>
  <c r="AC26" i="54" s="1"/>
  <c r="AF14" i="54"/>
  <c r="AA33" i="54"/>
  <c r="Y24" i="54"/>
  <c r="AL24" i="54" s="1"/>
  <c r="Y32" i="54"/>
  <c r="AC32" i="54" s="1"/>
  <c r="AF28" i="54"/>
  <c r="AG31" i="54"/>
  <c r="AK32" i="54" s="1"/>
  <c r="AG29" i="54"/>
  <c r="AI18" i="54"/>
  <c r="Y14" i="54"/>
  <c r="AK14" i="52"/>
  <c r="AM14" i="52" s="1"/>
  <c r="AM16" i="52" s="1"/>
  <c r="AM18" i="52" s="1"/>
  <c r="AM20" i="52" s="1"/>
  <c r="AC13" i="49"/>
  <c r="AI13" i="49" s="1"/>
  <c r="AJ13" i="49" s="1"/>
  <c r="AO13" i="49" s="1"/>
  <c r="AP13" i="49" s="1"/>
  <c r="AZ13" i="49" s="1"/>
  <c r="AC13" i="44"/>
  <c r="AI13" i="44" s="1"/>
  <c r="AJ13" i="44" s="1"/>
  <c r="AO13" i="44" s="1"/>
  <c r="AP13" i="44" s="1"/>
  <c r="AZ13" i="44" s="1"/>
  <c r="AK14" i="41"/>
  <c r="AA28" i="40"/>
  <c r="AB34" i="40"/>
  <c r="W33" i="40"/>
  <c r="AK33" i="40"/>
  <c r="AE34" i="40"/>
  <c r="AI34" i="40" s="1"/>
  <c r="W28" i="40"/>
  <c r="AA36" i="40"/>
  <c r="Y35" i="40"/>
  <c r="AA32" i="40"/>
  <c r="AA30" i="40"/>
  <c r="AE36" i="40"/>
  <c r="AG26" i="40"/>
  <c r="AK27" i="40" s="1"/>
  <c r="Y23" i="40"/>
  <c r="Y21" i="40"/>
  <c r="AK17" i="40"/>
  <c r="Z33" i="40"/>
  <c r="W24" i="40"/>
  <c r="AF16" i="54"/>
  <c r="AC30" i="54"/>
  <c r="AG23" i="54"/>
  <c r="AE14" i="54"/>
  <c r="Z24" i="54"/>
  <c r="AE20" i="54"/>
  <c r="AI27" i="54"/>
  <c r="AI32" i="54"/>
  <c r="AI17" i="54"/>
  <c r="AI30" i="54"/>
  <c r="Y20" i="54"/>
  <c r="AC20" i="54" s="1"/>
  <c r="AG18" i="54"/>
  <c r="Y18" i="54"/>
  <c r="AL18" i="54" s="1"/>
  <c r="AE26" i="54"/>
  <c r="AI26" i="54" s="1"/>
  <c r="AG17" i="54"/>
  <c r="AK18" i="54" s="1"/>
  <c r="AA14" i="54"/>
  <c r="Y33" i="54"/>
  <c r="AC33" i="54" s="1"/>
  <c r="W19" i="54"/>
  <c r="Z19" i="54"/>
  <c r="AE24" i="54"/>
  <c r="AI24" i="54" s="1"/>
  <c r="Y31" i="54"/>
  <c r="Y19" i="54"/>
  <c r="AF22" i="54"/>
  <c r="W24" i="54"/>
  <c r="W18" i="54"/>
  <c r="W29" i="54"/>
  <c r="Z29" i="54"/>
  <c r="W17" i="54"/>
  <c r="Z17" i="54"/>
  <c r="AA24" i="54"/>
  <c r="AK24" i="54" s="1"/>
  <c r="Y29" i="54"/>
  <c r="Y17" i="54"/>
  <c r="W30" i="54"/>
  <c r="AF20" i="54"/>
  <c r="AK29" i="54"/>
  <c r="W27" i="54"/>
  <c r="Z27" i="54"/>
  <c r="W15" i="54"/>
  <c r="Z15" i="54"/>
  <c r="Y28" i="54"/>
  <c r="Y22" i="54"/>
  <c r="Y16" i="54"/>
  <c r="AG26" i="54"/>
  <c r="AE28" i="54"/>
  <c r="AE22" i="54"/>
  <c r="AE16" i="54"/>
  <c r="Y27" i="54"/>
  <c r="AC27" i="54" s="1"/>
  <c r="Y15" i="54"/>
  <c r="AC15" i="54" s="1"/>
  <c r="W28" i="54"/>
  <c r="W22" i="54"/>
  <c r="W16" i="54"/>
  <c r="AG13" i="54"/>
  <c r="AK13" i="54" s="1"/>
  <c r="AM13" i="54" s="1"/>
  <c r="W25" i="54"/>
  <c r="Z25" i="54"/>
  <c r="AA28" i="54"/>
  <c r="AA22" i="54"/>
  <c r="AG27" i="54"/>
  <c r="AG21" i="54"/>
  <c r="AG15" i="54"/>
  <c r="AK16" i="54" s="1"/>
  <c r="Y25" i="54"/>
  <c r="AG32" i="54"/>
  <c r="W23" i="54"/>
  <c r="Z23" i="54"/>
  <c r="AE13" i="54"/>
  <c r="AL13" i="54" s="1"/>
  <c r="AN13" i="54" s="1"/>
  <c r="AC13" i="54"/>
  <c r="AC14" i="54"/>
  <c r="AI14" i="54"/>
  <c r="Y23" i="54"/>
  <c r="AE31" i="54"/>
  <c r="AI31" i="54" s="1"/>
  <c r="AE33" i="54"/>
  <c r="AI33" i="54" s="1"/>
  <c r="AC18" i="54"/>
  <c r="AJ18" i="54" s="1"/>
  <c r="W26" i="54"/>
  <c r="W20" i="54"/>
  <c r="W14" i="54"/>
  <c r="W31" i="54"/>
  <c r="Z31" i="54"/>
  <c r="W21" i="54"/>
  <c r="Z21" i="54"/>
  <c r="AA20" i="54"/>
  <c r="AG25" i="54"/>
  <c r="AK26" i="54" s="1"/>
  <c r="AG19" i="54"/>
  <c r="Y21" i="54"/>
  <c r="AC21" i="54" s="1"/>
  <c r="AG30" i="54"/>
  <c r="AK31" i="54" s="1"/>
  <c r="AE19" i="54"/>
  <c r="AI19" i="54" s="1"/>
  <c r="W33" i="54"/>
  <c r="W32" i="54"/>
  <c r="AF33" i="53"/>
  <c r="W26" i="53"/>
  <c r="AA22" i="53"/>
  <c r="AF27" i="53"/>
  <c r="AG16" i="53"/>
  <c r="Z28" i="53"/>
  <c r="AC28" i="53" s="1"/>
  <c r="AL13" i="53"/>
  <c r="AN13" i="53" s="1"/>
  <c r="AF19" i="53"/>
  <c r="W28" i="53"/>
  <c r="AK14" i="53"/>
  <c r="AM14" i="53" s="1"/>
  <c r="AA24" i="53"/>
  <c r="AG31" i="53"/>
  <c r="AF25" i="53"/>
  <c r="AC30" i="53"/>
  <c r="W31" i="53"/>
  <c r="AE19" i="53"/>
  <c r="Y19" i="53"/>
  <c r="AC19" i="53" s="1"/>
  <c r="AF21" i="53"/>
  <c r="AG23" i="53"/>
  <c r="AC13" i="53"/>
  <c r="AI13" i="53" s="1"/>
  <c r="AJ13" i="53" s="1"/>
  <c r="AO13" i="53" s="1"/>
  <c r="AP13" i="53" s="1"/>
  <c r="AZ13" i="53" s="1"/>
  <c r="W30" i="53"/>
  <c r="Y14" i="53"/>
  <c r="AL14" i="53" s="1"/>
  <c r="W24" i="53"/>
  <c r="W22" i="53"/>
  <c r="Y26" i="53"/>
  <c r="Z29" i="53"/>
  <c r="AF31" i="53"/>
  <c r="W21" i="53"/>
  <c r="AG20" i="53"/>
  <c r="AG15" i="53"/>
  <c r="AG27" i="53"/>
  <c r="AK28" i="53" s="1"/>
  <c r="AC23" i="53"/>
  <c r="AE32" i="53"/>
  <c r="AI32" i="53" s="1"/>
  <c r="AC27" i="53"/>
  <c r="AG33" i="53"/>
  <c r="AG21" i="53"/>
  <c r="Z16" i="53"/>
  <c r="W16" i="53"/>
  <c r="AC15" i="53"/>
  <c r="Y16" i="53"/>
  <c r="AE16" i="53"/>
  <c r="AI16" i="53" s="1"/>
  <c r="W17" i="53"/>
  <c r="W19" i="53"/>
  <c r="AE27" i="53"/>
  <c r="AE30" i="53"/>
  <c r="AI30" i="53" s="1"/>
  <c r="W15" i="53"/>
  <c r="Y32" i="53"/>
  <c r="AG18" i="53"/>
  <c r="AE20" i="53"/>
  <c r="W20" i="53"/>
  <c r="AF20" i="53"/>
  <c r="Z20" i="53"/>
  <c r="AE25" i="53"/>
  <c r="AE14" i="53"/>
  <c r="AI14" i="53" s="1"/>
  <c r="AE28" i="53"/>
  <c r="AI28" i="53" s="1"/>
  <c r="Y20" i="53"/>
  <c r="Y25" i="53"/>
  <c r="AE29" i="53"/>
  <c r="AI29" i="53" s="1"/>
  <c r="AG29" i="53"/>
  <c r="AG19" i="53"/>
  <c r="AK20" i="53" s="1"/>
  <c r="AF15" i="53"/>
  <c r="AI15" i="53" s="1"/>
  <c r="W14" i="53"/>
  <c r="AC21" i="53"/>
  <c r="AC33" i="53"/>
  <c r="W25" i="53"/>
  <c r="AE18" i="53"/>
  <c r="AI18" i="53" s="1"/>
  <c r="W27" i="53"/>
  <c r="AE23" i="53"/>
  <c r="AE26" i="53"/>
  <c r="AI26" i="53" s="1"/>
  <c r="W18" i="53"/>
  <c r="Z18" i="53"/>
  <c r="AE33" i="53"/>
  <c r="AE21" i="53"/>
  <c r="AE24" i="53"/>
  <c r="AI24" i="53" s="1"/>
  <c r="Y18" i="53"/>
  <c r="AF17" i="53"/>
  <c r="AI17" i="53" s="1"/>
  <c r="Z17" i="53"/>
  <c r="AC17" i="53" s="1"/>
  <c r="W23" i="53"/>
  <c r="AK16" i="53"/>
  <c r="AG25" i="53"/>
  <c r="AK26" i="53" s="1"/>
  <c r="AH17" i="53"/>
  <c r="AH15" i="53"/>
  <c r="W29" i="53"/>
  <c r="Z14" i="53"/>
  <c r="AG14" i="53"/>
  <c r="AE31" i="53"/>
  <c r="AG17" i="53"/>
  <c r="AK18" i="53" s="1"/>
  <c r="AE22" i="53"/>
  <c r="AI22" i="53" s="1"/>
  <c r="W33" i="53"/>
  <c r="W33" i="52"/>
  <c r="AH33" i="52"/>
  <c r="W34" i="52"/>
  <c r="AE34" i="52"/>
  <c r="AI34" i="52" s="1"/>
  <c r="Y33" i="52"/>
  <c r="Y34" i="52"/>
  <c r="AC34" i="52" s="1"/>
  <c r="AC32" i="52"/>
  <c r="Y21" i="52"/>
  <c r="Y28" i="52"/>
  <c r="AE21" i="52"/>
  <c r="Y22" i="52"/>
  <c r="AG20" i="52"/>
  <c r="AE24" i="52"/>
  <c r="AI24" i="52" s="1"/>
  <c r="Y26" i="52"/>
  <c r="AE22" i="52"/>
  <c r="AL23" i="52" s="1"/>
  <c r="AE32" i="52"/>
  <c r="AI32" i="52" s="1"/>
  <c r="AE20" i="52"/>
  <c r="AH14" i="52"/>
  <c r="AB18" i="52"/>
  <c r="AC19" i="52"/>
  <c r="Y16" i="52"/>
  <c r="AL16" i="52" s="1"/>
  <c r="W24" i="52"/>
  <c r="Z24" i="52"/>
  <c r="AC24" i="52" s="1"/>
  <c r="AE14" i="52"/>
  <c r="AI14" i="52" s="1"/>
  <c r="W27" i="52"/>
  <c r="AF27" i="52"/>
  <c r="AI27" i="52" s="1"/>
  <c r="W21" i="52"/>
  <c r="AF21" i="52"/>
  <c r="AI21" i="52" s="1"/>
  <c r="AG31" i="52"/>
  <c r="Z21" i="52"/>
  <c r="AC21" i="52" s="1"/>
  <c r="Z14" i="52"/>
  <c r="W14" i="52"/>
  <c r="Y30" i="52"/>
  <c r="AC31" i="52"/>
  <c r="W22" i="52"/>
  <c r="Z22" i="52"/>
  <c r="AC22" i="52" s="1"/>
  <c r="AK27" i="52"/>
  <c r="Z18" i="52"/>
  <c r="W18" i="52"/>
  <c r="AE30" i="52"/>
  <c r="AA21" i="52"/>
  <c r="AI16" i="52"/>
  <c r="W30" i="52"/>
  <c r="Z30" i="52"/>
  <c r="W20" i="52"/>
  <c r="Z20" i="52"/>
  <c r="Z16" i="52"/>
  <c r="W16" i="52"/>
  <c r="W25" i="52"/>
  <c r="AF25" i="52"/>
  <c r="AI25" i="52" s="1"/>
  <c r="W19" i="52"/>
  <c r="AF19" i="52"/>
  <c r="AI19" i="52" s="1"/>
  <c r="AG25" i="52"/>
  <c r="AG24" i="52"/>
  <c r="AK25" i="52" s="1"/>
  <c r="AF22" i="52"/>
  <c r="AC17" i="52"/>
  <c r="W32" i="52"/>
  <c r="W31" i="52"/>
  <c r="AE28" i="52"/>
  <c r="AI28" i="52" s="1"/>
  <c r="AA23" i="52"/>
  <c r="AG30" i="52"/>
  <c r="AK31" i="52" s="1"/>
  <c r="Y14" i="52"/>
  <c r="AF20" i="52"/>
  <c r="W28" i="52"/>
  <c r="Z28" i="52"/>
  <c r="AC28" i="52" s="1"/>
  <c r="AC15" i="52"/>
  <c r="AC25" i="52"/>
  <c r="AI13" i="52"/>
  <c r="AJ13" i="52" s="1"/>
  <c r="AO13" i="52" s="1"/>
  <c r="AP13" i="52" s="1"/>
  <c r="AZ13" i="52" s="1"/>
  <c r="AF18" i="52"/>
  <c r="AI18" i="52" s="1"/>
  <c r="W23" i="52"/>
  <c r="AF23" i="52"/>
  <c r="AI23" i="52" s="1"/>
  <c r="AE26" i="52"/>
  <c r="AI26" i="52" s="1"/>
  <c r="AC23" i="52"/>
  <c r="Y18" i="52"/>
  <c r="AG28" i="52"/>
  <c r="AK29" i="52" s="1"/>
  <c r="AG22" i="52"/>
  <c r="AF30" i="52"/>
  <c r="W26" i="52"/>
  <c r="Z26" i="52"/>
  <c r="Z27" i="52"/>
  <c r="AC27" i="52" s="1"/>
  <c r="AL21" i="52"/>
  <c r="Y20" i="52"/>
  <c r="AL20" i="52" s="1"/>
  <c r="Y15" i="51"/>
  <c r="Z20" i="51"/>
  <c r="Z27" i="51"/>
  <c r="AC27" i="51" s="1"/>
  <c r="Y17" i="51"/>
  <c r="AA29" i="51"/>
  <c r="AA27" i="51"/>
  <c r="AC33" i="51"/>
  <c r="AG22" i="51"/>
  <c r="AE27" i="51"/>
  <c r="AI27" i="51" s="1"/>
  <c r="Y31" i="51"/>
  <c r="AC31" i="51" s="1"/>
  <c r="W31" i="51"/>
  <c r="AH28" i="51"/>
  <c r="W33" i="51"/>
  <c r="AF24" i="51"/>
  <c r="AE29" i="51"/>
  <c r="AI29" i="51" s="1"/>
  <c r="AA33" i="51"/>
  <c r="AE28" i="51"/>
  <c r="AI28" i="51" s="1"/>
  <c r="W28" i="51"/>
  <c r="AH30" i="51"/>
  <c r="W17" i="51"/>
  <c r="AC23" i="51"/>
  <c r="Y28" i="51"/>
  <c r="AL28" i="51" s="1"/>
  <c r="BA28" i="51" s="1"/>
  <c r="AE14" i="51"/>
  <c r="AI14" i="51" s="1"/>
  <c r="AE23" i="51"/>
  <c r="AI23" i="51" s="1"/>
  <c r="AG18" i="51"/>
  <c r="AE26" i="51"/>
  <c r="W29" i="51"/>
  <c r="AG21" i="51"/>
  <c r="AK22" i="51" s="1"/>
  <c r="AE33" i="51"/>
  <c r="AI33" i="51" s="1"/>
  <c r="Y26" i="51"/>
  <c r="AL26" i="51" s="1"/>
  <c r="W27" i="51"/>
  <c r="Y14" i="51"/>
  <c r="AE31" i="51"/>
  <c r="AI31" i="51" s="1"/>
  <c r="AC24" i="51"/>
  <c r="AJ24" i="51" s="1"/>
  <c r="AE22" i="51"/>
  <c r="AI22" i="51" s="1"/>
  <c r="AG16" i="51"/>
  <c r="AG30" i="51"/>
  <c r="AK31" i="51" s="1"/>
  <c r="AA26" i="51"/>
  <c r="AK26" i="51" s="1"/>
  <c r="Y20" i="51"/>
  <c r="AG14" i="51"/>
  <c r="AK15" i="51" s="1"/>
  <c r="AG28" i="51"/>
  <c r="AG20" i="51"/>
  <c r="AE15" i="51"/>
  <c r="AI15" i="51" s="1"/>
  <c r="AE32" i="51"/>
  <c r="AI32" i="51" s="1"/>
  <c r="AA32" i="51"/>
  <c r="AK32" i="51" s="1"/>
  <c r="W14" i="51"/>
  <c r="Z14" i="51"/>
  <c r="Y32" i="51"/>
  <c r="AL32" i="51" s="1"/>
  <c r="W32" i="51"/>
  <c r="AA17" i="51"/>
  <c r="AK17" i="51" s="1"/>
  <c r="AE30" i="51"/>
  <c r="AI30" i="51" s="1"/>
  <c r="AC15" i="51"/>
  <c r="AJ15" i="51" s="1"/>
  <c r="AE18" i="51"/>
  <c r="W26" i="51"/>
  <c r="AE17" i="51"/>
  <c r="AI17" i="51" s="1"/>
  <c r="Y22" i="51"/>
  <c r="AL22" i="51" s="1"/>
  <c r="Y30" i="51"/>
  <c r="AC29" i="51"/>
  <c r="W18" i="51"/>
  <c r="AF18" i="51"/>
  <c r="Z18" i="51"/>
  <c r="W22" i="51"/>
  <c r="Z22" i="51"/>
  <c r="W20" i="51"/>
  <c r="AF26" i="51"/>
  <c r="AI26" i="51" s="1"/>
  <c r="AG13" i="51"/>
  <c r="AK14" i="51" s="1"/>
  <c r="AE24" i="51"/>
  <c r="AI24" i="51" s="1"/>
  <c r="AC13" i="51"/>
  <c r="AC25" i="51"/>
  <c r="W24" i="51"/>
  <c r="AE20" i="51"/>
  <c r="AH17" i="51"/>
  <c r="AE16" i="51"/>
  <c r="AI16" i="51" s="1"/>
  <c r="W15" i="51"/>
  <c r="W30" i="51"/>
  <c r="AL14" i="51"/>
  <c r="AN14" i="51" s="1"/>
  <c r="Y18" i="51"/>
  <c r="W21" i="51"/>
  <c r="AF21" i="51"/>
  <c r="AI21" i="51" s="1"/>
  <c r="Z21" i="51"/>
  <c r="AC21" i="51" s="1"/>
  <c r="W16" i="51"/>
  <c r="Z16" i="51"/>
  <c r="Y16" i="51"/>
  <c r="AH37" i="50"/>
  <c r="W36" i="50"/>
  <c r="AH36" i="50"/>
  <c r="Y37" i="50"/>
  <c r="AC37" i="50" s="1"/>
  <c r="W37" i="50"/>
  <c r="AG37" i="50"/>
  <c r="AG32" i="50"/>
  <c r="W32" i="50"/>
  <c r="Z30" i="50"/>
  <c r="W22" i="50"/>
  <c r="W30" i="50"/>
  <c r="W19" i="50"/>
  <c r="AE19" i="50"/>
  <c r="AI19" i="50" s="1"/>
  <c r="AI18" i="50"/>
  <c r="Y34" i="50"/>
  <c r="AA24" i="50"/>
  <c r="Y29" i="50"/>
  <c r="Y33" i="50"/>
  <c r="AE16" i="50"/>
  <c r="Y19" i="50"/>
  <c r="AC19" i="50" s="1"/>
  <c r="Y16" i="50"/>
  <c r="Y31" i="50"/>
  <c r="W24" i="50"/>
  <c r="Y18" i="50"/>
  <c r="AL18" i="50" s="1"/>
  <c r="BA18" i="50" s="1"/>
  <c r="AA16" i="50"/>
  <c r="AK16" i="50" s="1"/>
  <c r="W33" i="50"/>
  <c r="Z33" i="50"/>
  <c r="AC33" i="50" s="1"/>
  <c r="Y30" i="50"/>
  <c r="AE15" i="50"/>
  <c r="AI15" i="50" s="1"/>
  <c r="AF33" i="50"/>
  <c r="W18" i="50"/>
  <c r="Z18" i="50"/>
  <c r="AE28" i="50"/>
  <c r="AI28" i="50" s="1"/>
  <c r="W35" i="50"/>
  <c r="Y28" i="50"/>
  <c r="AG13" i="50"/>
  <c r="AK13" i="50" s="1"/>
  <c r="AM13" i="50" s="1"/>
  <c r="AG25" i="50"/>
  <c r="AK26" i="50" s="1"/>
  <c r="AE31" i="50"/>
  <c r="AI31" i="50" s="1"/>
  <c r="AE25" i="50"/>
  <c r="AI25" i="50" s="1"/>
  <c r="AH35" i="50"/>
  <c r="Y35" i="50"/>
  <c r="AC35" i="50" s="1"/>
  <c r="W31" i="50"/>
  <c r="Z31" i="50"/>
  <c r="W25" i="50"/>
  <c r="Z25" i="50"/>
  <c r="W16" i="50"/>
  <c r="Z16" i="50"/>
  <c r="AE26" i="50"/>
  <c r="AI26" i="50" s="1"/>
  <c r="AA28" i="50"/>
  <c r="AE30" i="50"/>
  <c r="AI30" i="50" s="1"/>
  <c r="AE35" i="50"/>
  <c r="AI35" i="50" s="1"/>
  <c r="Y24" i="50"/>
  <c r="AG33" i="50"/>
  <c r="AK34" i="50" s="1"/>
  <c r="AG30" i="50"/>
  <c r="Y20" i="50"/>
  <c r="AL34" i="50"/>
  <c r="AC34" i="50"/>
  <c r="AC17" i="50"/>
  <c r="AF16" i="50"/>
  <c r="AE24" i="50"/>
  <c r="AI24" i="50" s="1"/>
  <c r="Y23" i="50"/>
  <c r="W27" i="50"/>
  <c r="Z27" i="50"/>
  <c r="AG31" i="50"/>
  <c r="AK32" i="50" s="1"/>
  <c r="AE29" i="50"/>
  <c r="AI29" i="50" s="1"/>
  <c r="AE23" i="50"/>
  <c r="AI23" i="50" s="1"/>
  <c r="W15" i="50"/>
  <c r="Y27" i="50"/>
  <c r="W20" i="50"/>
  <c r="Z20" i="50"/>
  <c r="AF14" i="50"/>
  <c r="AI14" i="50" s="1"/>
  <c r="W14" i="50"/>
  <c r="AF27" i="50"/>
  <c r="AC13" i="50"/>
  <c r="AE13" i="50"/>
  <c r="AL13" i="50" s="1"/>
  <c r="AN13" i="50" s="1"/>
  <c r="W29" i="50"/>
  <c r="Z29" i="50"/>
  <c r="AC29" i="50" s="1"/>
  <c r="W23" i="50"/>
  <c r="Z23" i="50"/>
  <c r="AE34" i="50"/>
  <c r="AI34" i="50" s="1"/>
  <c r="AE22" i="50"/>
  <c r="AI22" i="50" s="1"/>
  <c r="AG29" i="50"/>
  <c r="AK30" i="50" s="1"/>
  <c r="AG20" i="50"/>
  <c r="AG34" i="50"/>
  <c r="AG22" i="50"/>
  <c r="Z14" i="50"/>
  <c r="Y14" i="50"/>
  <c r="AE32" i="50"/>
  <c r="AI32" i="50" s="1"/>
  <c r="Y25" i="50"/>
  <c r="AC16" i="50"/>
  <c r="AJ16" i="50" s="1"/>
  <c r="AI33" i="50"/>
  <c r="AE27" i="50"/>
  <c r="AI20" i="50"/>
  <c r="AG32" i="49"/>
  <c r="AK33" i="49" s="1"/>
  <c r="W34" i="49"/>
  <c r="Z34" i="49"/>
  <c r="AC34" i="49" s="1"/>
  <c r="AJ34" i="49" s="1"/>
  <c r="W32" i="49"/>
  <c r="Y32" i="49"/>
  <c r="AE32" i="49"/>
  <c r="AF34" i="49"/>
  <c r="AI34" i="49" s="1"/>
  <c r="AE24" i="49"/>
  <c r="W27" i="49"/>
  <c r="AG16" i="49"/>
  <c r="AK17" i="49" s="1"/>
  <c r="AE23" i="49"/>
  <c r="AI23" i="49" s="1"/>
  <c r="AE30" i="49"/>
  <c r="AI30" i="49" s="1"/>
  <c r="AA18" i="49"/>
  <c r="AC15" i="49"/>
  <c r="AH17" i="49"/>
  <c r="Y24" i="49"/>
  <c r="AI28" i="49"/>
  <c r="AG27" i="49"/>
  <c r="AG25" i="49"/>
  <c r="AG15" i="49"/>
  <c r="AF24" i="49"/>
  <c r="W24" i="49"/>
  <c r="AC22" i="49"/>
  <c r="W14" i="49"/>
  <c r="W17" i="49"/>
  <c r="AB15" i="49"/>
  <c r="AC24" i="49"/>
  <c r="AG28" i="49"/>
  <c r="AK29" i="49" s="1"/>
  <c r="Z19" i="49"/>
  <c r="W19" i="49"/>
  <c r="AG19" i="49"/>
  <c r="AI14" i="49"/>
  <c r="AF22" i="49"/>
  <c r="AI22" i="49" s="1"/>
  <c r="W22" i="49"/>
  <c r="Y28" i="49"/>
  <c r="W28" i="49"/>
  <c r="Z28" i="49"/>
  <c r="AI26" i="49"/>
  <c r="Y18" i="49"/>
  <c r="AE18" i="49"/>
  <c r="AI18" i="49" s="1"/>
  <c r="Z27" i="49"/>
  <c r="AC27" i="49" s="1"/>
  <c r="Y17" i="49"/>
  <c r="AF27" i="49"/>
  <c r="AG26" i="49"/>
  <c r="AK27" i="49" s="1"/>
  <c r="Y26" i="49"/>
  <c r="W26" i="49"/>
  <c r="Z26" i="49"/>
  <c r="AE31" i="49"/>
  <c r="AI31" i="49" s="1"/>
  <c r="W18" i="49"/>
  <c r="Z25" i="49"/>
  <c r="AE15" i="49"/>
  <c r="AI15" i="49" s="1"/>
  <c r="Y25" i="49"/>
  <c r="W30" i="49"/>
  <c r="Z30" i="49"/>
  <c r="AE27" i="49"/>
  <c r="Z31" i="49"/>
  <c r="AC31" i="49" s="1"/>
  <c r="AJ31" i="49" s="1"/>
  <c r="W31" i="49"/>
  <c r="W15" i="49"/>
  <c r="Y30" i="49"/>
  <c r="Y29" i="49"/>
  <c r="AE25" i="49"/>
  <c r="AI25" i="49" s="1"/>
  <c r="AE29" i="49"/>
  <c r="AI29" i="49" s="1"/>
  <c r="AF19" i="49"/>
  <c r="AI19" i="49" s="1"/>
  <c r="W25" i="49"/>
  <c r="AC21" i="49"/>
  <c r="Y16" i="49"/>
  <c r="W29" i="49"/>
  <c r="AE16" i="49"/>
  <c r="AI16" i="49" s="1"/>
  <c r="Y19" i="49"/>
  <c r="AL19" i="49" s="1"/>
  <c r="Y14" i="49"/>
  <c r="W16" i="49"/>
  <c r="AE17" i="49"/>
  <c r="AI17" i="49" s="1"/>
  <c r="AE21" i="48"/>
  <c r="AI21" i="48" s="1"/>
  <c r="AG27" i="48"/>
  <c r="AK28" i="48" s="1"/>
  <c r="Y23" i="48"/>
  <c r="AC23" i="48" s="1"/>
  <c r="AH32" i="48"/>
  <c r="W21" i="48"/>
  <c r="W26" i="48"/>
  <c r="Y21" i="48"/>
  <c r="AC21" i="48" s="1"/>
  <c r="AB17" i="48"/>
  <c r="AA16" i="48"/>
  <c r="AK16" i="48" s="1"/>
  <c r="AK30" i="48"/>
  <c r="AG18" i="48"/>
  <c r="AK19" i="48" s="1"/>
  <c r="AK18" i="48"/>
  <c r="W18" i="48"/>
  <c r="W22" i="48"/>
  <c r="AB26" i="48"/>
  <c r="AE30" i="48"/>
  <c r="AI30" i="48" s="1"/>
  <c r="AK14" i="48"/>
  <c r="AM14" i="48" s="1"/>
  <c r="AA29" i="48"/>
  <c r="W32" i="48"/>
  <c r="Y24" i="48"/>
  <c r="Y28" i="48"/>
  <c r="AE31" i="48"/>
  <c r="AI31" i="48" s="1"/>
  <c r="AE17" i="48"/>
  <c r="AE24" i="48"/>
  <c r="AE29" i="48"/>
  <c r="AI29" i="48" s="1"/>
  <c r="AE27" i="48"/>
  <c r="AI27" i="48" s="1"/>
  <c r="AE16" i="48"/>
  <c r="AI16" i="48" s="1"/>
  <c r="W17" i="48"/>
  <c r="Y22" i="48"/>
  <c r="W24" i="48"/>
  <c r="W27" i="48"/>
  <c r="AH15" i="48"/>
  <c r="AF17" i="48"/>
  <c r="Z17" i="48"/>
  <c r="Z22" i="48"/>
  <c r="AE14" i="48"/>
  <c r="AI14" i="48" s="1"/>
  <c r="W16" i="48"/>
  <c r="W31" i="48"/>
  <c r="Y18" i="48"/>
  <c r="Y19" i="48"/>
  <c r="AH19" i="48"/>
  <c r="AE32" i="48"/>
  <c r="AI32" i="48" s="1"/>
  <c r="W14" i="48"/>
  <c r="W15" i="48"/>
  <c r="Y31" i="48"/>
  <c r="Y17" i="48"/>
  <c r="W30" i="48"/>
  <c r="Z30" i="48"/>
  <c r="Y16" i="48"/>
  <c r="AG30" i="48"/>
  <c r="AK31" i="48" s="1"/>
  <c r="Y15" i="48"/>
  <c r="AC15" i="48" s="1"/>
  <c r="AE28" i="48"/>
  <c r="AG14" i="48"/>
  <c r="Y29" i="48"/>
  <c r="AF15" i="48"/>
  <c r="AI15" i="48" s="1"/>
  <c r="AF26" i="48"/>
  <c r="W28" i="48"/>
  <c r="Z28" i="48"/>
  <c r="AE18" i="48"/>
  <c r="AI18" i="48" s="1"/>
  <c r="Y27" i="48"/>
  <c r="Y26" i="48"/>
  <c r="Y14" i="48"/>
  <c r="W29" i="48"/>
  <c r="Z29" i="48"/>
  <c r="AE19" i="48"/>
  <c r="AI19" i="48" s="1"/>
  <c r="Y30" i="48"/>
  <c r="AF24" i="48"/>
  <c r="AE26" i="48"/>
  <c r="AI26" i="48" s="1"/>
  <c r="Z32" i="48"/>
  <c r="AC32" i="48" s="1"/>
  <c r="AG28" i="48"/>
  <c r="AF28" i="48"/>
  <c r="AC25" i="48"/>
  <c r="Z27" i="48"/>
  <c r="W19" i="48"/>
  <c r="AG18" i="47"/>
  <c r="AK19" i="47" s="1"/>
  <c r="AG26" i="47"/>
  <c r="AG25" i="47"/>
  <c r="AK26" i="47" s="1"/>
  <c r="AE21" i="47"/>
  <c r="AI21" i="47" s="1"/>
  <c r="AF14" i="47"/>
  <c r="AI15" i="47"/>
  <c r="Y27" i="47"/>
  <c r="AF16" i="47"/>
  <c r="AE26" i="47"/>
  <c r="AI26" i="47" s="1"/>
  <c r="AG24" i="47"/>
  <c r="AK25" i="47" s="1"/>
  <c r="W25" i="47"/>
  <c r="AK18" i="47"/>
  <c r="AG22" i="47"/>
  <c r="AK23" i="47" s="1"/>
  <c r="AE32" i="47"/>
  <c r="AI32" i="47" s="1"/>
  <c r="AE23" i="47"/>
  <c r="AI23" i="47" s="1"/>
  <c r="AG16" i="47"/>
  <c r="AE24" i="47"/>
  <c r="AI24" i="47" s="1"/>
  <c r="Z31" i="47"/>
  <c r="AK16" i="47"/>
  <c r="Z29" i="47"/>
  <c r="AG14" i="47"/>
  <c r="AG23" i="47"/>
  <c r="W18" i="47"/>
  <c r="AG29" i="47"/>
  <c r="AK30" i="47" s="1"/>
  <c r="Z18" i="47"/>
  <c r="W32" i="47"/>
  <c r="Z32" i="47"/>
  <c r="Z26" i="47"/>
  <c r="W26" i="47"/>
  <c r="W17" i="47"/>
  <c r="Z17" i="47"/>
  <c r="W23" i="47"/>
  <c r="Z25" i="47"/>
  <c r="AC25" i="47" s="1"/>
  <c r="AE16" i="47"/>
  <c r="Y17" i="47"/>
  <c r="AA21" i="47"/>
  <c r="Z19" i="47"/>
  <c r="W19" i="47"/>
  <c r="W16" i="47"/>
  <c r="W15" i="47"/>
  <c r="Z15" i="47"/>
  <c r="AF25" i="47"/>
  <c r="Y16" i="47"/>
  <c r="Y28" i="47"/>
  <c r="Y15" i="47"/>
  <c r="AE30" i="47"/>
  <c r="AI30" i="47" s="1"/>
  <c r="AG13" i="47"/>
  <c r="AK14" i="47" s="1"/>
  <c r="W30" i="47"/>
  <c r="Z30" i="47"/>
  <c r="W24" i="47"/>
  <c r="Z24" i="47"/>
  <c r="W31" i="47"/>
  <c r="Y29" i="47"/>
  <c r="AE14" i="47"/>
  <c r="AE29" i="47"/>
  <c r="AI29" i="47" s="1"/>
  <c r="Y30" i="47"/>
  <c r="W21" i="47"/>
  <c r="W14" i="47"/>
  <c r="W29" i="47"/>
  <c r="Y18" i="47"/>
  <c r="AA27" i="47"/>
  <c r="AK27" i="47" s="1"/>
  <c r="Y32" i="47"/>
  <c r="AG30" i="47"/>
  <c r="AK31" i="47" s="1"/>
  <c r="AG19" i="47"/>
  <c r="AE28" i="47"/>
  <c r="AI28" i="47" s="1"/>
  <c r="AE27" i="47"/>
  <c r="AI27" i="47" s="1"/>
  <c r="Y24" i="47"/>
  <c r="AF18" i="47"/>
  <c r="Z28" i="47"/>
  <c r="W28" i="47"/>
  <c r="Z22" i="47"/>
  <c r="W22" i="47"/>
  <c r="AE13" i="47"/>
  <c r="AL13" i="47" s="1"/>
  <c r="AN13" i="47" s="1"/>
  <c r="AC13" i="47"/>
  <c r="W27" i="47"/>
  <c r="Y21" i="47"/>
  <c r="Y26" i="47"/>
  <c r="AF19" i="47"/>
  <c r="Y19" i="47"/>
  <c r="AL19" i="47" s="1"/>
  <c r="AG28" i="47"/>
  <c r="AK29" i="47" s="1"/>
  <c r="AE18" i="47"/>
  <c r="Y22" i="47"/>
  <c r="AE19" i="47"/>
  <c r="Y31" i="47"/>
  <c r="AE25" i="47"/>
  <c r="Z21" i="47"/>
  <c r="Y14" i="47"/>
  <c r="AG19" i="46"/>
  <c r="AK20" i="46" s="1"/>
  <c r="AI22" i="46"/>
  <c r="AE19" i="46"/>
  <c r="AI19" i="46" s="1"/>
  <c r="AE31" i="46"/>
  <c r="Y19" i="46"/>
  <c r="Y31" i="46"/>
  <c r="AC31" i="46" s="1"/>
  <c r="AE16" i="46"/>
  <c r="AG35" i="46"/>
  <c r="AE36" i="46"/>
  <c r="Y24" i="46"/>
  <c r="AE15" i="46"/>
  <c r="AI15" i="46" s="1"/>
  <c r="Y20" i="46"/>
  <c r="Y34" i="46"/>
  <c r="AL34" i="46" s="1"/>
  <c r="AG24" i="46"/>
  <c r="AG15" i="46"/>
  <c r="AE34" i="46"/>
  <c r="AI34" i="46" s="1"/>
  <c r="AG25" i="46"/>
  <c r="AK26" i="46" s="1"/>
  <c r="Y22" i="46"/>
  <c r="W25" i="46"/>
  <c r="Y36" i="46"/>
  <c r="AC36" i="46" s="1"/>
  <c r="AG22" i="46"/>
  <c r="AE24" i="46"/>
  <c r="AE23" i="46"/>
  <c r="AG34" i="46"/>
  <c r="AK35" i="46" s="1"/>
  <c r="AA36" i="46"/>
  <c r="W16" i="46"/>
  <c r="W15" i="46"/>
  <c r="Z15" i="46"/>
  <c r="AF25" i="46"/>
  <c r="W35" i="46"/>
  <c r="W23" i="46"/>
  <c r="Y30" i="46"/>
  <c r="Z25" i="46"/>
  <c r="W26" i="46"/>
  <c r="Z26" i="46"/>
  <c r="AE30" i="46"/>
  <c r="AI30" i="46" s="1"/>
  <c r="AK34" i="46"/>
  <c r="AF26" i="46"/>
  <c r="AG13" i="46"/>
  <c r="AK14" i="46" s="1"/>
  <c r="W30" i="46"/>
  <c r="Z30" i="46"/>
  <c r="W24" i="46"/>
  <c r="Z24" i="46"/>
  <c r="AF35" i="46"/>
  <c r="AI35" i="46" s="1"/>
  <c r="AF23" i="46"/>
  <c r="AA18" i="46"/>
  <c r="Y27" i="46"/>
  <c r="AC27" i="46" s="1"/>
  <c r="W20" i="46"/>
  <c r="W14" i="46"/>
  <c r="AF24" i="46"/>
  <c r="AF33" i="46"/>
  <c r="AI33" i="46" s="1"/>
  <c r="W31" i="46"/>
  <c r="Y17" i="46"/>
  <c r="Y25" i="46"/>
  <c r="AE28" i="46"/>
  <c r="AI28" i="46" s="1"/>
  <c r="W36" i="46"/>
  <c r="Y14" i="46"/>
  <c r="Z35" i="46"/>
  <c r="AC35" i="46" s="1"/>
  <c r="Y23" i="46"/>
  <c r="AC23" i="46" s="1"/>
  <c r="Z34" i="46"/>
  <c r="AC34" i="46" s="1"/>
  <c r="AJ34" i="46" s="1"/>
  <c r="W34" i="46"/>
  <c r="W28" i="46"/>
  <c r="Z28" i="46"/>
  <c r="Z22" i="46"/>
  <c r="W22" i="46"/>
  <c r="AF31" i="46"/>
  <c r="AI31" i="46" s="1"/>
  <c r="W29" i="46"/>
  <c r="AF36" i="46"/>
  <c r="W17" i="46"/>
  <c r="Z17" i="46"/>
  <c r="AE14" i="46"/>
  <c r="AI14" i="46" s="1"/>
  <c r="Z33" i="46"/>
  <c r="AC33" i="46" s="1"/>
  <c r="AE18" i="46"/>
  <c r="AI18" i="46" s="1"/>
  <c r="AE13" i="46"/>
  <c r="AL13" i="46" s="1"/>
  <c r="AN13" i="46" s="1"/>
  <c r="AC13" i="46"/>
  <c r="AE27" i="46"/>
  <c r="AI27" i="46" s="1"/>
  <c r="Y18" i="46"/>
  <c r="Y32" i="46"/>
  <c r="AF16" i="46"/>
  <c r="AK28" i="46"/>
  <c r="W18" i="46"/>
  <c r="Z19" i="46"/>
  <c r="W19" i="46"/>
  <c r="Y16" i="46"/>
  <c r="W27" i="46"/>
  <c r="Z20" i="46"/>
  <c r="Y15" i="46"/>
  <c r="Z29" i="46"/>
  <c r="Z32" i="46"/>
  <c r="W32" i="46"/>
  <c r="Y26" i="46"/>
  <c r="AG26" i="46"/>
  <c r="AG17" i="46"/>
  <c r="AE32" i="46"/>
  <c r="AI32" i="46" s="1"/>
  <c r="AE26" i="46"/>
  <c r="AE17" i="46"/>
  <c r="AI17" i="46" s="1"/>
  <c r="Y29" i="46"/>
  <c r="AE25" i="46"/>
  <c r="Z18" i="46"/>
  <c r="Y28" i="46"/>
  <c r="AG29" i="45"/>
  <c r="AK30" i="45" s="1"/>
  <c r="W15" i="45"/>
  <c r="AG15" i="45"/>
  <c r="AF31" i="45"/>
  <c r="W25" i="45"/>
  <c r="AK26" i="45"/>
  <c r="AE36" i="45"/>
  <c r="AI36" i="45" s="1"/>
  <c r="W14" i="45"/>
  <c r="Z30" i="45"/>
  <c r="W36" i="45"/>
  <c r="AA16" i="45"/>
  <c r="AK16" i="45" s="1"/>
  <c r="W22" i="45"/>
  <c r="Y31" i="45"/>
  <c r="AC31" i="45" s="1"/>
  <c r="AA14" i="45"/>
  <c r="AC19" i="45"/>
  <c r="AI18" i="45"/>
  <c r="AE30" i="45"/>
  <c r="AI30" i="45" s="1"/>
  <c r="AC17" i="45"/>
  <c r="AI16" i="45"/>
  <c r="W32" i="45"/>
  <c r="Y36" i="45"/>
  <c r="AC36" i="45" s="1"/>
  <c r="W29" i="45"/>
  <c r="AC32" i="45"/>
  <c r="AE28" i="45"/>
  <c r="AI28" i="45" s="1"/>
  <c r="AC30" i="45"/>
  <c r="AG28" i="45"/>
  <c r="AE26" i="45"/>
  <c r="AI26" i="45" s="1"/>
  <c r="W34" i="45"/>
  <c r="AI35" i="45"/>
  <c r="AE29" i="45"/>
  <c r="AI29" i="45" s="1"/>
  <c r="W19" i="45"/>
  <c r="AA27" i="45"/>
  <c r="AG18" i="45"/>
  <c r="AG26" i="45"/>
  <c r="AG17" i="45"/>
  <c r="AK18" i="45" s="1"/>
  <c r="AE24" i="45"/>
  <c r="AI24" i="45" s="1"/>
  <c r="Y18" i="45"/>
  <c r="W27" i="45"/>
  <c r="Y33" i="45"/>
  <c r="AG24" i="45"/>
  <c r="AE22" i="45"/>
  <c r="AI22" i="45" s="1"/>
  <c r="AE33" i="45"/>
  <c r="AI33" i="45" s="1"/>
  <c r="AE25" i="45"/>
  <c r="AI25" i="45" s="1"/>
  <c r="Y16" i="45"/>
  <c r="AK24" i="45"/>
  <c r="W16" i="45"/>
  <c r="Z16" i="45"/>
  <c r="Z33" i="45"/>
  <c r="W33" i="45"/>
  <c r="AC24" i="45"/>
  <c r="AL24" i="45"/>
  <c r="AK28" i="45"/>
  <c r="W30" i="45"/>
  <c r="AI23" i="45"/>
  <c r="Y22" i="45"/>
  <c r="W18" i="45"/>
  <c r="Z18" i="45"/>
  <c r="Z29" i="45"/>
  <c r="AE14" i="45"/>
  <c r="AI14" i="45" s="1"/>
  <c r="Y14" i="45"/>
  <c r="W23" i="45"/>
  <c r="Y28" i="45"/>
  <c r="W28" i="45"/>
  <c r="Z35" i="45"/>
  <c r="AC35" i="45" s="1"/>
  <c r="AJ35" i="45" s="1"/>
  <c r="W35" i="45"/>
  <c r="Z27" i="45"/>
  <c r="AC27" i="45" s="1"/>
  <c r="Y29" i="45"/>
  <c r="AG13" i="45"/>
  <c r="AE31" i="45"/>
  <c r="AL32" i="45" s="1"/>
  <c r="W26" i="45"/>
  <c r="AC34" i="45"/>
  <c r="AJ34" i="45" s="1"/>
  <c r="AE13" i="45"/>
  <c r="AL13" i="45" s="1"/>
  <c r="AN13" i="45" s="1"/>
  <c r="AC13" i="45"/>
  <c r="W31" i="45"/>
  <c r="AC26" i="45"/>
  <c r="W17" i="45"/>
  <c r="AG36" i="44"/>
  <c r="AH36" i="44"/>
  <c r="Y36" i="44"/>
  <c r="AC36" i="44" s="1"/>
  <c r="W36" i="44"/>
  <c r="AE36" i="44"/>
  <c r="AI36" i="44" s="1"/>
  <c r="AG34" i="44"/>
  <c r="Z16" i="44"/>
  <c r="AC16" i="44" s="1"/>
  <c r="W35" i="44"/>
  <c r="Z32" i="44"/>
  <c r="AF35" i="44"/>
  <c r="AF14" i="44"/>
  <c r="AI14" i="44" s="1"/>
  <c r="AG29" i="44"/>
  <c r="AE34" i="44"/>
  <c r="AE18" i="44"/>
  <c r="AI18" i="44" s="1"/>
  <c r="AE27" i="44"/>
  <c r="AI27" i="44" s="1"/>
  <c r="W18" i="44"/>
  <c r="AF19" i="44"/>
  <c r="AE35" i="44"/>
  <c r="Y18" i="44"/>
  <c r="AC18" i="44" s="1"/>
  <c r="AE16" i="44"/>
  <c r="AI16" i="44" s="1"/>
  <c r="AG26" i="44"/>
  <c r="AG27" i="44"/>
  <c r="AK28" i="44" s="1"/>
  <c r="Z18" i="44"/>
  <c r="W16" i="44"/>
  <c r="AG17" i="44"/>
  <c r="AK18" i="44" s="1"/>
  <c r="AG31" i="44"/>
  <c r="W29" i="44"/>
  <c r="Z29" i="44"/>
  <c r="AI30" i="44"/>
  <c r="AK31" i="44"/>
  <c r="AE19" i="44"/>
  <c r="AI19" i="44" s="1"/>
  <c r="Y19" i="44"/>
  <c r="AC19" i="44" s="1"/>
  <c r="W33" i="44"/>
  <c r="Z33" i="44"/>
  <c r="W25" i="44"/>
  <c r="Z25" i="44"/>
  <c r="W30" i="44"/>
  <c r="AA32" i="44"/>
  <c r="Y29" i="44"/>
  <c r="W24" i="44"/>
  <c r="Z24" i="44"/>
  <c r="AG22" i="44"/>
  <c r="AE17" i="44"/>
  <c r="AI17" i="44" s="1"/>
  <c r="Y17" i="44"/>
  <c r="AC17" i="44" s="1"/>
  <c r="W28" i="44"/>
  <c r="Z28" i="44"/>
  <c r="W22" i="44"/>
  <c r="Z22" i="44"/>
  <c r="AC20" i="44"/>
  <c r="Y22" i="44"/>
  <c r="W27" i="44"/>
  <c r="Z27" i="44"/>
  <c r="W23" i="44"/>
  <c r="Z23" i="44"/>
  <c r="Y23" i="44"/>
  <c r="Y28" i="44"/>
  <c r="Y15" i="44"/>
  <c r="AC15" i="44" s="1"/>
  <c r="AE15" i="44"/>
  <c r="AI15" i="44" s="1"/>
  <c r="AE31" i="44"/>
  <c r="AI31" i="44" s="1"/>
  <c r="AK20" i="44"/>
  <c r="Y34" i="44"/>
  <c r="W20" i="44"/>
  <c r="AF20" i="44"/>
  <c r="AI20" i="44" s="1"/>
  <c r="AG13" i="44"/>
  <c r="AK13" i="44" s="1"/>
  <c r="AM13" i="44" s="1"/>
  <c r="AF23" i="44"/>
  <c r="AI23" i="44" s="1"/>
  <c r="W31" i="44"/>
  <c r="Z31" i="44"/>
  <c r="Y25" i="44"/>
  <c r="Y32" i="44"/>
  <c r="Y26" i="44"/>
  <c r="AC35" i="44"/>
  <c r="W26" i="44"/>
  <c r="Z26" i="44"/>
  <c r="AK16" i="44"/>
  <c r="W19" i="44"/>
  <c r="Y31" i="44"/>
  <c r="AF24" i="44"/>
  <c r="AI24" i="44" s="1"/>
  <c r="AG33" i="44"/>
  <c r="AG25" i="44"/>
  <c r="AK26" i="44" s="1"/>
  <c r="AF33" i="44"/>
  <c r="W34" i="44"/>
  <c r="AE32" i="44"/>
  <c r="AI32" i="44" s="1"/>
  <c r="AG28" i="44"/>
  <c r="AK29" i="44" s="1"/>
  <c r="Y24" i="44"/>
  <c r="AK33" i="44"/>
  <c r="AC14" i="44"/>
  <c r="AL14" i="44"/>
  <c r="AN14" i="44" s="1"/>
  <c r="AE29" i="44"/>
  <c r="AI29" i="44" s="1"/>
  <c r="AF34" i="44"/>
  <c r="W32" i="44"/>
  <c r="Y27" i="44"/>
  <c r="AH35" i="43"/>
  <c r="Y34" i="43"/>
  <c r="AA34" i="43"/>
  <c r="AK34" i="43" s="1"/>
  <c r="W34" i="43"/>
  <c r="AH34" i="43"/>
  <c r="AE34" i="43"/>
  <c r="AI34" i="43" s="1"/>
  <c r="W35" i="43"/>
  <c r="AE35" i="43"/>
  <c r="AI35" i="43" s="1"/>
  <c r="AG26" i="43"/>
  <c r="AC31" i="43"/>
  <c r="W31" i="43"/>
  <c r="AF31" i="43"/>
  <c r="AI31" i="43" s="1"/>
  <c r="AF33" i="43"/>
  <c r="AI33" i="43" s="1"/>
  <c r="Y15" i="43"/>
  <c r="AE15" i="43"/>
  <c r="AG25" i="43"/>
  <c r="AK26" i="43" s="1"/>
  <c r="AF16" i="43"/>
  <c r="AI16" i="43" s="1"/>
  <c r="W23" i="43"/>
  <c r="W24" i="43"/>
  <c r="AH20" i="43"/>
  <c r="AB20" i="43"/>
  <c r="AF30" i="43"/>
  <c r="AI30" i="43" s="1"/>
  <c r="Z33" i="43"/>
  <c r="AC33" i="43" s="1"/>
  <c r="AJ33" i="43" s="1"/>
  <c r="AE22" i="43"/>
  <c r="AG13" i="43"/>
  <c r="W27" i="43"/>
  <c r="AB15" i="43"/>
  <c r="W29" i="43"/>
  <c r="Z29" i="43"/>
  <c r="AF17" i="43"/>
  <c r="AI17" i="43" s="1"/>
  <c r="Z17" i="43"/>
  <c r="AC17" i="43" s="1"/>
  <c r="W17" i="43"/>
  <c r="Y20" i="43"/>
  <c r="AL20" i="43" s="1"/>
  <c r="AG29" i="43"/>
  <c r="AE29" i="43"/>
  <c r="Y27" i="43"/>
  <c r="Y22" i="43"/>
  <c r="Y16" i="43"/>
  <c r="AF22" i="43"/>
  <c r="Z16" i="43"/>
  <c r="W26" i="43"/>
  <c r="AF26" i="43"/>
  <c r="Z26" i="43"/>
  <c r="AC32" i="43"/>
  <c r="AE13" i="43"/>
  <c r="AC13" i="43"/>
  <c r="W28" i="43"/>
  <c r="AF28" i="43"/>
  <c r="AI28" i="43" s="1"/>
  <c r="AB14" i="43"/>
  <c r="AC30" i="43"/>
  <c r="AC28" i="43"/>
  <c r="AE27" i="43"/>
  <c r="AE24" i="43"/>
  <c r="AI24" i="43" s="1"/>
  <c r="Z24" i="43"/>
  <c r="AC24" i="43" s="1"/>
  <c r="AJ24" i="43" s="1"/>
  <c r="AF18" i="43"/>
  <c r="Z23" i="43"/>
  <c r="Y29" i="43"/>
  <c r="AL29" i="43" s="1"/>
  <c r="AG32" i="43"/>
  <c r="AK33" i="43" s="1"/>
  <c r="Z18" i="43"/>
  <c r="AF29" i="43"/>
  <c r="W22" i="43"/>
  <c r="AE14" i="43"/>
  <c r="AF15" i="43"/>
  <c r="AI15" i="43" s="1"/>
  <c r="Z15" i="43"/>
  <c r="W15" i="43"/>
  <c r="AE26" i="43"/>
  <c r="AI26" i="43" s="1"/>
  <c r="Y26" i="43"/>
  <c r="AL26" i="43" s="1"/>
  <c r="AF19" i="43"/>
  <c r="AI19" i="43" s="1"/>
  <c r="Z19" i="43"/>
  <c r="AC19" i="43" s="1"/>
  <c r="W19" i="43"/>
  <c r="Y23" i="43"/>
  <c r="Y18" i="43"/>
  <c r="AL18" i="43" s="1"/>
  <c r="BA18" i="43" s="1"/>
  <c r="W20" i="43"/>
  <c r="AG27" i="43"/>
  <c r="AK28" i="43" s="1"/>
  <c r="W14" i="43"/>
  <c r="AF29" i="42"/>
  <c r="W27" i="42"/>
  <c r="AA32" i="42"/>
  <c r="AE17" i="42"/>
  <c r="AI17" i="42" s="1"/>
  <c r="AA30" i="42"/>
  <c r="AA28" i="42"/>
  <c r="AK28" i="42" s="1"/>
  <c r="AG29" i="42"/>
  <c r="Y30" i="42"/>
  <c r="AC30" i="42" s="1"/>
  <c r="AE14" i="42"/>
  <c r="AI14" i="42" s="1"/>
  <c r="Y28" i="42"/>
  <c r="AB17" i="42"/>
  <c r="AK15" i="42"/>
  <c r="AE26" i="42"/>
  <c r="Y14" i="42"/>
  <c r="AL14" i="42" s="1"/>
  <c r="AB32" i="42"/>
  <c r="AE22" i="42"/>
  <c r="AI22" i="42" s="1"/>
  <c r="AE30" i="42"/>
  <c r="W14" i="42"/>
  <c r="AA31" i="42"/>
  <c r="AK31" i="42" s="1"/>
  <c r="W32" i="42"/>
  <c r="AB28" i="42"/>
  <c r="AG26" i="42"/>
  <c r="AB14" i="42"/>
  <c r="AE13" i="42"/>
  <c r="W30" i="42"/>
  <c r="AF19" i="42"/>
  <c r="AE31" i="42"/>
  <c r="AI31" i="42" s="1"/>
  <c r="Y26" i="42"/>
  <c r="AA27" i="42"/>
  <c r="AI23" i="42"/>
  <c r="AE28" i="42"/>
  <c r="AI28" i="42" s="1"/>
  <c r="Y24" i="42"/>
  <c r="Y31" i="42"/>
  <c r="AL31" i="42" s="1"/>
  <c r="AG20" i="42"/>
  <c r="Y18" i="42"/>
  <c r="W22" i="42"/>
  <c r="Z22" i="42"/>
  <c r="Y25" i="42"/>
  <c r="AQ25" i="42"/>
  <c r="AR25" i="42" s="1"/>
  <c r="AE25" i="42"/>
  <c r="AI25" i="42" s="1"/>
  <c r="W17" i="42"/>
  <c r="AG21" i="42"/>
  <c r="AK22" i="42" s="1"/>
  <c r="Z25" i="42"/>
  <c r="W25" i="42"/>
  <c r="Y15" i="42"/>
  <c r="AA25" i="42"/>
  <c r="AK25" i="42" s="1"/>
  <c r="AS20" i="42"/>
  <c r="AW20" i="42" s="1"/>
  <c r="AE20" i="42"/>
  <c r="AI20" i="42" s="1"/>
  <c r="AS31" i="42"/>
  <c r="AW31" i="42" s="1"/>
  <c r="W31" i="42"/>
  <c r="Z23" i="42"/>
  <c r="W23" i="42"/>
  <c r="AS32" i="42"/>
  <c r="Y29" i="42"/>
  <c r="AL29" i="42" s="1"/>
  <c r="Y23" i="42"/>
  <c r="AQ23" i="42"/>
  <c r="AR23" i="42" s="1"/>
  <c r="Y27" i="42"/>
  <c r="AS17" i="42"/>
  <c r="AW17" i="42" s="1"/>
  <c r="AG22" i="42"/>
  <c r="AK23" i="42" s="1"/>
  <c r="AE15" i="42"/>
  <c r="AI15" i="42" s="1"/>
  <c r="AS18" i="42"/>
  <c r="AW18" i="42" s="1"/>
  <c r="W26" i="42"/>
  <c r="Z26" i="42"/>
  <c r="W20" i="42"/>
  <c r="Z20" i="42"/>
  <c r="Y21" i="42"/>
  <c r="AQ21" i="42"/>
  <c r="AR21" i="42" s="1"/>
  <c r="AE21" i="42"/>
  <c r="AI21" i="42" s="1"/>
  <c r="AF30" i="42"/>
  <c r="AS19" i="42"/>
  <c r="AW19" i="42" s="1"/>
  <c r="Y22" i="42"/>
  <c r="AG19" i="42"/>
  <c r="AK20" i="42" s="1"/>
  <c r="W15" i="42"/>
  <c r="AE18" i="42"/>
  <c r="AI18" i="42" s="1"/>
  <c r="Z21" i="42"/>
  <c r="W21" i="42"/>
  <c r="AS30" i="42"/>
  <c r="Y20" i="42"/>
  <c r="AE29" i="42"/>
  <c r="AI29" i="42" s="1"/>
  <c r="W18" i="42"/>
  <c r="Z18" i="42"/>
  <c r="AG13" i="42"/>
  <c r="AK14" i="42" s="1"/>
  <c r="AF26" i="42"/>
  <c r="AI26" i="42" s="1"/>
  <c r="AE24" i="42"/>
  <c r="AE16" i="42"/>
  <c r="AI16" i="42" s="1"/>
  <c r="Y19" i="42"/>
  <c r="W29" i="42"/>
  <c r="AK17" i="42"/>
  <c r="W28" i="42"/>
  <c r="Z27" i="42"/>
  <c r="AE19" i="42"/>
  <c r="W24" i="42"/>
  <c r="Z24" i="42"/>
  <c r="W16" i="42"/>
  <c r="Z16" i="42"/>
  <c r="Y16" i="42"/>
  <c r="Y17" i="42"/>
  <c r="AE32" i="42"/>
  <c r="AI32" i="42" s="1"/>
  <c r="AS16" i="42"/>
  <c r="AW16" i="42" s="1"/>
  <c r="Y32" i="42"/>
  <c r="AC32" i="42" s="1"/>
  <c r="W19" i="42"/>
  <c r="AF24" i="42"/>
  <c r="AG23" i="42"/>
  <c r="AF27" i="42"/>
  <c r="AC14" i="42"/>
  <c r="Z17" i="42"/>
  <c r="AS15" i="42"/>
  <c r="AC13" i="42"/>
  <c r="AF13" i="42"/>
  <c r="AG18" i="42"/>
  <c r="AK19" i="42" s="1"/>
  <c r="AE27" i="42"/>
  <c r="AC34" i="41"/>
  <c r="AQ34" i="41"/>
  <c r="AK13" i="41"/>
  <c r="AM13" i="41" s="1"/>
  <c r="AE23" i="41"/>
  <c r="AG31" i="41"/>
  <c r="W34" i="41"/>
  <c r="W15" i="41"/>
  <c r="AA28" i="41"/>
  <c r="AK28" i="41" s="1"/>
  <c r="AF34" i="41"/>
  <c r="Y16" i="41"/>
  <c r="AC16" i="41" s="1"/>
  <c r="AE34" i="41"/>
  <c r="AG33" i="41"/>
  <c r="AG22" i="41"/>
  <c r="AK23" i="41" s="1"/>
  <c r="Y15" i="41"/>
  <c r="AC15" i="41" s="1"/>
  <c r="AA26" i="41"/>
  <c r="AE29" i="41"/>
  <c r="AL30" i="41" s="1"/>
  <c r="AA35" i="41"/>
  <c r="W28" i="41"/>
  <c r="AA27" i="41"/>
  <c r="AK27" i="41" s="1"/>
  <c r="W26" i="41"/>
  <c r="AC26" i="41"/>
  <c r="W22" i="41"/>
  <c r="AF23" i="41"/>
  <c r="AG17" i="41"/>
  <c r="AA17" i="41"/>
  <c r="AK17" i="41" s="1"/>
  <c r="AC22" i="41"/>
  <c r="AG34" i="41"/>
  <c r="AI28" i="41"/>
  <c r="AG21" i="41"/>
  <c r="AA25" i="41"/>
  <c r="AA15" i="41"/>
  <c r="Y17" i="41"/>
  <c r="AC17" i="41" s="1"/>
  <c r="AG32" i="41"/>
  <c r="W17" i="41"/>
  <c r="AA32" i="41"/>
  <c r="AA30" i="41"/>
  <c r="AK30" i="41" s="1"/>
  <c r="AG14" i="41"/>
  <c r="AG23" i="41"/>
  <c r="AG30" i="41"/>
  <c r="AG24" i="41"/>
  <c r="Z35" i="41"/>
  <c r="W35" i="41"/>
  <c r="Y25" i="41"/>
  <c r="AA34" i="41"/>
  <c r="AA29" i="41"/>
  <c r="AA24" i="41"/>
  <c r="AE33" i="41"/>
  <c r="AI33" i="41" s="1"/>
  <c r="AE27" i="41"/>
  <c r="AE21" i="41"/>
  <c r="Y23" i="41"/>
  <c r="W14" i="41"/>
  <c r="Z14" i="41"/>
  <c r="Z33" i="41"/>
  <c r="W33" i="41"/>
  <c r="Z27" i="41"/>
  <c r="W27" i="41"/>
  <c r="W21" i="41"/>
  <c r="Z29" i="41"/>
  <c r="W29" i="41"/>
  <c r="AF29" i="41"/>
  <c r="AE18" i="41"/>
  <c r="W23" i="41"/>
  <c r="Y21" i="41"/>
  <c r="W18" i="41"/>
  <c r="Y33" i="41"/>
  <c r="Y18" i="41"/>
  <c r="AC18" i="41" s="1"/>
  <c r="AF14" i="41"/>
  <c r="AF27" i="41"/>
  <c r="AE13" i="41"/>
  <c r="AL13" i="41" s="1"/>
  <c r="AN13" i="41" s="1"/>
  <c r="AC13" i="41"/>
  <c r="AE31" i="41"/>
  <c r="AI31" i="41" s="1"/>
  <c r="AE25" i="41"/>
  <c r="AI25" i="41" s="1"/>
  <c r="AE16" i="41"/>
  <c r="Y35" i="41"/>
  <c r="AQ35" i="41"/>
  <c r="Y31" i="41"/>
  <c r="AQ14" i="41"/>
  <c r="Y14" i="41"/>
  <c r="Z31" i="41"/>
  <c r="W31" i="41"/>
  <c r="Z25" i="41"/>
  <c r="W25" i="41"/>
  <c r="W16" i="41"/>
  <c r="Y31" i="40"/>
  <c r="AE23" i="40"/>
  <c r="AB32" i="40"/>
  <c r="W23" i="40"/>
  <c r="W21" i="40"/>
  <c r="AE18" i="40"/>
  <c r="AI18" i="40" s="1"/>
  <c r="AH28" i="40"/>
  <c r="AA22" i="40"/>
  <c r="AC34" i="40"/>
  <c r="AE35" i="40"/>
  <c r="AA35" i="40"/>
  <c r="AH21" i="40"/>
  <c r="W35" i="40"/>
  <c r="W36" i="40"/>
  <c r="AE31" i="40"/>
  <c r="AI31" i="40" s="1"/>
  <c r="Z27" i="40"/>
  <c r="W19" i="40"/>
  <c r="AH36" i="40"/>
  <c r="AH22" i="40"/>
  <c r="Y29" i="40"/>
  <c r="Z36" i="40"/>
  <c r="AC36" i="40" s="1"/>
  <c r="Y32" i="40"/>
  <c r="AC32" i="40" s="1"/>
  <c r="AE14" i="40"/>
  <c r="AH23" i="40"/>
  <c r="AE33" i="40"/>
  <c r="AE21" i="40"/>
  <c r="W32" i="40"/>
  <c r="AG24" i="40"/>
  <c r="AK25" i="40" s="1"/>
  <c r="AE22" i="40"/>
  <c r="Y30" i="40"/>
  <c r="W14" i="40"/>
  <c r="Y15" i="40"/>
  <c r="AE15" i="40"/>
  <c r="AI15" i="40" s="1"/>
  <c r="Y25" i="40"/>
  <c r="W34" i="40"/>
  <c r="AH24" i="40"/>
  <c r="Y27" i="40"/>
  <c r="AF35" i="40"/>
  <c r="AF23" i="40"/>
  <c r="W26" i="40"/>
  <c r="Z23" i="40"/>
  <c r="Z30" i="40"/>
  <c r="W31" i="40"/>
  <c r="W18" i="40"/>
  <c r="AE30" i="40"/>
  <c r="AI30" i="40" s="1"/>
  <c r="Z18" i="40"/>
  <c r="AC18" i="40" s="1"/>
  <c r="Z21" i="40"/>
  <c r="AC21" i="40" s="1"/>
  <c r="Z28" i="40"/>
  <c r="Y24" i="40"/>
  <c r="AC24" i="40" s="1"/>
  <c r="AH31" i="40"/>
  <c r="AF33" i="40"/>
  <c r="AF21" i="40"/>
  <c r="AE29" i="40"/>
  <c r="AE16" i="40"/>
  <c r="W15" i="40"/>
  <c r="W22" i="40"/>
  <c r="AF32" i="40"/>
  <c r="AK15" i="40"/>
  <c r="Y22" i="40"/>
  <c r="AC22" i="40" s="1"/>
  <c r="Y19" i="40"/>
  <c r="AE19" i="40"/>
  <c r="AI19" i="40" s="1"/>
  <c r="W29" i="40"/>
  <c r="W16" i="40"/>
  <c r="AG19" i="40"/>
  <c r="AH29" i="40"/>
  <c r="AH18" i="40"/>
  <c r="AE27" i="40"/>
  <c r="AI27" i="40" s="1"/>
  <c r="Z13" i="40"/>
  <c r="AF13" i="40" s="1"/>
  <c r="AD13" i="40"/>
  <c r="AB13" i="40"/>
  <c r="AH13" i="40" s="1"/>
  <c r="AA13" i="40"/>
  <c r="Y13" i="40"/>
  <c r="AE28" i="40"/>
  <c r="AA14" i="40"/>
  <c r="AG34" i="40"/>
  <c r="W27" i="40"/>
  <c r="AF36" i="40"/>
  <c r="Z14" i="40"/>
  <c r="AE32" i="40"/>
  <c r="Y33" i="40"/>
  <c r="AF14" i="40"/>
  <c r="AG17" i="40"/>
  <c r="AH27" i="40"/>
  <c r="AF29" i="40"/>
  <c r="AF16" i="40"/>
  <c r="AE25" i="40"/>
  <c r="AI25" i="40" s="1"/>
  <c r="AE26" i="40"/>
  <c r="AI26" i="40" s="1"/>
  <c r="Z16" i="40"/>
  <c r="AC16" i="40" s="1"/>
  <c r="AB30" i="40"/>
  <c r="Y17" i="40"/>
  <c r="AE17" i="40"/>
  <c r="AI17" i="40" s="1"/>
  <c r="Z25" i="40"/>
  <c r="W25" i="40"/>
  <c r="AF28" i="40"/>
  <c r="Z35" i="40"/>
  <c r="AC35" i="40" s="1"/>
  <c r="AC31" i="40"/>
  <c r="AG15" i="40"/>
  <c r="AH25" i="40"/>
  <c r="AH16" i="40"/>
  <c r="W30" i="40"/>
  <c r="AE24" i="40"/>
  <c r="AI24" i="40" s="1"/>
  <c r="Y14" i="40"/>
  <c r="AC28" i="51" l="1"/>
  <c r="AJ28" i="51" s="1"/>
  <c r="AW23" i="51"/>
  <c r="BA23" i="51" s="1"/>
  <c r="AJ29" i="51"/>
  <c r="AW32" i="51"/>
  <c r="AK24" i="50"/>
  <c r="AK28" i="50"/>
  <c r="AI16" i="50"/>
  <c r="AJ27" i="49"/>
  <c r="AW19" i="47"/>
  <c r="AL15" i="42"/>
  <c r="BA15" i="42" s="1"/>
  <c r="AW24" i="42"/>
  <c r="AW15" i="42"/>
  <c r="AX15" i="42" s="1"/>
  <c r="AY15" i="42" s="1"/>
  <c r="AW20" i="45"/>
  <c r="AI25" i="46"/>
  <c r="AW20" i="46"/>
  <c r="AL20" i="46"/>
  <c r="AW16" i="44"/>
  <c r="AI33" i="44"/>
  <c r="AK35" i="44"/>
  <c r="AW36" i="44"/>
  <c r="AK14" i="44"/>
  <c r="AM14" i="44" s="1"/>
  <c r="AM16" i="44" s="1"/>
  <c r="AM18" i="44" s="1"/>
  <c r="AM20" i="44" s="1"/>
  <c r="AM22" i="44" s="1"/>
  <c r="AM24" i="44" s="1"/>
  <c r="AM26" i="44" s="1"/>
  <c r="AM28" i="44" s="1"/>
  <c r="AM29" i="44" s="1"/>
  <c r="AM31" i="44" s="1"/>
  <c r="AM33" i="44" s="1"/>
  <c r="AM35" i="44" s="1"/>
  <c r="AI18" i="43"/>
  <c r="AW30" i="43"/>
  <c r="BA30" i="43" s="1"/>
  <c r="AW19" i="43"/>
  <c r="BA19" i="43" s="1"/>
  <c r="AW24" i="43"/>
  <c r="AL16" i="43"/>
  <c r="AW27" i="42"/>
  <c r="AL23" i="42"/>
  <c r="BA16" i="42"/>
  <c r="AW30" i="42"/>
  <c r="AW32" i="42"/>
  <c r="BA14" i="42"/>
  <c r="AW30" i="40"/>
  <c r="BA30" i="40" s="1"/>
  <c r="AW28" i="54"/>
  <c r="AI20" i="54"/>
  <c r="AI25" i="54"/>
  <c r="AJ26" i="54" s="1"/>
  <c r="AW18" i="54"/>
  <c r="BA18" i="54" s="1"/>
  <c r="AW24" i="54"/>
  <c r="BA24" i="54" s="1"/>
  <c r="AI28" i="54"/>
  <c r="AW33" i="54"/>
  <c r="BA33" i="54" s="1"/>
  <c r="AW26" i="54"/>
  <c r="BA26" i="54" s="1"/>
  <c r="AW16" i="54"/>
  <c r="AW25" i="54"/>
  <c r="BA25" i="54" s="1"/>
  <c r="AW29" i="54"/>
  <c r="AW23" i="54"/>
  <c r="BA23" i="54" s="1"/>
  <c r="AW17" i="54"/>
  <c r="BA17" i="54" s="1"/>
  <c r="AW30" i="54"/>
  <c r="BA30" i="54" s="1"/>
  <c r="AX15" i="54"/>
  <c r="AY15" i="54" s="1"/>
  <c r="AW31" i="54"/>
  <c r="AW27" i="54"/>
  <c r="BA27" i="54" s="1"/>
  <c r="AL14" i="54"/>
  <c r="AN14" i="54" s="1"/>
  <c r="AW20" i="54"/>
  <c r="AW21" i="54"/>
  <c r="BA21" i="54" s="1"/>
  <c r="AW22" i="53"/>
  <c r="AW33" i="53"/>
  <c r="BA33" i="53" s="1"/>
  <c r="AW29" i="53"/>
  <c r="AL29" i="53"/>
  <c r="BA29" i="53" s="1"/>
  <c r="BA14" i="53"/>
  <c r="AC29" i="53"/>
  <c r="AW25" i="53"/>
  <c r="BA25" i="53" s="1"/>
  <c r="AI23" i="53"/>
  <c r="AI27" i="53"/>
  <c r="AW31" i="53"/>
  <c r="AW26" i="53"/>
  <c r="AW24" i="53"/>
  <c r="AM16" i="53"/>
  <c r="AM18" i="53" s="1"/>
  <c r="AM20" i="53" s="1"/>
  <c r="AW30" i="53"/>
  <c r="BA30" i="53" s="1"/>
  <c r="AW28" i="53"/>
  <c r="AW21" i="53"/>
  <c r="BA21" i="53" s="1"/>
  <c r="AW27" i="53"/>
  <c r="BA27" i="53" s="1"/>
  <c r="AW19" i="53"/>
  <c r="BA19" i="53" s="1"/>
  <c r="AI25" i="53"/>
  <c r="AW23" i="53"/>
  <c r="BA23" i="53" s="1"/>
  <c r="AW20" i="53"/>
  <c r="AL22" i="53"/>
  <c r="AW32" i="53"/>
  <c r="AK32" i="53"/>
  <c r="AI33" i="53"/>
  <c r="AY14" i="53"/>
  <c r="AX15" i="53"/>
  <c r="AI29" i="52"/>
  <c r="AW16" i="52"/>
  <c r="BA16" i="52" s="1"/>
  <c r="AW22" i="52"/>
  <c r="BA22" i="52" s="1"/>
  <c r="AW23" i="52"/>
  <c r="AW28" i="52"/>
  <c r="BA28" i="52" s="1"/>
  <c r="AJ27" i="52"/>
  <c r="AW21" i="52"/>
  <c r="AW24" i="52"/>
  <c r="BA24" i="52" s="1"/>
  <c r="AW29" i="52"/>
  <c r="AC26" i="52"/>
  <c r="AW15" i="52"/>
  <c r="BA15" i="52" s="1"/>
  <c r="AI22" i="52"/>
  <c r="AW34" i="52"/>
  <c r="AW17" i="52"/>
  <c r="BA17" i="52" s="1"/>
  <c r="AW27" i="52"/>
  <c r="AW19" i="52"/>
  <c r="BA19" i="52" s="1"/>
  <c r="AC29" i="52"/>
  <c r="AJ29" i="52" s="1"/>
  <c r="AL29" i="52"/>
  <c r="AI20" i="52"/>
  <c r="AL35" i="52"/>
  <c r="BA35" i="52" s="1"/>
  <c r="AW25" i="52"/>
  <c r="AW26" i="52"/>
  <c r="BA26" i="52" s="1"/>
  <c r="AC33" i="52"/>
  <c r="AJ33" i="52" s="1"/>
  <c r="AL33" i="52"/>
  <c r="AJ35" i="52"/>
  <c r="BA20" i="52"/>
  <c r="AW33" i="52"/>
  <c r="AY14" i="52"/>
  <c r="AW24" i="51"/>
  <c r="BA32" i="51"/>
  <c r="AL18" i="51"/>
  <c r="BA14" i="51"/>
  <c r="AW16" i="51"/>
  <c r="BA16" i="51" s="1"/>
  <c r="BA26" i="51"/>
  <c r="AW30" i="51"/>
  <c r="BA30" i="51" s="1"/>
  <c r="AC17" i="51"/>
  <c r="AJ17" i="51" s="1"/>
  <c r="AL17" i="51"/>
  <c r="BA17" i="51" s="1"/>
  <c r="AW15" i="51"/>
  <c r="AX15" i="51" s="1"/>
  <c r="AW18" i="51"/>
  <c r="AC20" i="51"/>
  <c r="AL15" i="51"/>
  <c r="AW31" i="51"/>
  <c r="AW27" i="51"/>
  <c r="BA27" i="51" s="1"/>
  <c r="AW29" i="51"/>
  <c r="AL31" i="51"/>
  <c r="BA31" i="51" s="1"/>
  <c r="AW21" i="51"/>
  <c r="BA21" i="51" s="1"/>
  <c r="AW33" i="51"/>
  <c r="BA33" i="51" s="1"/>
  <c r="AN15" i="51"/>
  <c r="AL29" i="51"/>
  <c r="AL24" i="51"/>
  <c r="BA24" i="51" s="1"/>
  <c r="AJ31" i="51"/>
  <c r="AK29" i="51"/>
  <c r="AW17" i="51"/>
  <c r="AW22" i="51"/>
  <c r="BA22" i="51" s="1"/>
  <c r="AY14" i="51"/>
  <c r="AW23" i="50"/>
  <c r="BA23" i="50" s="1"/>
  <c r="AW32" i="50"/>
  <c r="AW25" i="50"/>
  <c r="BA25" i="50" s="1"/>
  <c r="AW28" i="50"/>
  <c r="AW30" i="50"/>
  <c r="AL20" i="50"/>
  <c r="AC31" i="50"/>
  <c r="AW26" i="50"/>
  <c r="AC28" i="50"/>
  <c r="AL28" i="50"/>
  <c r="BA28" i="50" s="1"/>
  <c r="AW27" i="50"/>
  <c r="BA27" i="50" s="1"/>
  <c r="AJ34" i="50"/>
  <c r="AL16" i="50"/>
  <c r="AW35" i="50"/>
  <c r="BA35" i="50" s="1"/>
  <c r="AW19" i="50"/>
  <c r="BA19" i="50" s="1"/>
  <c r="AC22" i="50"/>
  <c r="BA22" i="50"/>
  <c r="AW31" i="50"/>
  <c r="BA31" i="50" s="1"/>
  <c r="AW24" i="50"/>
  <c r="AW29" i="50"/>
  <c r="BA29" i="50" s="1"/>
  <c r="AW34" i="50"/>
  <c r="BA34" i="50" s="1"/>
  <c r="AL32" i="50"/>
  <c r="AC24" i="50"/>
  <c r="AJ24" i="50" s="1"/>
  <c r="AL24" i="50"/>
  <c r="AW16" i="50"/>
  <c r="AW20" i="50"/>
  <c r="AJ32" i="50"/>
  <c r="AC30" i="50"/>
  <c r="AJ30" i="50" s="1"/>
  <c r="AL30" i="50"/>
  <c r="BA30" i="50" s="1"/>
  <c r="AW33" i="50"/>
  <c r="BA33" i="50" s="1"/>
  <c r="AL26" i="50"/>
  <c r="BA26" i="50" s="1"/>
  <c r="AL36" i="50"/>
  <c r="BA36" i="50" s="1"/>
  <c r="AJ26" i="50"/>
  <c r="AW15" i="50"/>
  <c r="AJ36" i="50"/>
  <c r="AW24" i="49"/>
  <c r="BA24" i="49" s="1"/>
  <c r="AW32" i="49"/>
  <c r="BA32" i="49" s="1"/>
  <c r="AW19" i="49"/>
  <c r="BA19" i="49" s="1"/>
  <c r="AI24" i="49"/>
  <c r="BA27" i="49"/>
  <c r="AW16" i="49"/>
  <c r="BA16" i="49" s="1"/>
  <c r="AW17" i="49"/>
  <c r="AW26" i="49"/>
  <c r="BA26" i="49" s="1"/>
  <c r="AL25" i="49"/>
  <c r="BA21" i="49"/>
  <c r="BA17" i="49"/>
  <c r="AW29" i="49"/>
  <c r="AL34" i="49"/>
  <c r="BA34" i="49" s="1"/>
  <c r="AW31" i="49"/>
  <c r="AM17" i="49"/>
  <c r="AM19" i="49" s="1"/>
  <c r="AM21" i="49" s="1"/>
  <c r="AM23" i="49" s="1"/>
  <c r="AM25" i="49" s="1"/>
  <c r="AM27" i="49" s="1"/>
  <c r="AM29" i="49" s="1"/>
  <c r="AM31" i="49" s="1"/>
  <c r="AM33" i="49" s="1"/>
  <c r="AM34" i="49" s="1"/>
  <c r="AW18" i="49"/>
  <c r="BA18" i="49" s="1"/>
  <c r="AW15" i="49"/>
  <c r="BA15" i="49" s="1"/>
  <c r="AW23" i="49"/>
  <c r="AW30" i="49"/>
  <c r="BA30" i="49" s="1"/>
  <c r="AC29" i="49"/>
  <c r="AJ29" i="49" s="1"/>
  <c r="AL29" i="49"/>
  <c r="AJ15" i="49"/>
  <c r="AC23" i="49"/>
  <c r="AJ23" i="49" s="1"/>
  <c r="AL23" i="49"/>
  <c r="AW25" i="49"/>
  <c r="AW33" i="49"/>
  <c r="AL31" i="49"/>
  <c r="AC17" i="49"/>
  <c r="AJ17" i="49" s="1"/>
  <c r="AL17" i="49"/>
  <c r="AW28" i="49"/>
  <c r="BA28" i="49" s="1"/>
  <c r="AL33" i="49"/>
  <c r="AW15" i="48"/>
  <c r="BA15" i="48" s="1"/>
  <c r="AW30" i="48"/>
  <c r="AW28" i="48"/>
  <c r="AW32" i="48"/>
  <c r="BA32" i="48" s="1"/>
  <c r="AM16" i="48"/>
  <c r="AW22" i="48"/>
  <c r="AW18" i="48"/>
  <c r="AW25" i="48"/>
  <c r="AE13" i="48"/>
  <c r="AL13" i="48" s="1"/>
  <c r="AN13" i="48" s="1"/>
  <c r="AW19" i="48"/>
  <c r="AW16" i="48"/>
  <c r="AW23" i="48"/>
  <c r="BA23" i="48" s="1"/>
  <c r="AW27" i="48"/>
  <c r="AL28" i="48"/>
  <c r="BA28" i="48" s="1"/>
  <c r="AW17" i="48"/>
  <c r="BA17" i="48" s="1"/>
  <c r="AC24" i="48"/>
  <c r="AJ24" i="48" s="1"/>
  <c r="AL24" i="48"/>
  <c r="AW26" i="48"/>
  <c r="BA26" i="48" s="1"/>
  <c r="AW31" i="48"/>
  <c r="AW29" i="48"/>
  <c r="BA29" i="48" s="1"/>
  <c r="AL22" i="48"/>
  <c r="BA22" i="48" s="1"/>
  <c r="AM18" i="48"/>
  <c r="AM19" i="48" s="1"/>
  <c r="AM21" i="48" s="1"/>
  <c r="AM22" i="48" s="1"/>
  <c r="AM24" i="48" s="1"/>
  <c r="AM25" i="48" s="1"/>
  <c r="AM27" i="48" s="1"/>
  <c r="AM28" i="48" s="1"/>
  <c r="AM30" i="48" s="1"/>
  <c r="AM31" i="48" s="1"/>
  <c r="AW24" i="48"/>
  <c r="AY14" i="48"/>
  <c r="AW31" i="47"/>
  <c r="AW28" i="47"/>
  <c r="BA28" i="47" s="1"/>
  <c r="AW22" i="47"/>
  <c r="BA22" i="47" s="1"/>
  <c r="AL23" i="47"/>
  <c r="AW29" i="47"/>
  <c r="AW32" i="47"/>
  <c r="BA32" i="47" s="1"/>
  <c r="AW18" i="47"/>
  <c r="BA19" i="47"/>
  <c r="AI14" i="47"/>
  <c r="AC27" i="47"/>
  <c r="AJ27" i="47" s="1"/>
  <c r="AL27" i="47"/>
  <c r="AW30" i="47"/>
  <c r="AL26" i="47"/>
  <c r="BA26" i="47" s="1"/>
  <c r="AL29" i="47"/>
  <c r="AW17" i="47"/>
  <c r="BA17" i="47" s="1"/>
  <c r="AJ23" i="47"/>
  <c r="AC31" i="47"/>
  <c r="AJ31" i="47" s="1"/>
  <c r="AL31" i="47"/>
  <c r="AW25" i="47"/>
  <c r="AC17" i="47"/>
  <c r="AW27" i="47"/>
  <c r="AW15" i="47"/>
  <c r="BA15" i="47" s="1"/>
  <c r="AI16" i="47"/>
  <c r="AW24" i="47"/>
  <c r="BA24" i="47" s="1"/>
  <c r="AJ25" i="47"/>
  <c r="AL30" i="47"/>
  <c r="AW23" i="47"/>
  <c r="BA23" i="47" s="1"/>
  <c r="AL25" i="47"/>
  <c r="AW32" i="46"/>
  <c r="AW36" i="46"/>
  <c r="BA36" i="46" s="1"/>
  <c r="AW33" i="46"/>
  <c r="BA33" i="46" s="1"/>
  <c r="AW23" i="46"/>
  <c r="BA23" i="46" s="1"/>
  <c r="AW24" i="46"/>
  <c r="AW35" i="46"/>
  <c r="AI24" i="46"/>
  <c r="AW17" i="46"/>
  <c r="BA17" i="46" s="1"/>
  <c r="AW15" i="46"/>
  <c r="BA15" i="46" s="1"/>
  <c r="AI23" i="46"/>
  <c r="AJ24" i="46" s="1"/>
  <c r="BA20" i="46"/>
  <c r="AW18" i="46"/>
  <c r="AC25" i="46"/>
  <c r="AW19" i="46"/>
  <c r="BA19" i="46" s="1"/>
  <c r="AC20" i="46"/>
  <c r="AJ20" i="46" s="1"/>
  <c r="AC22" i="46"/>
  <c r="AC24" i="46"/>
  <c r="AW25" i="46"/>
  <c r="BA25" i="46" s="1"/>
  <c r="BA22" i="46"/>
  <c r="AC19" i="46"/>
  <c r="AW16" i="46"/>
  <c r="AW31" i="46"/>
  <c r="BA31" i="46" s="1"/>
  <c r="AW28" i="46"/>
  <c r="AK16" i="46"/>
  <c r="AW34" i="46"/>
  <c r="BA34" i="46" s="1"/>
  <c r="AW27" i="46"/>
  <c r="BA27" i="46" s="1"/>
  <c r="AW31" i="45"/>
  <c r="BA31" i="45" s="1"/>
  <c r="AW34" i="45"/>
  <c r="BA24" i="45"/>
  <c r="AK14" i="45"/>
  <c r="AL35" i="45"/>
  <c r="AW19" i="45"/>
  <c r="BA19" i="45" s="1"/>
  <c r="AW26" i="45"/>
  <c r="AW36" i="45"/>
  <c r="BA36" i="45" s="1"/>
  <c r="AW27" i="45"/>
  <c r="BA27" i="45" s="1"/>
  <c r="AW30" i="45"/>
  <c r="AW33" i="45"/>
  <c r="BA33" i="45" s="1"/>
  <c r="AW32" i="45"/>
  <c r="BA32" i="45" s="1"/>
  <c r="AJ24" i="45"/>
  <c r="AW25" i="45"/>
  <c r="BA25" i="45" s="1"/>
  <c r="AW29" i="45"/>
  <c r="BA29" i="45" s="1"/>
  <c r="AJ30" i="45"/>
  <c r="AW35" i="45"/>
  <c r="AL30" i="45"/>
  <c r="AL34" i="45"/>
  <c r="AY14" i="45"/>
  <c r="AX15" i="45"/>
  <c r="AW17" i="44"/>
  <c r="BA17" i="44" s="1"/>
  <c r="AW25" i="44"/>
  <c r="BA25" i="44" s="1"/>
  <c r="AW20" i="44"/>
  <c r="AW31" i="44"/>
  <c r="AW23" i="44"/>
  <c r="BA23" i="44" s="1"/>
  <c r="AW29" i="44"/>
  <c r="AC25" i="44"/>
  <c r="AW27" i="44"/>
  <c r="BA27" i="44" s="1"/>
  <c r="AW26" i="44"/>
  <c r="AW30" i="44"/>
  <c r="BA30" i="44" s="1"/>
  <c r="AC33" i="44"/>
  <c r="AW34" i="44"/>
  <c r="BA34" i="44" s="1"/>
  <c r="AW32" i="44"/>
  <c r="BA32" i="44" s="1"/>
  <c r="AJ14" i="44"/>
  <c r="AO14" i="44" s="1"/>
  <c r="AP14" i="44" s="1"/>
  <c r="AZ14" i="44" s="1"/>
  <c r="AW18" i="44"/>
  <c r="AI34" i="44"/>
  <c r="AJ35" i="44" s="1"/>
  <c r="AW19" i="44"/>
  <c r="BA19" i="44" s="1"/>
  <c r="AW15" i="44"/>
  <c r="AW33" i="44"/>
  <c r="BA36" i="44"/>
  <c r="AW35" i="44"/>
  <c r="AW24" i="44"/>
  <c r="AL35" i="44"/>
  <c r="AK14" i="43"/>
  <c r="BA31" i="43"/>
  <c r="AW25" i="43"/>
  <c r="BA25" i="43" s="1"/>
  <c r="BA33" i="43"/>
  <c r="AW26" i="43"/>
  <c r="BA26" i="43" s="1"/>
  <c r="BA24" i="43"/>
  <c r="AL14" i="43"/>
  <c r="AI27" i="43"/>
  <c r="AJ28" i="43" s="1"/>
  <c r="AW35" i="43"/>
  <c r="BA35" i="43" s="1"/>
  <c r="AW28" i="43"/>
  <c r="AW27" i="43"/>
  <c r="BA27" i="43" s="1"/>
  <c r="AW23" i="43"/>
  <c r="BA23" i="43" s="1"/>
  <c r="AJ31" i="43"/>
  <c r="AW16" i="43"/>
  <c r="BA16" i="43" s="1"/>
  <c r="AC34" i="43"/>
  <c r="AJ34" i="43" s="1"/>
  <c r="AL34" i="43"/>
  <c r="BA34" i="43" s="1"/>
  <c r="AW20" i="43"/>
  <c r="BA20" i="43" s="1"/>
  <c r="AW29" i="43"/>
  <c r="BA29" i="43" s="1"/>
  <c r="AW15" i="43"/>
  <c r="BA15" i="43" s="1"/>
  <c r="AL28" i="43"/>
  <c r="AC22" i="43"/>
  <c r="BA22" i="43"/>
  <c r="AW16" i="40"/>
  <c r="BA16" i="40" s="1"/>
  <c r="AW25" i="40"/>
  <c r="AW28" i="40"/>
  <c r="BA28" i="40" s="1"/>
  <c r="AW26" i="40"/>
  <c r="BA26" i="40" s="1"/>
  <c r="AW19" i="40"/>
  <c r="AC23" i="40"/>
  <c r="AW18" i="40"/>
  <c r="BA18" i="40" s="1"/>
  <c r="AC28" i="40"/>
  <c r="AW23" i="40"/>
  <c r="AW35" i="40"/>
  <c r="AI22" i="40"/>
  <c r="AW29" i="40"/>
  <c r="AW24" i="40"/>
  <c r="BA24" i="40" s="1"/>
  <c r="AW17" i="40"/>
  <c r="AW34" i="40"/>
  <c r="BA34" i="40" s="1"/>
  <c r="AL35" i="40"/>
  <c r="AW36" i="40"/>
  <c r="AW27" i="40"/>
  <c r="AW15" i="40"/>
  <c r="AX15" i="40" s="1"/>
  <c r="AW22" i="40"/>
  <c r="BA22" i="40" s="1"/>
  <c r="AW31" i="40"/>
  <c r="AI36" i="40"/>
  <c r="AW32" i="40"/>
  <c r="BA32" i="40" s="1"/>
  <c r="AI14" i="41"/>
  <c r="AJ15" i="41" s="1"/>
  <c r="AC29" i="41"/>
  <c r="AI15" i="41"/>
  <c r="AI21" i="41"/>
  <c r="AR35" i="41"/>
  <c r="AS35" i="41" s="1"/>
  <c r="AW35" i="41" s="1"/>
  <c r="BA35" i="41" s="1"/>
  <c r="AC32" i="41"/>
  <c r="AJ32" i="41" s="1"/>
  <c r="AR34" i="41"/>
  <c r="AS34" i="41" s="1"/>
  <c r="AW34" i="41" s="1"/>
  <c r="AR23" i="41"/>
  <c r="AS23" i="41" s="1"/>
  <c r="AW23" i="41" s="1"/>
  <c r="AR31" i="41"/>
  <c r="AS31" i="41" s="1"/>
  <c r="AW31" i="41" s="1"/>
  <c r="BA31" i="41" s="1"/>
  <c r="AR27" i="41"/>
  <c r="AS27" i="41" s="1"/>
  <c r="AW27" i="41" s="1"/>
  <c r="BA27" i="41" s="1"/>
  <c r="AR19" i="41"/>
  <c r="AS19" i="41" s="1"/>
  <c r="AW19" i="41" s="1"/>
  <c r="AR15" i="41"/>
  <c r="AS15" i="41" s="1"/>
  <c r="AW15" i="41" s="1"/>
  <c r="AR16" i="41"/>
  <c r="AS16" i="41" s="1"/>
  <c r="AW16" i="41" s="1"/>
  <c r="BA16" i="41" s="1"/>
  <c r="AR24" i="41"/>
  <c r="AS24" i="41" s="1"/>
  <c r="AW24" i="41" s="1"/>
  <c r="BA24" i="41" s="1"/>
  <c r="AR17" i="41"/>
  <c r="AS17" i="41" s="1"/>
  <c r="AW17" i="41" s="1"/>
  <c r="AR22" i="41"/>
  <c r="AS22" i="41" s="1"/>
  <c r="AW22" i="41" s="1"/>
  <c r="BA22" i="41" s="1"/>
  <c r="AR28" i="41"/>
  <c r="AS28" i="41" s="1"/>
  <c r="AW28" i="41" s="1"/>
  <c r="AR33" i="41"/>
  <c r="AS33" i="41" s="1"/>
  <c r="AW33" i="41" s="1"/>
  <c r="BA33" i="41" s="1"/>
  <c r="AR25" i="41"/>
  <c r="AS25" i="41" s="1"/>
  <c r="AW25" i="41" s="1"/>
  <c r="AR29" i="41"/>
  <c r="AS29" i="41" s="1"/>
  <c r="AW29" i="41" s="1"/>
  <c r="BA29" i="41" s="1"/>
  <c r="AR18" i="41"/>
  <c r="AS18" i="41" s="1"/>
  <c r="AW18" i="41" s="1"/>
  <c r="BA18" i="41" s="1"/>
  <c r="AR26" i="41"/>
  <c r="AS26" i="41" s="1"/>
  <c r="AW26" i="41" s="1"/>
  <c r="BA26" i="41" s="1"/>
  <c r="AC27" i="41"/>
  <c r="AJ27" i="41" s="1"/>
  <c r="AR14" i="41"/>
  <c r="AS14" i="41" s="1"/>
  <c r="AW14" i="41" s="1"/>
  <c r="AX14" i="41" s="1"/>
  <c r="AY14" i="41" s="1"/>
  <c r="AR30" i="41"/>
  <c r="AS30" i="41" s="1"/>
  <c r="AW30" i="41" s="1"/>
  <c r="BA30" i="41" s="1"/>
  <c r="AR32" i="41"/>
  <c r="AS32" i="41" s="1"/>
  <c r="AW32" i="41" s="1"/>
  <c r="AR21" i="41"/>
  <c r="AS21" i="41" s="1"/>
  <c r="AK32" i="41"/>
  <c r="AK34" i="41"/>
  <c r="AI29" i="41"/>
  <c r="AI17" i="41"/>
  <c r="AC28" i="41"/>
  <c r="AL28" i="41"/>
  <c r="BA28" i="41" s="1"/>
  <c r="AL32" i="41"/>
  <c r="AL34" i="41"/>
  <c r="AJ34" i="41"/>
  <c r="AI23" i="41"/>
  <c r="BA31" i="42"/>
  <c r="AI24" i="42"/>
  <c r="AC25" i="42"/>
  <c r="AJ25" i="42" s="1"/>
  <c r="AL25" i="42"/>
  <c r="AL26" i="42"/>
  <c r="AI30" i="42"/>
  <c r="AC28" i="42"/>
  <c r="AL28" i="42"/>
  <c r="AI16" i="54"/>
  <c r="AC23" i="54"/>
  <c r="AI22" i="54"/>
  <c r="AC24" i="54"/>
  <c r="AJ24" i="54" s="1"/>
  <c r="AN14" i="53"/>
  <c r="AM14" i="41"/>
  <c r="AK13" i="43"/>
  <c r="AM13" i="43" s="1"/>
  <c r="AM14" i="43" s="1"/>
  <c r="AM16" i="43" s="1"/>
  <c r="AM18" i="43" s="1"/>
  <c r="AM20" i="43" s="1"/>
  <c r="AM22" i="43" s="1"/>
  <c r="AM24" i="43" s="1"/>
  <c r="AM26" i="43" s="1"/>
  <c r="AM28" i="43" s="1"/>
  <c r="AM29" i="43" s="1"/>
  <c r="AM31" i="43" s="1"/>
  <c r="AM33" i="43" s="1"/>
  <c r="AM34" i="43" s="1"/>
  <c r="AJ35" i="40"/>
  <c r="AK35" i="40"/>
  <c r="AI23" i="40"/>
  <c r="AC30" i="40"/>
  <c r="BA21" i="40"/>
  <c r="AK14" i="54"/>
  <c r="AK20" i="54"/>
  <c r="AC31" i="54"/>
  <c r="AJ31" i="54" s="1"/>
  <c r="AL31" i="54"/>
  <c r="AL20" i="54"/>
  <c r="AJ20" i="54"/>
  <c r="AC25" i="54"/>
  <c r="AC17" i="54"/>
  <c r="AC16" i="54"/>
  <c r="AJ16" i="54" s="1"/>
  <c r="AL16" i="54"/>
  <c r="BA16" i="54" s="1"/>
  <c r="AC22" i="54"/>
  <c r="AJ22" i="54" s="1"/>
  <c r="AL22" i="54"/>
  <c r="AC29" i="54"/>
  <c r="AJ29" i="54" s="1"/>
  <c r="AL29" i="54"/>
  <c r="BA29" i="54" s="1"/>
  <c r="AC28" i="54"/>
  <c r="AJ28" i="54" s="1"/>
  <c r="AL28" i="54"/>
  <c r="AI13" i="54"/>
  <c r="AJ14" i="54" s="1"/>
  <c r="AJ32" i="54"/>
  <c r="AL32" i="54"/>
  <c r="BA32" i="54" s="1"/>
  <c r="AK22" i="54"/>
  <c r="AK28" i="54"/>
  <c r="AC19" i="54"/>
  <c r="AC14" i="53"/>
  <c r="AJ14" i="53" s="1"/>
  <c r="AO14" i="53" s="1"/>
  <c r="AI19" i="53"/>
  <c r="AL24" i="53"/>
  <c r="AJ29" i="53"/>
  <c r="AL31" i="53"/>
  <c r="AC26" i="53"/>
  <c r="AL26" i="53"/>
  <c r="AK24" i="53"/>
  <c r="AJ31" i="53"/>
  <c r="AJ24" i="53"/>
  <c r="AL28" i="53"/>
  <c r="AI31" i="53"/>
  <c r="AC32" i="53"/>
  <c r="AL32" i="53"/>
  <c r="AJ28" i="53"/>
  <c r="AK22" i="53"/>
  <c r="AI21" i="53"/>
  <c r="AJ22" i="53" s="1"/>
  <c r="AC20" i="53"/>
  <c r="AL20" i="53"/>
  <c r="BA20" i="53" s="1"/>
  <c r="AC18" i="53"/>
  <c r="AJ18" i="53" s="1"/>
  <c r="AL18" i="53"/>
  <c r="BA18" i="53" s="1"/>
  <c r="AI20" i="53"/>
  <c r="AL16" i="53"/>
  <c r="BA16" i="53" s="1"/>
  <c r="AC16" i="53"/>
  <c r="AJ16" i="53" s="1"/>
  <c r="AC25" i="53"/>
  <c r="AL25" i="52"/>
  <c r="BA25" i="52" s="1"/>
  <c r="AK21" i="52"/>
  <c r="BA21" i="52" s="1"/>
  <c r="AI30" i="52"/>
  <c r="AL31" i="52"/>
  <c r="BA31" i="52" s="1"/>
  <c r="AJ25" i="52"/>
  <c r="AC16" i="52"/>
  <c r="AJ16" i="52" s="1"/>
  <c r="AK23" i="52"/>
  <c r="BA23" i="52" s="1"/>
  <c r="AL27" i="52"/>
  <c r="AC30" i="52"/>
  <c r="AC18" i="52"/>
  <c r="AJ18" i="52" s="1"/>
  <c r="AL18" i="52"/>
  <c r="BA18" i="52" s="1"/>
  <c r="AC14" i="52"/>
  <c r="AJ14" i="52" s="1"/>
  <c r="AO14" i="52" s="1"/>
  <c r="AL14" i="52"/>
  <c r="BA14" i="52" s="1"/>
  <c r="AC20" i="52"/>
  <c r="AJ20" i="52" s="1"/>
  <c r="AJ21" i="52"/>
  <c r="AJ23" i="52"/>
  <c r="AJ31" i="52"/>
  <c r="AC26" i="51"/>
  <c r="AJ26" i="51" s="1"/>
  <c r="AC14" i="51"/>
  <c r="AK13" i="51"/>
  <c r="AM13" i="51" s="1"/>
  <c r="AM14" i="51" s="1"/>
  <c r="AM15" i="51" s="1"/>
  <c r="AM17" i="51" s="1"/>
  <c r="AM18" i="51" s="1"/>
  <c r="AM20" i="51" s="1"/>
  <c r="AM22" i="51" s="1"/>
  <c r="AM24" i="51" s="1"/>
  <c r="AM26" i="51" s="1"/>
  <c r="AM28" i="51" s="1"/>
  <c r="AM29" i="51" s="1"/>
  <c r="AC18" i="51"/>
  <c r="AJ18" i="51" s="1"/>
  <c r="AI18" i="51"/>
  <c r="AC30" i="51"/>
  <c r="AC16" i="51"/>
  <c r="AI13" i="51"/>
  <c r="AJ14" i="51" s="1"/>
  <c r="AI20" i="51"/>
  <c r="AC22" i="51"/>
  <c r="AJ22" i="51" s="1"/>
  <c r="AC32" i="51"/>
  <c r="AJ32" i="51" s="1"/>
  <c r="AK14" i="50"/>
  <c r="AC18" i="50"/>
  <c r="AJ18" i="50" s="1"/>
  <c r="AI27" i="50"/>
  <c r="AC27" i="50"/>
  <c r="AC25" i="50"/>
  <c r="AC20" i="50"/>
  <c r="AJ20" i="50" s="1"/>
  <c r="AC14" i="50"/>
  <c r="AL14" i="50"/>
  <c r="AN14" i="50" s="1"/>
  <c r="AN16" i="50" s="1"/>
  <c r="AN18" i="50" s="1"/>
  <c r="AC23" i="50"/>
  <c r="AI13" i="50"/>
  <c r="AJ13" i="50" s="1"/>
  <c r="AO13" i="50" s="1"/>
  <c r="AP13" i="50" s="1"/>
  <c r="AZ13" i="50" s="1"/>
  <c r="AC32" i="49"/>
  <c r="AI32" i="49"/>
  <c r="AJ33" i="49" s="1"/>
  <c r="AI27" i="49"/>
  <c r="AC19" i="49"/>
  <c r="AJ19" i="49" s="1"/>
  <c r="AC16" i="49"/>
  <c r="AC26" i="49"/>
  <c r="AC18" i="49"/>
  <c r="AC30" i="49"/>
  <c r="AC25" i="49"/>
  <c r="AJ25" i="49" s="1"/>
  <c r="AL14" i="49"/>
  <c r="BA14" i="49" s="1"/>
  <c r="AC14" i="49"/>
  <c r="AJ14" i="49" s="1"/>
  <c r="AO14" i="49" s="1"/>
  <c r="AC28" i="49"/>
  <c r="AI28" i="48"/>
  <c r="AC28" i="48"/>
  <c r="AJ28" i="48" s="1"/>
  <c r="AL16" i="48"/>
  <c r="AC16" i="48"/>
  <c r="AJ16" i="48" s="1"/>
  <c r="AC22" i="48"/>
  <c r="AJ22" i="48" s="1"/>
  <c r="AC19" i="48"/>
  <c r="AJ19" i="48" s="1"/>
  <c r="AL19" i="48"/>
  <c r="BA21" i="48"/>
  <c r="AC14" i="48"/>
  <c r="AJ14" i="48" s="1"/>
  <c r="AO14" i="48" s="1"/>
  <c r="AL18" i="48"/>
  <c r="BA18" i="48" s="1"/>
  <c r="AC18" i="48"/>
  <c r="AI24" i="48"/>
  <c r="AJ25" i="48" s="1"/>
  <c r="AC26" i="48"/>
  <c r="AC17" i="48"/>
  <c r="AL25" i="48"/>
  <c r="BA25" i="48" s="1"/>
  <c r="AL31" i="48"/>
  <c r="BA31" i="48" s="1"/>
  <c r="AC31" i="48"/>
  <c r="AJ31" i="48" s="1"/>
  <c r="AI17" i="48"/>
  <c r="AC30" i="48"/>
  <c r="AJ30" i="48" s="1"/>
  <c r="AL30" i="48"/>
  <c r="BA30" i="48" s="1"/>
  <c r="AC27" i="48"/>
  <c r="AJ27" i="48" s="1"/>
  <c r="AL27" i="48"/>
  <c r="AC29" i="48"/>
  <c r="AI25" i="47"/>
  <c r="AC15" i="47"/>
  <c r="AC29" i="47"/>
  <c r="AJ29" i="47" s="1"/>
  <c r="AI19" i="47"/>
  <c r="AC26" i="47"/>
  <c r="AJ26" i="47" s="1"/>
  <c r="AC32" i="47"/>
  <c r="AC21" i="47"/>
  <c r="AK13" i="47"/>
  <c r="AM13" i="47" s="1"/>
  <c r="AM14" i="47" s="1"/>
  <c r="AM16" i="47" s="1"/>
  <c r="AM18" i="47" s="1"/>
  <c r="AM19" i="47" s="1"/>
  <c r="AC16" i="47"/>
  <c r="AJ16" i="47" s="1"/>
  <c r="AL16" i="47"/>
  <c r="BA16" i="47" s="1"/>
  <c r="AI18" i="47"/>
  <c r="AI13" i="47"/>
  <c r="AJ13" i="47" s="1"/>
  <c r="AO13" i="47" s="1"/>
  <c r="AP13" i="47" s="1"/>
  <c r="AZ13" i="47" s="1"/>
  <c r="AC18" i="47"/>
  <c r="AJ18" i="47" s="1"/>
  <c r="AL18" i="47"/>
  <c r="AC14" i="47"/>
  <c r="AL14" i="47"/>
  <c r="AN14" i="47" s="1"/>
  <c r="AN16" i="47" s="1"/>
  <c r="AC24" i="47"/>
  <c r="AC22" i="47"/>
  <c r="AC28" i="47"/>
  <c r="AC30" i="47"/>
  <c r="AJ30" i="47" s="1"/>
  <c r="AC19" i="47"/>
  <c r="AK13" i="46"/>
  <c r="AM13" i="46" s="1"/>
  <c r="AM14" i="46" s="1"/>
  <c r="AI16" i="46"/>
  <c r="AL24" i="46"/>
  <c r="BA24" i="46" s="1"/>
  <c r="AL35" i="46"/>
  <c r="AJ35" i="46"/>
  <c r="AC17" i="46"/>
  <c r="AI36" i="46"/>
  <c r="AK18" i="46"/>
  <c r="AC15" i="46"/>
  <c r="AC18" i="46"/>
  <c r="AJ18" i="46" s="1"/>
  <c r="AL18" i="46"/>
  <c r="AC16" i="46"/>
  <c r="AJ16" i="46" s="1"/>
  <c r="AL16" i="46"/>
  <c r="AI13" i="46"/>
  <c r="AJ13" i="46" s="1"/>
  <c r="AO13" i="46" s="1"/>
  <c r="AP13" i="46" s="1"/>
  <c r="AZ13" i="46" s="1"/>
  <c r="AC29" i="46"/>
  <c r="AC14" i="46"/>
  <c r="AL14" i="46"/>
  <c r="AN14" i="46" s="1"/>
  <c r="AI26" i="46"/>
  <c r="AL26" i="46"/>
  <c r="BA26" i="46" s="1"/>
  <c r="AC26" i="46"/>
  <c r="AJ26" i="46" s="1"/>
  <c r="AL28" i="46"/>
  <c r="BA28" i="46" s="1"/>
  <c r="AC28" i="46"/>
  <c r="AJ28" i="46" s="1"/>
  <c r="AC32" i="46"/>
  <c r="AJ32" i="46" s="1"/>
  <c r="AL32" i="46"/>
  <c r="BA32" i="46" s="1"/>
  <c r="AC30" i="46"/>
  <c r="AJ30" i="46" s="1"/>
  <c r="AL30" i="46"/>
  <c r="BA30" i="46" s="1"/>
  <c r="AI31" i="45"/>
  <c r="AJ32" i="45" s="1"/>
  <c r="AK13" i="45"/>
  <c r="AM13" i="45" s="1"/>
  <c r="AC29" i="45"/>
  <c r="AL14" i="45"/>
  <c r="AC14" i="45"/>
  <c r="AL18" i="45"/>
  <c r="BA18" i="45" s="1"/>
  <c r="AC18" i="45"/>
  <c r="AJ18" i="45" s="1"/>
  <c r="AL26" i="45"/>
  <c r="AC22" i="45"/>
  <c r="AJ26" i="45"/>
  <c r="AL20" i="45"/>
  <c r="BA20" i="45" s="1"/>
  <c r="AJ20" i="45"/>
  <c r="AC33" i="45"/>
  <c r="AC28" i="45"/>
  <c r="AJ28" i="45" s="1"/>
  <c r="AL28" i="45"/>
  <c r="BA28" i="45" s="1"/>
  <c r="AI13" i="45"/>
  <c r="AJ13" i="45" s="1"/>
  <c r="AO13" i="45" s="1"/>
  <c r="AP13" i="45" s="1"/>
  <c r="AZ13" i="45" s="1"/>
  <c r="AL16" i="45"/>
  <c r="BA16" i="45" s="1"/>
  <c r="AC16" i="45"/>
  <c r="AJ16" i="45" s="1"/>
  <c r="AI35" i="44"/>
  <c r="AJ16" i="44"/>
  <c r="AO16" i="44" s="1"/>
  <c r="AC32" i="44"/>
  <c r="AC23" i="44"/>
  <c r="AC24" i="44"/>
  <c r="AJ24" i="44" s="1"/>
  <c r="AL24" i="44"/>
  <c r="AC26" i="44"/>
  <c r="AJ26" i="44" s="1"/>
  <c r="AL26" i="44"/>
  <c r="AC28" i="44"/>
  <c r="AJ28" i="44" s="1"/>
  <c r="AL28" i="44"/>
  <c r="BA28" i="44" s="1"/>
  <c r="AC29" i="44"/>
  <c r="AJ29" i="44" s="1"/>
  <c r="AL29" i="44"/>
  <c r="AC31" i="44"/>
  <c r="AJ31" i="44" s="1"/>
  <c r="AL31" i="44"/>
  <c r="BA31" i="44" s="1"/>
  <c r="AC27" i="44"/>
  <c r="AL33" i="44"/>
  <c r="AC34" i="44"/>
  <c r="AC22" i="44"/>
  <c r="AJ33" i="44"/>
  <c r="AL20" i="44"/>
  <c r="AL18" i="44"/>
  <c r="AJ20" i="44"/>
  <c r="AJ18" i="44"/>
  <c r="AL16" i="44"/>
  <c r="BA16" i="44" s="1"/>
  <c r="AC18" i="43"/>
  <c r="AJ18" i="43" s="1"/>
  <c r="AC15" i="43"/>
  <c r="AI22" i="43"/>
  <c r="AC26" i="43"/>
  <c r="AJ26" i="43" s="1"/>
  <c r="AL13" i="43"/>
  <c r="AN13" i="43" s="1"/>
  <c r="AC16" i="43"/>
  <c r="AJ16" i="43" s="1"/>
  <c r="AC29" i="43"/>
  <c r="AJ29" i="43" s="1"/>
  <c r="AI29" i="43"/>
  <c r="AI13" i="43"/>
  <c r="AJ14" i="43" s="1"/>
  <c r="AC20" i="43"/>
  <c r="AJ20" i="43" s="1"/>
  <c r="AC27" i="43"/>
  <c r="AC23" i="43"/>
  <c r="AI14" i="43"/>
  <c r="AC26" i="42"/>
  <c r="AJ26" i="42" s="1"/>
  <c r="BA32" i="42"/>
  <c r="BA18" i="42"/>
  <c r="AC18" i="42"/>
  <c r="AL13" i="42"/>
  <c r="AN13" i="42" s="1"/>
  <c r="AN14" i="42" s="1"/>
  <c r="AI19" i="42"/>
  <c r="AI27" i="42"/>
  <c r="AC21" i="42"/>
  <c r="AC23" i="42"/>
  <c r="AJ23" i="42" s="1"/>
  <c r="AC31" i="42"/>
  <c r="AJ31" i="42" s="1"/>
  <c r="AC16" i="42"/>
  <c r="AC24" i="42"/>
  <c r="AS23" i="42"/>
  <c r="AI13" i="42"/>
  <c r="AJ13" i="42" s="1"/>
  <c r="AC29" i="42"/>
  <c r="AJ29" i="42" s="1"/>
  <c r="AC19" i="42"/>
  <c r="AJ19" i="42" s="1"/>
  <c r="AL19" i="42"/>
  <c r="AL20" i="42"/>
  <c r="BA20" i="42" s="1"/>
  <c r="AC20" i="42"/>
  <c r="AC17" i="42"/>
  <c r="AJ17" i="42" s="1"/>
  <c r="AL17" i="42"/>
  <c r="BA30" i="42"/>
  <c r="AK13" i="42"/>
  <c r="AM13" i="42" s="1"/>
  <c r="AM14" i="42" s="1"/>
  <c r="AM15" i="42" s="1"/>
  <c r="AM17" i="42" s="1"/>
  <c r="AM19" i="42" s="1"/>
  <c r="AM20" i="42" s="1"/>
  <c r="AM22" i="42" s="1"/>
  <c r="AM23" i="42" s="1"/>
  <c r="AM25" i="42" s="1"/>
  <c r="AM26" i="42" s="1"/>
  <c r="AM28" i="42" s="1"/>
  <c r="AM29" i="42" s="1"/>
  <c r="AM31" i="42" s="1"/>
  <c r="BA28" i="42"/>
  <c r="AC15" i="42"/>
  <c r="AJ15" i="42" s="1"/>
  <c r="AS25" i="42"/>
  <c r="AL22" i="42"/>
  <c r="AC22" i="42"/>
  <c r="AS21" i="42"/>
  <c r="AC27" i="42"/>
  <c r="AI34" i="41"/>
  <c r="AL15" i="41"/>
  <c r="AK25" i="41"/>
  <c r="AK15" i="41"/>
  <c r="AC35" i="41"/>
  <c r="BA21" i="41"/>
  <c r="AC21" i="41"/>
  <c r="AC33" i="41"/>
  <c r="AI16" i="41"/>
  <c r="AL17" i="41"/>
  <c r="AL25" i="41"/>
  <c r="AC25" i="41"/>
  <c r="AJ25" i="41" s="1"/>
  <c r="AC14" i="41"/>
  <c r="AL14" i="41"/>
  <c r="AN14" i="41" s="1"/>
  <c r="AI13" i="41"/>
  <c r="AJ13" i="41" s="1"/>
  <c r="AL23" i="41"/>
  <c r="AC23" i="41"/>
  <c r="AJ23" i="41" s="1"/>
  <c r="AC31" i="41"/>
  <c r="AI18" i="41"/>
  <c r="AL19" i="41"/>
  <c r="BA19" i="41" s="1"/>
  <c r="AI27" i="41"/>
  <c r="AI28" i="40"/>
  <c r="AI14" i="40"/>
  <c r="AI16" i="40"/>
  <c r="AI29" i="40"/>
  <c r="AI35" i="40"/>
  <c r="AC15" i="40"/>
  <c r="AL15" i="40"/>
  <c r="AL27" i="40"/>
  <c r="AC27" i="40"/>
  <c r="AJ27" i="40" s="1"/>
  <c r="AL29" i="40"/>
  <c r="BA29" i="40" s="1"/>
  <c r="AC29" i="40"/>
  <c r="AL33" i="40"/>
  <c r="BA33" i="40" s="1"/>
  <c r="AC33" i="40"/>
  <c r="AI32" i="40"/>
  <c r="AJ31" i="40"/>
  <c r="AC17" i="40"/>
  <c r="AL17" i="40"/>
  <c r="AC19" i="40"/>
  <c r="AJ19" i="40" s="1"/>
  <c r="AL19" i="40"/>
  <c r="AC14" i="40"/>
  <c r="AL31" i="40"/>
  <c r="AE13" i="40"/>
  <c r="AL13" i="40" s="1"/>
  <c r="AN13" i="40" s="1"/>
  <c r="AC13" i="40"/>
  <c r="AL25" i="40"/>
  <c r="BA25" i="40" s="1"/>
  <c r="AC25" i="40"/>
  <c r="AJ25" i="40" s="1"/>
  <c r="AI21" i="40"/>
  <c r="AG13" i="40"/>
  <c r="AK13" i="40" s="1"/>
  <c r="AM13" i="40" s="1"/>
  <c r="AL23" i="40"/>
  <c r="AI33" i="40"/>
  <c r="AN20" i="50" l="1"/>
  <c r="AN22" i="50" s="1"/>
  <c r="AN24" i="50" s="1"/>
  <c r="AN26" i="50" s="1"/>
  <c r="AN28" i="50" s="1"/>
  <c r="AN30" i="50" s="1"/>
  <c r="AN32" i="50" s="1"/>
  <c r="AN34" i="50" s="1"/>
  <c r="AN36" i="50" s="1"/>
  <c r="BA32" i="50"/>
  <c r="BA25" i="49"/>
  <c r="BA23" i="49"/>
  <c r="AL14" i="48"/>
  <c r="BA14" i="48" s="1"/>
  <c r="AM21" i="47"/>
  <c r="AM23" i="47" s="1"/>
  <c r="AM25" i="47" s="1"/>
  <c r="AM26" i="47" s="1"/>
  <c r="AM27" i="47" s="1"/>
  <c r="AM29" i="47" s="1"/>
  <c r="AM30" i="47" s="1"/>
  <c r="AM31" i="47" s="1"/>
  <c r="BA18" i="47"/>
  <c r="BA29" i="47"/>
  <c r="BA22" i="45"/>
  <c r="BA26" i="45"/>
  <c r="BA34" i="45"/>
  <c r="BA22" i="44"/>
  <c r="BA33" i="44"/>
  <c r="BA14" i="44"/>
  <c r="BA20" i="44"/>
  <c r="BA14" i="43"/>
  <c r="AN14" i="43"/>
  <c r="AN16" i="43" s="1"/>
  <c r="AN18" i="43" s="1"/>
  <c r="AN20" i="43" s="1"/>
  <c r="AX16" i="42"/>
  <c r="AX15" i="41"/>
  <c r="BA23" i="41"/>
  <c r="BA28" i="54"/>
  <c r="BA20" i="54"/>
  <c r="BA31" i="54"/>
  <c r="BA22" i="54"/>
  <c r="AX16" i="54"/>
  <c r="AM14" i="54"/>
  <c r="AM16" i="54" s="1"/>
  <c r="AM18" i="54" s="1"/>
  <c r="AM20" i="54" s="1"/>
  <c r="AM22" i="54" s="1"/>
  <c r="AM24" i="54" s="1"/>
  <c r="AM26" i="54" s="1"/>
  <c r="AM28" i="54" s="1"/>
  <c r="AM29" i="54" s="1"/>
  <c r="AM31" i="54" s="1"/>
  <c r="AM32" i="54" s="1"/>
  <c r="BA14" i="54"/>
  <c r="AN16" i="54"/>
  <c r="AN18" i="54" s="1"/>
  <c r="AN20" i="54" s="1"/>
  <c r="AN22" i="54" s="1"/>
  <c r="AN24" i="54" s="1"/>
  <c r="AN26" i="54" s="1"/>
  <c r="AN28" i="54" s="1"/>
  <c r="AN29" i="54" s="1"/>
  <c r="AN31" i="54" s="1"/>
  <c r="AN32" i="54" s="1"/>
  <c r="BA26" i="53"/>
  <c r="BA31" i="53"/>
  <c r="BA22" i="53"/>
  <c r="BA28" i="53"/>
  <c r="AJ20" i="53"/>
  <c r="BA32" i="53"/>
  <c r="BA24" i="53"/>
  <c r="AM22" i="53"/>
  <c r="AM24" i="53" s="1"/>
  <c r="AM26" i="53" s="1"/>
  <c r="AM28" i="53" s="1"/>
  <c r="AM29" i="53" s="1"/>
  <c r="AM31" i="53" s="1"/>
  <c r="AM32" i="53" s="1"/>
  <c r="AN16" i="53"/>
  <c r="AN18" i="53" s="1"/>
  <c r="AN20" i="53" s="1"/>
  <c r="AN22" i="53" s="1"/>
  <c r="AN24" i="53" s="1"/>
  <c r="AN26" i="53" s="1"/>
  <c r="AN28" i="53" s="1"/>
  <c r="AN29" i="53" s="1"/>
  <c r="AJ26" i="53"/>
  <c r="AY15" i="53"/>
  <c r="AX16" i="53"/>
  <c r="BA29" i="52"/>
  <c r="BA33" i="52"/>
  <c r="BA27" i="52"/>
  <c r="BA34" i="52"/>
  <c r="AX15" i="52"/>
  <c r="AY15" i="52" s="1"/>
  <c r="AM21" i="52"/>
  <c r="AM23" i="52" s="1"/>
  <c r="AM25" i="52" s="1"/>
  <c r="AM27" i="52" s="1"/>
  <c r="AM29" i="52" s="1"/>
  <c r="AM31" i="52" s="1"/>
  <c r="AM33" i="52" s="1"/>
  <c r="AM35" i="52" s="1"/>
  <c r="AN17" i="51"/>
  <c r="AN18" i="51" s="1"/>
  <c r="AN20" i="51" s="1"/>
  <c r="AN22" i="51" s="1"/>
  <c r="AN24" i="51" s="1"/>
  <c r="AN26" i="51" s="1"/>
  <c r="AN28" i="51" s="1"/>
  <c r="AN29" i="51" s="1"/>
  <c r="AN31" i="51" s="1"/>
  <c r="AN32" i="51" s="1"/>
  <c r="BA18" i="51"/>
  <c r="BA20" i="51"/>
  <c r="BA29" i="51"/>
  <c r="BA15" i="51"/>
  <c r="AY15" i="51"/>
  <c r="AX16" i="51"/>
  <c r="BA20" i="50"/>
  <c r="BA24" i="50"/>
  <c r="BA16" i="50"/>
  <c r="AJ28" i="50"/>
  <c r="AM14" i="50"/>
  <c r="AM16" i="50" s="1"/>
  <c r="AM18" i="50" s="1"/>
  <c r="AM20" i="50" s="1"/>
  <c r="AM22" i="50" s="1"/>
  <c r="AM24" i="50" s="1"/>
  <c r="AM26" i="50" s="1"/>
  <c r="AM28" i="50" s="1"/>
  <c r="AM30" i="50" s="1"/>
  <c r="AM32" i="50" s="1"/>
  <c r="AM34" i="50" s="1"/>
  <c r="AM36" i="50" s="1"/>
  <c r="BA14" i="50"/>
  <c r="BA15" i="50"/>
  <c r="AX15" i="50"/>
  <c r="AY15" i="50" s="1"/>
  <c r="BA29" i="49"/>
  <c r="BA33" i="49"/>
  <c r="BA31" i="49"/>
  <c r="AX15" i="49"/>
  <c r="AY15" i="49" s="1"/>
  <c r="AX16" i="49"/>
  <c r="AX15" i="48"/>
  <c r="AY15" i="48" s="1"/>
  <c r="BA19" i="48"/>
  <c r="BA24" i="48"/>
  <c r="BA16" i="48"/>
  <c r="BA27" i="48"/>
  <c r="BA14" i="47"/>
  <c r="BA31" i="47"/>
  <c r="BA27" i="47"/>
  <c r="AX15" i="47"/>
  <c r="AY15" i="47" s="1"/>
  <c r="BA25" i="47"/>
  <c r="BA30" i="47"/>
  <c r="AJ19" i="47"/>
  <c r="AN18" i="47"/>
  <c r="AN19" i="47" s="1"/>
  <c r="AN21" i="47" s="1"/>
  <c r="AN23" i="47" s="1"/>
  <c r="AN25" i="47" s="1"/>
  <c r="AN26" i="47" s="1"/>
  <c r="AN27" i="47" s="1"/>
  <c r="BA35" i="46"/>
  <c r="BA16" i="46"/>
  <c r="BA18" i="46"/>
  <c r="AN16" i="46"/>
  <c r="AN18" i="46" s="1"/>
  <c r="AN20" i="46" s="1"/>
  <c r="AN22" i="46" s="1"/>
  <c r="AN24" i="46" s="1"/>
  <c r="AN26" i="46" s="1"/>
  <c r="AN28" i="46" s="1"/>
  <c r="AN30" i="46" s="1"/>
  <c r="AN32" i="46" s="1"/>
  <c r="AN34" i="46" s="1"/>
  <c r="AN35" i="46" s="1"/>
  <c r="AM16" i="46"/>
  <c r="AM18" i="46" s="1"/>
  <c r="AM20" i="46" s="1"/>
  <c r="AM22" i="46" s="1"/>
  <c r="AM24" i="46" s="1"/>
  <c r="AM26" i="46" s="1"/>
  <c r="AM28" i="46" s="1"/>
  <c r="AM30" i="46" s="1"/>
  <c r="AM32" i="46" s="1"/>
  <c r="AM34" i="46" s="1"/>
  <c r="AM35" i="46" s="1"/>
  <c r="AX15" i="46"/>
  <c r="AY15" i="46" s="1"/>
  <c r="BA14" i="46"/>
  <c r="BA35" i="45"/>
  <c r="AM14" i="45"/>
  <c r="AM16" i="45" s="1"/>
  <c r="AM18" i="45" s="1"/>
  <c r="AM20" i="45" s="1"/>
  <c r="AM22" i="45" s="1"/>
  <c r="AM24" i="45" s="1"/>
  <c r="AM26" i="45" s="1"/>
  <c r="AM28" i="45" s="1"/>
  <c r="AM30" i="45" s="1"/>
  <c r="AM32" i="45" s="1"/>
  <c r="AM34" i="45" s="1"/>
  <c r="AM35" i="45" s="1"/>
  <c r="BA30" i="45"/>
  <c r="AN14" i="45"/>
  <c r="AN16" i="45" s="1"/>
  <c r="AN18" i="45" s="1"/>
  <c r="AN20" i="45" s="1"/>
  <c r="AN22" i="45" s="1"/>
  <c r="AN24" i="45" s="1"/>
  <c r="AN26" i="45" s="1"/>
  <c r="AN28" i="45" s="1"/>
  <c r="AN30" i="45" s="1"/>
  <c r="AN32" i="45" s="1"/>
  <c r="AN34" i="45" s="1"/>
  <c r="AN35" i="45" s="1"/>
  <c r="BA14" i="45"/>
  <c r="AY15" i="45"/>
  <c r="AX16" i="45"/>
  <c r="AO18" i="44"/>
  <c r="AO20" i="44" s="1"/>
  <c r="AP20" i="44" s="1"/>
  <c r="BA35" i="44"/>
  <c r="BA26" i="44"/>
  <c r="BA24" i="44"/>
  <c r="BA29" i="44"/>
  <c r="BA18" i="44"/>
  <c r="AN16" i="44"/>
  <c r="AN18" i="44" s="1"/>
  <c r="AN20" i="44" s="1"/>
  <c r="AN22" i="44" s="1"/>
  <c r="AN24" i="44" s="1"/>
  <c r="AN26" i="44" s="1"/>
  <c r="AN28" i="44" s="1"/>
  <c r="AN29" i="44" s="1"/>
  <c r="AN31" i="44" s="1"/>
  <c r="AN33" i="44" s="1"/>
  <c r="AN35" i="44" s="1"/>
  <c r="BA15" i="44"/>
  <c r="AX15" i="44"/>
  <c r="AX15" i="43"/>
  <c r="AX16" i="43" s="1"/>
  <c r="BA28" i="43"/>
  <c r="AN22" i="43"/>
  <c r="AN24" i="43" s="1"/>
  <c r="AN26" i="43" s="1"/>
  <c r="AN28" i="43" s="1"/>
  <c r="AN29" i="43" s="1"/>
  <c r="AN31" i="43" s="1"/>
  <c r="AN33" i="43" s="1"/>
  <c r="AN34" i="43" s="1"/>
  <c r="AJ23" i="40"/>
  <c r="BA19" i="40"/>
  <c r="BA17" i="40"/>
  <c r="BA23" i="40"/>
  <c r="BA31" i="40"/>
  <c r="BA27" i="40"/>
  <c r="BA15" i="40"/>
  <c r="BA35" i="40"/>
  <c r="AY15" i="40"/>
  <c r="AX16" i="40"/>
  <c r="BA36" i="40"/>
  <c r="BA25" i="41"/>
  <c r="BA32" i="41"/>
  <c r="BA17" i="41"/>
  <c r="BA34" i="41"/>
  <c r="BA15" i="41"/>
  <c r="BA14" i="41"/>
  <c r="AJ17" i="41"/>
  <c r="AJ19" i="41"/>
  <c r="AJ30" i="41"/>
  <c r="AN15" i="41"/>
  <c r="AN17" i="41" s="1"/>
  <c r="AN19" i="41" s="1"/>
  <c r="AN21" i="41" s="1"/>
  <c r="AN23" i="41" s="1"/>
  <c r="AN25" i="41" s="1"/>
  <c r="AN27" i="41" s="1"/>
  <c r="AN28" i="41" s="1"/>
  <c r="AN30" i="41" s="1"/>
  <c r="AN32" i="41" s="1"/>
  <c r="AN34" i="41" s="1"/>
  <c r="AM15" i="41"/>
  <c r="AM17" i="41" s="1"/>
  <c r="AM19" i="41" s="1"/>
  <c r="AM21" i="41" s="1"/>
  <c r="AM23" i="41" s="1"/>
  <c r="AM25" i="41" s="1"/>
  <c r="AM27" i="41" s="1"/>
  <c r="AM28" i="41" s="1"/>
  <c r="AM30" i="41" s="1"/>
  <c r="AM32" i="41" s="1"/>
  <c r="AM34" i="41" s="1"/>
  <c r="AJ28" i="41"/>
  <c r="AW21" i="42"/>
  <c r="AW25" i="42"/>
  <c r="AW23" i="42"/>
  <c r="AN15" i="42"/>
  <c r="AN17" i="42" s="1"/>
  <c r="AN19" i="42" s="1"/>
  <c r="AN20" i="42" s="1"/>
  <c r="AN22" i="42" s="1"/>
  <c r="AN23" i="42" s="1"/>
  <c r="AN25" i="42" s="1"/>
  <c r="AN26" i="42" s="1"/>
  <c r="AN28" i="42" s="1"/>
  <c r="AN29" i="42" s="1"/>
  <c r="AN31" i="42" s="1"/>
  <c r="AJ28" i="42"/>
  <c r="AP14" i="53"/>
  <c r="AZ14" i="53" s="1"/>
  <c r="AO16" i="53"/>
  <c r="AO18" i="53" s="1"/>
  <c r="AP14" i="52"/>
  <c r="AZ14" i="52" s="1"/>
  <c r="AO16" i="52"/>
  <c r="AM31" i="51"/>
  <c r="AM32" i="51" s="1"/>
  <c r="AP14" i="49"/>
  <c r="AZ14" i="49" s="1"/>
  <c r="AO15" i="49"/>
  <c r="AP14" i="48"/>
  <c r="AZ14" i="48" s="1"/>
  <c r="AO16" i="48"/>
  <c r="AP16" i="44"/>
  <c r="AO13" i="42"/>
  <c r="AP13" i="42" s="1"/>
  <c r="AZ13" i="42" s="1"/>
  <c r="AJ14" i="42"/>
  <c r="AO14" i="42" s="1"/>
  <c r="AO15" i="42" s="1"/>
  <c r="AO17" i="42" s="1"/>
  <c r="AO19" i="42" s="1"/>
  <c r="AO13" i="41"/>
  <c r="AP13" i="41" s="1"/>
  <c r="AZ13" i="41" s="1"/>
  <c r="AJ17" i="40"/>
  <c r="AJ29" i="40"/>
  <c r="AL14" i="40"/>
  <c r="AN14" i="40" s="1"/>
  <c r="AN15" i="40" s="1"/>
  <c r="AN17" i="40" s="1"/>
  <c r="AN19" i="40" s="1"/>
  <c r="AN21" i="40" s="1"/>
  <c r="AN23" i="40" s="1"/>
  <c r="AN25" i="40" s="1"/>
  <c r="AN27" i="40" s="1"/>
  <c r="AN29" i="40" s="1"/>
  <c r="AN31" i="40" s="1"/>
  <c r="AN33" i="40" s="1"/>
  <c r="AN35" i="40" s="1"/>
  <c r="AJ13" i="54"/>
  <c r="AO13" i="54" s="1"/>
  <c r="AP13" i="54" s="1"/>
  <c r="AZ13" i="54" s="1"/>
  <c r="AJ32" i="53"/>
  <c r="AN14" i="52"/>
  <c r="AN16" i="52" s="1"/>
  <c r="AN18" i="52" s="1"/>
  <c r="AN20" i="52" s="1"/>
  <c r="AN21" i="52" s="1"/>
  <c r="AN23" i="52" s="1"/>
  <c r="AN25" i="52" s="1"/>
  <c r="AN27" i="52" s="1"/>
  <c r="AN29" i="52" s="1"/>
  <c r="AN31" i="52" s="1"/>
  <c r="AN33" i="52" s="1"/>
  <c r="AN35" i="52" s="1"/>
  <c r="AJ13" i="51"/>
  <c r="AO13" i="51" s="1"/>
  <c r="AP13" i="51" s="1"/>
  <c r="AZ13" i="51" s="1"/>
  <c r="AJ14" i="50"/>
  <c r="AO14" i="50" s="1"/>
  <c r="AN14" i="49"/>
  <c r="AN15" i="49" s="1"/>
  <c r="AN17" i="49" s="1"/>
  <c r="AN19" i="49" s="1"/>
  <c r="AN21" i="49" s="1"/>
  <c r="AN23" i="49" s="1"/>
  <c r="AN25" i="49" s="1"/>
  <c r="AN27" i="49" s="1"/>
  <c r="AN29" i="49" s="1"/>
  <c r="AN31" i="49" s="1"/>
  <c r="AN33" i="49" s="1"/>
  <c r="AN34" i="49" s="1"/>
  <c r="AJ18" i="48"/>
  <c r="AN14" i="48"/>
  <c r="AN16" i="48" s="1"/>
  <c r="AN18" i="48" s="1"/>
  <c r="AN19" i="48" s="1"/>
  <c r="AN21" i="48" s="1"/>
  <c r="AN22" i="48" s="1"/>
  <c r="AN24" i="48" s="1"/>
  <c r="AN25" i="48" s="1"/>
  <c r="AN27" i="48" s="1"/>
  <c r="AN28" i="48" s="1"/>
  <c r="AN30" i="48" s="1"/>
  <c r="AN31" i="48" s="1"/>
  <c r="AJ14" i="47"/>
  <c r="AO14" i="47" s="1"/>
  <c r="AJ14" i="46"/>
  <c r="AO14" i="46" s="1"/>
  <c r="AJ14" i="45"/>
  <c r="AO14" i="45" s="1"/>
  <c r="AJ13" i="43"/>
  <c r="BA17" i="42"/>
  <c r="BA26" i="42"/>
  <c r="AJ20" i="42"/>
  <c r="BA24" i="42"/>
  <c r="BA29" i="42"/>
  <c r="BA22" i="42"/>
  <c r="BA27" i="42"/>
  <c r="BA19" i="42"/>
  <c r="AJ14" i="41"/>
  <c r="AJ15" i="40"/>
  <c r="AK14" i="40"/>
  <c r="AI13" i="40"/>
  <c r="AJ13" i="40" s="1"/>
  <c r="AJ33" i="40"/>
  <c r="AP18" i="44" l="1"/>
  <c r="AO22" i="44"/>
  <c r="AP22" i="44" s="1"/>
  <c r="AY15" i="43"/>
  <c r="AY16" i="42"/>
  <c r="AX17" i="42"/>
  <c r="AX16" i="41"/>
  <c r="AY15" i="41"/>
  <c r="AO14" i="54"/>
  <c r="AO16" i="54" s="1"/>
  <c r="AY16" i="54"/>
  <c r="AX17" i="54"/>
  <c r="AO20" i="53"/>
  <c r="AO22" i="53" s="1"/>
  <c r="AO24" i="53" s="1"/>
  <c r="AO26" i="53" s="1"/>
  <c r="AO28" i="53" s="1"/>
  <c r="AY16" i="53"/>
  <c r="AX17" i="53"/>
  <c r="AX16" i="52"/>
  <c r="AY16" i="52" s="1"/>
  <c r="AZ16" i="52" s="1"/>
  <c r="AY16" i="51"/>
  <c r="AX17" i="51"/>
  <c r="AX16" i="50"/>
  <c r="AY16" i="49"/>
  <c r="AX17" i="49"/>
  <c r="AX16" i="48"/>
  <c r="AY16" i="48" s="1"/>
  <c r="AO18" i="48"/>
  <c r="AO19" i="48" s="1"/>
  <c r="AP19" i="48" s="1"/>
  <c r="AX16" i="47"/>
  <c r="AY16" i="47" s="1"/>
  <c r="AX16" i="46"/>
  <c r="AY16" i="46" s="1"/>
  <c r="AY16" i="45"/>
  <c r="AX17" i="45"/>
  <c r="AY15" i="44"/>
  <c r="AX16" i="44"/>
  <c r="AY16" i="43"/>
  <c r="AX17" i="43"/>
  <c r="AM14" i="40"/>
  <c r="AM15" i="40" s="1"/>
  <c r="AM17" i="40" s="1"/>
  <c r="AM19" i="40" s="1"/>
  <c r="AM21" i="40" s="1"/>
  <c r="AM23" i="40" s="1"/>
  <c r="AM25" i="40" s="1"/>
  <c r="AM27" i="40" s="1"/>
  <c r="AM29" i="40" s="1"/>
  <c r="AM31" i="40" s="1"/>
  <c r="AM33" i="40" s="1"/>
  <c r="AM35" i="40" s="1"/>
  <c r="BA14" i="40"/>
  <c r="AY16" i="40"/>
  <c r="AX17" i="40"/>
  <c r="BA23" i="42"/>
  <c r="BA25" i="42"/>
  <c r="BA21" i="42"/>
  <c r="AO20" i="42"/>
  <c r="AO22" i="42" s="1"/>
  <c r="AO23" i="42" s="1"/>
  <c r="AO25" i="42" s="1"/>
  <c r="AP25" i="42" s="1"/>
  <c r="AP16" i="53"/>
  <c r="AP18" i="53"/>
  <c r="AN31" i="53"/>
  <c r="AN32" i="53" s="1"/>
  <c r="AO18" i="52"/>
  <c r="AP16" i="52"/>
  <c r="AP14" i="50"/>
  <c r="AZ14" i="50" s="1"/>
  <c r="AO16" i="50"/>
  <c r="AO17" i="49"/>
  <c r="AP15" i="49"/>
  <c r="AZ15" i="49" s="1"/>
  <c r="AP18" i="48"/>
  <c r="AP16" i="48"/>
  <c r="AP14" i="42"/>
  <c r="AZ14" i="42" s="1"/>
  <c r="AN29" i="47"/>
  <c r="AN30" i="47" s="1"/>
  <c r="AN31" i="47" s="1"/>
  <c r="AP14" i="47"/>
  <c r="AZ14" i="47" s="1"/>
  <c r="AO16" i="47"/>
  <c r="AP14" i="46"/>
  <c r="AZ14" i="46" s="1"/>
  <c r="AO16" i="46"/>
  <c r="AP14" i="45"/>
  <c r="AZ14" i="45" s="1"/>
  <c r="AO16" i="45"/>
  <c r="AO13" i="43"/>
  <c r="AO14" i="43" s="1"/>
  <c r="AO14" i="41"/>
  <c r="AO15" i="41" s="1"/>
  <c r="AO17" i="41" s="1"/>
  <c r="AO19" i="41" s="1"/>
  <c r="AO21" i="41" s="1"/>
  <c r="AO23" i="41" s="1"/>
  <c r="AO25" i="41" s="1"/>
  <c r="AO27" i="41" s="1"/>
  <c r="AO28" i="41" s="1"/>
  <c r="AO13" i="40"/>
  <c r="AP13" i="40" s="1"/>
  <c r="AZ13" i="40" s="1"/>
  <c r="AO21" i="48"/>
  <c r="AO14" i="51"/>
  <c r="AJ14" i="40"/>
  <c r="AZ16" i="48" l="1"/>
  <c r="AO24" i="44"/>
  <c r="AO26" i="44" s="1"/>
  <c r="AP23" i="42"/>
  <c r="AY17" i="42"/>
  <c r="AX18" i="42"/>
  <c r="AX17" i="41"/>
  <c r="AY16" i="41"/>
  <c r="AY17" i="54"/>
  <c r="AX18" i="54"/>
  <c r="AP14" i="54"/>
  <c r="AZ14" i="54" s="1"/>
  <c r="AP20" i="53"/>
  <c r="AZ16" i="53"/>
  <c r="AY17" i="53"/>
  <c r="AX18" i="53"/>
  <c r="AX17" i="52"/>
  <c r="AX18" i="52" s="1"/>
  <c r="AY17" i="51"/>
  <c r="AX18" i="51"/>
  <c r="AY16" i="50"/>
  <c r="AX17" i="50"/>
  <c r="AY17" i="49"/>
  <c r="AX18" i="49"/>
  <c r="AX17" i="48"/>
  <c r="AY17" i="48" s="1"/>
  <c r="AX17" i="47"/>
  <c r="AX18" i="47" s="1"/>
  <c r="AX17" i="46"/>
  <c r="AX18" i="46" s="1"/>
  <c r="AY17" i="45"/>
  <c r="AX18" i="45"/>
  <c r="AX17" i="44"/>
  <c r="AY16" i="44"/>
  <c r="AZ16" i="44" s="1"/>
  <c r="AY17" i="43"/>
  <c r="AX18" i="43"/>
  <c r="AY17" i="40"/>
  <c r="AX18" i="40"/>
  <c r="AP14" i="41"/>
  <c r="AZ14" i="41" s="1"/>
  <c r="AO18" i="54"/>
  <c r="AP16" i="54"/>
  <c r="AZ16" i="54" s="1"/>
  <c r="AO20" i="52"/>
  <c r="AP20" i="52" s="1"/>
  <c r="AP18" i="52"/>
  <c r="AP14" i="51"/>
  <c r="AZ14" i="51" s="1"/>
  <c r="AO15" i="51"/>
  <c r="AO18" i="50"/>
  <c r="AP16" i="50"/>
  <c r="AO19" i="49"/>
  <c r="AP17" i="49"/>
  <c r="AO18" i="47"/>
  <c r="AP16" i="47"/>
  <c r="AZ16" i="47" s="1"/>
  <c r="AP16" i="46"/>
  <c r="AZ16" i="46" s="1"/>
  <c r="AO18" i="46"/>
  <c r="AO18" i="45"/>
  <c r="AP16" i="45"/>
  <c r="AZ16" i="45" s="1"/>
  <c r="AO16" i="43"/>
  <c r="AP14" i="43"/>
  <c r="AZ14" i="43" s="1"/>
  <c r="AP13" i="43"/>
  <c r="AZ13" i="43" s="1"/>
  <c r="AO26" i="42"/>
  <c r="AO30" i="41"/>
  <c r="AP28" i="41"/>
  <c r="AO14" i="40"/>
  <c r="AO15" i="40" s="1"/>
  <c r="AO17" i="40" s="1"/>
  <c r="AO19" i="40" s="1"/>
  <c r="AO21" i="40" s="1"/>
  <c r="AO23" i="40" s="1"/>
  <c r="AO25" i="40" s="1"/>
  <c r="AO27" i="40" s="1"/>
  <c r="AO29" i="40" s="1"/>
  <c r="AO31" i="40" s="1"/>
  <c r="AO33" i="40" s="1"/>
  <c r="AO35" i="40" s="1"/>
  <c r="AP21" i="48"/>
  <c r="AO22" i="48"/>
  <c r="AP22" i="53"/>
  <c r="AP15" i="42"/>
  <c r="AZ15" i="42" s="1"/>
  <c r="AP15" i="41"/>
  <c r="AZ15" i="41" s="1"/>
  <c r="AY17" i="46" l="1"/>
  <c r="AP24" i="44"/>
  <c r="AY18" i="42"/>
  <c r="AX19" i="42"/>
  <c r="AX18" i="41"/>
  <c r="AY17" i="41"/>
  <c r="AY18" i="54"/>
  <c r="AX19" i="54"/>
  <c r="AY18" i="53"/>
  <c r="AZ18" i="53" s="1"/>
  <c r="AX19" i="53"/>
  <c r="AY17" i="52"/>
  <c r="AY18" i="52"/>
  <c r="AZ18" i="52" s="1"/>
  <c r="AX19" i="52"/>
  <c r="AY18" i="51"/>
  <c r="AZ16" i="50"/>
  <c r="AY17" i="50"/>
  <c r="AX18" i="50"/>
  <c r="AZ17" i="49"/>
  <c r="AY18" i="49"/>
  <c r="AX19" i="49"/>
  <c r="AX18" i="48"/>
  <c r="AX19" i="48" s="1"/>
  <c r="AY17" i="47"/>
  <c r="AY18" i="47"/>
  <c r="AX19" i="47"/>
  <c r="AX20" i="47" s="1"/>
  <c r="AY18" i="46"/>
  <c r="AX19" i="46"/>
  <c r="AY18" i="45"/>
  <c r="AX19" i="45"/>
  <c r="AX18" i="44"/>
  <c r="AY17" i="44"/>
  <c r="AY18" i="43"/>
  <c r="AX19" i="43"/>
  <c r="AY18" i="40"/>
  <c r="AX19" i="40"/>
  <c r="AO20" i="54"/>
  <c r="AP18" i="54"/>
  <c r="AO21" i="52"/>
  <c r="AP21" i="52" s="1"/>
  <c r="AP15" i="51"/>
  <c r="AZ15" i="51" s="1"/>
  <c r="AO17" i="51"/>
  <c r="AO20" i="50"/>
  <c r="AP18" i="50"/>
  <c r="AO21" i="49"/>
  <c r="AP19" i="49"/>
  <c r="AP22" i="48"/>
  <c r="AO24" i="48"/>
  <c r="AO19" i="47"/>
  <c r="AP18" i="47"/>
  <c r="AO20" i="46"/>
  <c r="AP18" i="46"/>
  <c r="AO20" i="45"/>
  <c r="AP18" i="45"/>
  <c r="AO28" i="44"/>
  <c r="AP26" i="44"/>
  <c r="AO18" i="43"/>
  <c r="AP16" i="43"/>
  <c r="AZ16" i="43" s="1"/>
  <c r="AP26" i="42"/>
  <c r="AO28" i="42"/>
  <c r="AO32" i="41"/>
  <c r="AP30" i="41"/>
  <c r="AP14" i="40"/>
  <c r="AZ14" i="40" s="1"/>
  <c r="AP17" i="42"/>
  <c r="AZ17" i="42" s="1"/>
  <c r="AP17" i="41"/>
  <c r="AZ17" i="41" s="1"/>
  <c r="AP15" i="40"/>
  <c r="AZ15" i="40" s="1"/>
  <c r="AY20" i="47" l="1"/>
  <c r="AX21" i="47"/>
  <c r="AY21" i="47" s="1"/>
  <c r="AY19" i="42"/>
  <c r="AX20" i="42"/>
  <c r="AX19" i="41"/>
  <c r="AY18" i="41"/>
  <c r="AZ18" i="54"/>
  <c r="AX20" i="54"/>
  <c r="AY19" i="54"/>
  <c r="AY19" i="53"/>
  <c r="AX20" i="53"/>
  <c r="AY19" i="52"/>
  <c r="AX20" i="52"/>
  <c r="AY20" i="51"/>
  <c r="AX21" i="51"/>
  <c r="AY18" i="50"/>
  <c r="AZ18" i="50" s="1"/>
  <c r="AX19" i="50"/>
  <c r="AY19" i="49"/>
  <c r="AZ19" i="49" s="1"/>
  <c r="AY18" i="48"/>
  <c r="AZ18" i="48" s="1"/>
  <c r="AY19" i="48"/>
  <c r="AZ19" i="48" s="1"/>
  <c r="AZ18" i="47"/>
  <c r="AY19" i="47"/>
  <c r="AZ18" i="46"/>
  <c r="AY19" i="46"/>
  <c r="AX20" i="46"/>
  <c r="AZ18" i="45"/>
  <c r="AY19" i="45"/>
  <c r="AX20" i="45"/>
  <c r="AY18" i="44"/>
  <c r="AZ18" i="44" s="1"/>
  <c r="AX19" i="44"/>
  <c r="AY19" i="43"/>
  <c r="AX20" i="43"/>
  <c r="AY19" i="40"/>
  <c r="AO22" i="54"/>
  <c r="AP20" i="54"/>
  <c r="AO23" i="52"/>
  <c r="AO25" i="52" s="1"/>
  <c r="AO18" i="51"/>
  <c r="AP17" i="51"/>
  <c r="AZ17" i="51" s="1"/>
  <c r="AP20" i="50"/>
  <c r="AO22" i="50"/>
  <c r="AO23" i="49"/>
  <c r="AO25" i="49" s="1"/>
  <c r="AO27" i="49" s="1"/>
  <c r="AO29" i="49" s="1"/>
  <c r="AO31" i="49" s="1"/>
  <c r="AO33" i="49" s="1"/>
  <c r="AP21" i="49"/>
  <c r="AP24" i="48"/>
  <c r="AO25" i="48"/>
  <c r="AP19" i="47"/>
  <c r="AO21" i="47"/>
  <c r="AP20" i="46"/>
  <c r="AO22" i="46"/>
  <c r="AO22" i="45"/>
  <c r="AP20" i="45"/>
  <c r="AP28" i="44"/>
  <c r="AO29" i="44"/>
  <c r="AO20" i="43"/>
  <c r="AP18" i="43"/>
  <c r="AZ18" i="43" s="1"/>
  <c r="AO29" i="42"/>
  <c r="AP28" i="42"/>
  <c r="AO34" i="41"/>
  <c r="AP34" i="41" s="1"/>
  <c r="AP32" i="41"/>
  <c r="AP24" i="53"/>
  <c r="AP19" i="42"/>
  <c r="AP19" i="41"/>
  <c r="AP17" i="40"/>
  <c r="AZ17" i="40" s="1"/>
  <c r="AZ19" i="42" l="1"/>
  <c r="AY20" i="42"/>
  <c r="AX21" i="42"/>
  <c r="AY19" i="41"/>
  <c r="AZ19" i="41" s="1"/>
  <c r="AX21" i="54"/>
  <c r="AY20" i="54"/>
  <c r="AZ20" i="54" s="1"/>
  <c r="AY20" i="53"/>
  <c r="AZ20" i="53" s="1"/>
  <c r="AX21" i="53"/>
  <c r="AY20" i="52"/>
  <c r="AZ20" i="52" s="1"/>
  <c r="AX21" i="52"/>
  <c r="AY21" i="51"/>
  <c r="AX22" i="51"/>
  <c r="AY19" i="50"/>
  <c r="AX20" i="50"/>
  <c r="AP23" i="49"/>
  <c r="AY21" i="49"/>
  <c r="AZ21" i="49" s="1"/>
  <c r="AX22" i="49"/>
  <c r="AY21" i="48"/>
  <c r="AZ21" i="48" s="1"/>
  <c r="AX22" i="48"/>
  <c r="AZ19" i="47"/>
  <c r="AX22" i="47"/>
  <c r="AY20" i="46"/>
  <c r="AZ20" i="46" s="1"/>
  <c r="AY20" i="45"/>
  <c r="AZ20" i="45" s="1"/>
  <c r="AY19" i="44"/>
  <c r="AX20" i="44"/>
  <c r="AY20" i="43"/>
  <c r="AY21" i="40"/>
  <c r="AX22" i="40"/>
  <c r="AO24" i="54"/>
  <c r="AP22" i="54"/>
  <c r="AP23" i="52"/>
  <c r="AO27" i="52"/>
  <c r="AP25" i="52"/>
  <c r="AP18" i="51"/>
  <c r="AZ18" i="51" s="1"/>
  <c r="AO20" i="51"/>
  <c r="AO24" i="50"/>
  <c r="AO26" i="50" s="1"/>
  <c r="AO28" i="50" s="1"/>
  <c r="AO30" i="50" s="1"/>
  <c r="AO32" i="50" s="1"/>
  <c r="AO34" i="50" s="1"/>
  <c r="AO36" i="50" s="1"/>
  <c r="AP36" i="50" s="1"/>
  <c r="AP22" i="50"/>
  <c r="AP25" i="48"/>
  <c r="AO27" i="48"/>
  <c r="AO23" i="47"/>
  <c r="AP21" i="47"/>
  <c r="AZ21" i="47" s="1"/>
  <c r="AP22" i="46"/>
  <c r="AO24" i="46"/>
  <c r="AP22" i="45"/>
  <c r="AO24" i="45"/>
  <c r="AP29" i="44"/>
  <c r="AO31" i="44"/>
  <c r="AO22" i="43"/>
  <c r="AP20" i="43"/>
  <c r="AO31" i="42"/>
  <c r="AP31" i="42" s="1"/>
  <c r="AP29" i="42"/>
  <c r="AP20" i="42"/>
  <c r="AZ20" i="42" s="1"/>
  <c r="AP21" i="41"/>
  <c r="AP19" i="40"/>
  <c r="AZ19" i="40" s="1"/>
  <c r="AY21" i="42" l="1"/>
  <c r="AX22" i="42"/>
  <c r="AX22" i="41"/>
  <c r="AY21" i="41"/>
  <c r="AZ21" i="41" s="1"/>
  <c r="AY21" i="54"/>
  <c r="AX22" i="54"/>
  <c r="AY21" i="53"/>
  <c r="AX22" i="53"/>
  <c r="AY21" i="52"/>
  <c r="AZ21" i="52" s="1"/>
  <c r="AX22" i="52"/>
  <c r="AY22" i="51"/>
  <c r="AX23" i="51"/>
  <c r="AY20" i="50"/>
  <c r="AZ20" i="50" s="1"/>
  <c r="AY22" i="49"/>
  <c r="AX23" i="49"/>
  <c r="AY22" i="48"/>
  <c r="AZ22" i="48" s="1"/>
  <c r="AX23" i="48"/>
  <c r="AY22" i="47"/>
  <c r="AX23" i="47"/>
  <c r="AY22" i="46"/>
  <c r="AZ22" i="46" s="1"/>
  <c r="AX23" i="46"/>
  <c r="AY22" i="45"/>
  <c r="AZ22" i="45" s="1"/>
  <c r="AX23" i="45"/>
  <c r="AY20" i="44"/>
  <c r="AZ20" i="44" s="1"/>
  <c r="AZ20" i="43"/>
  <c r="AY22" i="43"/>
  <c r="AX23" i="43"/>
  <c r="AY22" i="40"/>
  <c r="AX23" i="40"/>
  <c r="AO26" i="54"/>
  <c r="AP24" i="54"/>
  <c r="AO29" i="52"/>
  <c r="AP27" i="52"/>
  <c r="AO22" i="51"/>
  <c r="AP20" i="51"/>
  <c r="AZ20" i="51" s="1"/>
  <c r="AP24" i="50"/>
  <c r="AO28" i="48"/>
  <c r="AP27" i="48"/>
  <c r="AO25" i="47"/>
  <c r="AP25" i="47" s="1"/>
  <c r="AP23" i="47"/>
  <c r="AO26" i="46"/>
  <c r="AP24" i="46"/>
  <c r="AO26" i="45"/>
  <c r="AP24" i="45"/>
  <c r="AO33" i="44"/>
  <c r="AP31" i="44"/>
  <c r="AO24" i="43"/>
  <c r="AP22" i="43"/>
  <c r="AP26" i="53"/>
  <c r="AP25" i="49"/>
  <c r="AP22" i="42"/>
  <c r="AP23" i="41"/>
  <c r="AP21" i="40"/>
  <c r="AZ21" i="40" s="1"/>
  <c r="AY22" i="42" l="1"/>
  <c r="AZ22" i="42" s="1"/>
  <c r="AX23" i="42"/>
  <c r="AX23" i="41"/>
  <c r="AY22" i="41"/>
  <c r="AY22" i="54"/>
  <c r="AZ22" i="54" s="1"/>
  <c r="AX23" i="54"/>
  <c r="AY22" i="53"/>
  <c r="AZ22" i="53" s="1"/>
  <c r="AX23" i="53"/>
  <c r="AY22" i="52"/>
  <c r="AX23" i="52"/>
  <c r="AY23" i="51"/>
  <c r="AX24" i="51"/>
  <c r="AX23" i="50"/>
  <c r="AY22" i="50"/>
  <c r="AZ22" i="50" s="1"/>
  <c r="AY23" i="49"/>
  <c r="AZ23" i="49" s="1"/>
  <c r="AX24" i="49"/>
  <c r="AY23" i="48"/>
  <c r="AX24" i="48"/>
  <c r="AY23" i="47"/>
  <c r="AZ23" i="47" s="1"/>
  <c r="AX24" i="47"/>
  <c r="AY23" i="46"/>
  <c r="AX24" i="46"/>
  <c r="AY23" i="45"/>
  <c r="AX24" i="45"/>
  <c r="AY22" i="44"/>
  <c r="AZ22" i="44" s="1"/>
  <c r="AX23" i="44"/>
  <c r="AZ22" i="43"/>
  <c r="AY23" i="43"/>
  <c r="AX24" i="43"/>
  <c r="AY23" i="40"/>
  <c r="AX24" i="40"/>
  <c r="AO28" i="54"/>
  <c r="AP26" i="54"/>
  <c r="AO31" i="52"/>
  <c r="AP29" i="52"/>
  <c r="AO24" i="51"/>
  <c r="AP22" i="51"/>
  <c r="AZ22" i="51" s="1"/>
  <c r="AP28" i="48"/>
  <c r="AO30" i="48"/>
  <c r="AO26" i="47"/>
  <c r="AO27" i="47" s="1"/>
  <c r="AP27" i="47" s="1"/>
  <c r="AO28" i="46"/>
  <c r="AP26" i="46"/>
  <c r="AO28" i="45"/>
  <c r="AP26" i="45"/>
  <c r="AO35" i="44"/>
  <c r="AP35" i="44" s="1"/>
  <c r="AP33" i="44"/>
  <c r="AO26" i="43"/>
  <c r="AP24" i="43"/>
  <c r="AP26" i="50"/>
  <c r="AP25" i="41"/>
  <c r="AP23" i="40"/>
  <c r="AY23" i="42" l="1"/>
  <c r="AZ23" i="42" s="1"/>
  <c r="AX24" i="42"/>
  <c r="AX24" i="41"/>
  <c r="AY23" i="41"/>
  <c r="AZ23" i="41" s="1"/>
  <c r="AY23" i="54"/>
  <c r="AX24" i="54"/>
  <c r="AY23" i="53"/>
  <c r="AX24" i="53"/>
  <c r="AY23" i="52"/>
  <c r="AZ23" i="52" s="1"/>
  <c r="AX24" i="52"/>
  <c r="AY24" i="51"/>
  <c r="AX25" i="51"/>
  <c r="AY23" i="50"/>
  <c r="AX24" i="50"/>
  <c r="AY24" i="49"/>
  <c r="AX25" i="49"/>
  <c r="AY24" i="48"/>
  <c r="AZ24" i="48" s="1"/>
  <c r="AX25" i="48"/>
  <c r="AY24" i="47"/>
  <c r="AX25" i="47"/>
  <c r="AY24" i="46"/>
  <c r="AZ24" i="46" s="1"/>
  <c r="AX25" i="46"/>
  <c r="AY24" i="45"/>
  <c r="AZ24" i="45" s="1"/>
  <c r="AX25" i="45"/>
  <c r="AY23" i="44"/>
  <c r="AX24" i="44"/>
  <c r="AY24" i="43"/>
  <c r="AZ24" i="43" s="1"/>
  <c r="AX25" i="43"/>
  <c r="AZ23" i="40"/>
  <c r="AY24" i="40"/>
  <c r="AX25" i="40"/>
  <c r="AP28" i="54"/>
  <c r="AO29" i="54"/>
  <c r="AO33" i="52"/>
  <c r="AP31" i="52"/>
  <c r="AO26" i="51"/>
  <c r="AP24" i="51"/>
  <c r="AP30" i="48"/>
  <c r="AO31" i="48"/>
  <c r="AP31" i="48" s="1"/>
  <c r="AP26" i="47"/>
  <c r="AO30" i="46"/>
  <c r="AP28" i="46"/>
  <c r="AO30" i="45"/>
  <c r="AP28" i="45"/>
  <c r="AO28" i="43"/>
  <c r="AO29" i="43" s="1"/>
  <c r="AO31" i="43" s="1"/>
  <c r="AO33" i="43" s="1"/>
  <c r="AO34" i="43" s="1"/>
  <c r="AP26" i="43"/>
  <c r="AP28" i="53"/>
  <c r="AO29" i="53"/>
  <c r="AO31" i="53" s="1"/>
  <c r="AP27" i="49"/>
  <c r="AP27" i="41"/>
  <c r="AP25" i="40"/>
  <c r="AY24" i="42" l="1"/>
  <c r="AX25" i="42"/>
  <c r="AX25" i="41"/>
  <c r="AY24" i="41"/>
  <c r="AY24" i="54"/>
  <c r="AZ24" i="54" s="1"/>
  <c r="AX25" i="54"/>
  <c r="AY24" i="53"/>
  <c r="AZ24" i="53" s="1"/>
  <c r="AX25" i="53"/>
  <c r="AY24" i="52"/>
  <c r="AX25" i="52"/>
  <c r="AZ24" i="51"/>
  <c r="AY25" i="51"/>
  <c r="AX26" i="51"/>
  <c r="AY24" i="50"/>
  <c r="AZ24" i="50" s="1"/>
  <c r="AX25" i="50"/>
  <c r="AY25" i="49"/>
  <c r="AZ25" i="49" s="1"/>
  <c r="AX26" i="49"/>
  <c r="AY25" i="48"/>
  <c r="AZ25" i="48" s="1"/>
  <c r="AX26" i="48"/>
  <c r="AY25" i="47"/>
  <c r="AZ25" i="47" s="1"/>
  <c r="AX26" i="47"/>
  <c r="AY25" i="46"/>
  <c r="AX26" i="46"/>
  <c r="AY25" i="45"/>
  <c r="AX26" i="45"/>
  <c r="AY24" i="44"/>
  <c r="AZ24" i="44" s="1"/>
  <c r="AX25" i="44"/>
  <c r="AY25" i="43"/>
  <c r="AX26" i="43"/>
  <c r="AY25" i="40"/>
  <c r="AZ25" i="40" s="1"/>
  <c r="AX26" i="40"/>
  <c r="AP29" i="54"/>
  <c r="AO31" i="54"/>
  <c r="AO35" i="52"/>
  <c r="AP35" i="52" s="1"/>
  <c r="AP33" i="52"/>
  <c r="AO28" i="51"/>
  <c r="AP26" i="51"/>
  <c r="AO29" i="47"/>
  <c r="AO32" i="46"/>
  <c r="AP30" i="46"/>
  <c r="AO32" i="45"/>
  <c r="AP30" i="45"/>
  <c r="AP28" i="43"/>
  <c r="AP29" i="53"/>
  <c r="AP28" i="50"/>
  <c r="AP29" i="43"/>
  <c r="AP27" i="40"/>
  <c r="AY25" i="42" l="1"/>
  <c r="AZ25" i="42" s="1"/>
  <c r="AX26" i="42"/>
  <c r="AX26" i="41"/>
  <c r="AY25" i="41"/>
  <c r="AZ25" i="41" s="1"/>
  <c r="AY25" i="54"/>
  <c r="AX26" i="54"/>
  <c r="AY25" i="53"/>
  <c r="AX26" i="53"/>
  <c r="AY25" i="52"/>
  <c r="AZ25" i="52" s="1"/>
  <c r="AX26" i="52"/>
  <c r="AY26" i="51"/>
  <c r="AZ26" i="51" s="1"/>
  <c r="AX27" i="51"/>
  <c r="AY25" i="50"/>
  <c r="AX26" i="50"/>
  <c r="AY26" i="49"/>
  <c r="AX27" i="49"/>
  <c r="AY26" i="48"/>
  <c r="AX27" i="48"/>
  <c r="AY26" i="47"/>
  <c r="AZ26" i="47" s="1"/>
  <c r="AX27" i="47"/>
  <c r="AY26" i="46"/>
  <c r="AZ26" i="46" s="1"/>
  <c r="AX27" i="46"/>
  <c r="AY26" i="45"/>
  <c r="AZ26" i="45" s="1"/>
  <c r="AX27" i="45"/>
  <c r="AY25" i="44"/>
  <c r="AX26" i="44"/>
  <c r="AY26" i="43"/>
  <c r="AZ26" i="43" s="1"/>
  <c r="AX27" i="43"/>
  <c r="AY26" i="40"/>
  <c r="AX27" i="40"/>
  <c r="AO32" i="54"/>
  <c r="AP32" i="54" s="1"/>
  <c r="AP31" i="54"/>
  <c r="AP28" i="51"/>
  <c r="AO29" i="51"/>
  <c r="AP29" i="47"/>
  <c r="AO30" i="47"/>
  <c r="AO34" i="46"/>
  <c r="AP32" i="46"/>
  <c r="AO34" i="45"/>
  <c r="AP32" i="45"/>
  <c r="AP29" i="49"/>
  <c r="AP29" i="40"/>
  <c r="AY26" i="42" l="1"/>
  <c r="AZ26" i="42" s="1"/>
  <c r="AX27" i="42"/>
  <c r="AX27" i="41"/>
  <c r="AY26" i="41"/>
  <c r="AX27" i="54"/>
  <c r="AY26" i="54"/>
  <c r="AZ26" i="54" s="1"/>
  <c r="AY26" i="53"/>
  <c r="AZ26" i="53" s="1"/>
  <c r="AX27" i="53"/>
  <c r="AY26" i="52"/>
  <c r="AX27" i="52"/>
  <c r="AY27" i="51"/>
  <c r="AX28" i="51"/>
  <c r="AY26" i="50"/>
  <c r="AZ26" i="50" s="1"/>
  <c r="AX27" i="50"/>
  <c r="AY27" i="49"/>
  <c r="AZ27" i="49" s="1"/>
  <c r="AX28" i="49"/>
  <c r="AY27" i="48"/>
  <c r="AZ27" i="48" s="1"/>
  <c r="AX28" i="48"/>
  <c r="AY27" i="47"/>
  <c r="AZ27" i="47" s="1"/>
  <c r="AX28" i="47"/>
  <c r="AY27" i="46"/>
  <c r="AX28" i="46"/>
  <c r="AY27" i="45"/>
  <c r="AX28" i="45"/>
  <c r="AY26" i="44"/>
  <c r="AZ26" i="44" s="1"/>
  <c r="AX27" i="44"/>
  <c r="AY27" i="43"/>
  <c r="AX28" i="43"/>
  <c r="AY27" i="40"/>
  <c r="AZ27" i="40" s="1"/>
  <c r="AX28" i="40"/>
  <c r="AO31" i="51"/>
  <c r="AP31" i="51" s="1"/>
  <c r="AP29" i="51"/>
  <c r="AP30" i="47"/>
  <c r="AO31" i="47"/>
  <c r="AP31" i="47" s="1"/>
  <c r="AP34" i="46"/>
  <c r="AO35" i="46"/>
  <c r="AP35" i="46" s="1"/>
  <c r="AO35" i="45"/>
  <c r="AP35" i="45" s="1"/>
  <c r="AP34" i="45"/>
  <c r="AO32" i="53"/>
  <c r="AP31" i="53"/>
  <c r="AP30" i="50"/>
  <c r="AP31" i="43"/>
  <c r="AP31" i="40"/>
  <c r="AY27" i="42" l="1"/>
  <c r="AX28" i="42"/>
  <c r="AX28" i="41"/>
  <c r="AY27" i="41"/>
  <c r="AZ27" i="41" s="1"/>
  <c r="AY27" i="54"/>
  <c r="AX28" i="54"/>
  <c r="AY27" i="53"/>
  <c r="AX28" i="53"/>
  <c r="AY27" i="52"/>
  <c r="AZ27" i="52" s="1"/>
  <c r="AX28" i="52"/>
  <c r="AY28" i="51"/>
  <c r="AZ28" i="51" s="1"/>
  <c r="AX29" i="51"/>
  <c r="AY27" i="50"/>
  <c r="AX28" i="50"/>
  <c r="AY28" i="49"/>
  <c r="AX29" i="49"/>
  <c r="AY28" i="48"/>
  <c r="AZ28" i="48" s="1"/>
  <c r="AX29" i="48"/>
  <c r="AY28" i="47"/>
  <c r="AX29" i="47"/>
  <c r="AY28" i="46"/>
  <c r="AZ28" i="46" s="1"/>
  <c r="AX29" i="46"/>
  <c r="AY28" i="45"/>
  <c r="AZ28" i="45" s="1"/>
  <c r="AX29" i="45"/>
  <c r="AY27" i="44"/>
  <c r="AX28" i="44"/>
  <c r="AY28" i="43"/>
  <c r="AZ28" i="43" s="1"/>
  <c r="AX29" i="43"/>
  <c r="AX29" i="40"/>
  <c r="AY28" i="40"/>
  <c r="AO32" i="51"/>
  <c r="AP32" i="51" s="1"/>
  <c r="AP32" i="53"/>
  <c r="AP31" i="49"/>
  <c r="AP33" i="40"/>
  <c r="AP35" i="40"/>
  <c r="AY28" i="42" l="1"/>
  <c r="AZ28" i="42" s="1"/>
  <c r="AX29" i="42"/>
  <c r="AX29" i="41"/>
  <c r="AY28" i="41"/>
  <c r="AZ28" i="41" s="1"/>
  <c r="AX29" i="54"/>
  <c r="AY28" i="54"/>
  <c r="AZ28" i="54" s="1"/>
  <c r="AY28" i="53"/>
  <c r="AZ28" i="53" s="1"/>
  <c r="AX29" i="53"/>
  <c r="AY28" i="52"/>
  <c r="AX29" i="52"/>
  <c r="AY29" i="51"/>
  <c r="AZ29" i="51" s="1"/>
  <c r="AX30" i="51"/>
  <c r="AY28" i="50"/>
  <c r="AZ28" i="50" s="1"/>
  <c r="AX29" i="50"/>
  <c r="AY29" i="49"/>
  <c r="AZ29" i="49" s="1"/>
  <c r="AX30" i="49"/>
  <c r="AY29" i="48"/>
  <c r="AX30" i="48"/>
  <c r="AY29" i="47"/>
  <c r="AZ29" i="47" s="1"/>
  <c r="AX30" i="47"/>
  <c r="AY29" i="46"/>
  <c r="AX30" i="46"/>
  <c r="AY29" i="45"/>
  <c r="AX30" i="45"/>
  <c r="AY28" i="44"/>
  <c r="AZ28" i="44" s="1"/>
  <c r="AX29" i="44"/>
  <c r="AY29" i="43"/>
  <c r="AZ29" i="43" s="1"/>
  <c r="AX30" i="43"/>
  <c r="AY29" i="40"/>
  <c r="AZ29" i="40" s="1"/>
  <c r="AX30" i="40"/>
  <c r="AP32" i="50"/>
  <c r="AP33" i="43"/>
  <c r="AY29" i="42" l="1"/>
  <c r="AZ29" i="42" s="1"/>
  <c r="AX30" i="42"/>
  <c r="AX30" i="41"/>
  <c r="AY29" i="41"/>
  <c r="AX30" i="54"/>
  <c r="AY29" i="54"/>
  <c r="AZ29" i="54" s="1"/>
  <c r="AY29" i="53"/>
  <c r="AZ29" i="53" s="1"/>
  <c r="AX30" i="53"/>
  <c r="AY29" i="52"/>
  <c r="AZ29" i="52" s="1"/>
  <c r="AX30" i="52"/>
  <c r="AY30" i="51"/>
  <c r="AX31" i="51"/>
  <c r="AY29" i="50"/>
  <c r="AX30" i="50"/>
  <c r="AY30" i="49"/>
  <c r="AX31" i="49"/>
  <c r="AY30" i="48"/>
  <c r="AZ30" i="48" s="1"/>
  <c r="AX31" i="48"/>
  <c r="AY30" i="47"/>
  <c r="AZ30" i="47" s="1"/>
  <c r="AX31" i="47"/>
  <c r="AY30" i="46"/>
  <c r="AZ30" i="46" s="1"/>
  <c r="AX31" i="46"/>
  <c r="AY30" i="45"/>
  <c r="AZ30" i="45" s="1"/>
  <c r="AX31" i="45"/>
  <c r="AX30" i="44"/>
  <c r="AY29" i="44"/>
  <c r="AZ29" i="44" s="1"/>
  <c r="AY30" i="43"/>
  <c r="AX31" i="43"/>
  <c r="AY30" i="40"/>
  <c r="AX31" i="40"/>
  <c r="AP34" i="50"/>
  <c r="AP33" i="49"/>
  <c r="AO34" i="49"/>
  <c r="AP34" i="43"/>
  <c r="AY30" i="42" l="1"/>
  <c r="AX31" i="42"/>
  <c r="AX31" i="41"/>
  <c r="AY30" i="41"/>
  <c r="AZ30" i="41" s="1"/>
  <c r="AY30" i="54"/>
  <c r="AX31" i="54"/>
  <c r="AY30" i="53"/>
  <c r="AX31" i="53"/>
  <c r="AY30" i="52"/>
  <c r="AX31" i="52"/>
  <c r="AY31" i="51"/>
  <c r="AZ31" i="51" s="1"/>
  <c r="AX32" i="51"/>
  <c r="AY30" i="50"/>
  <c r="AZ30" i="50" s="1"/>
  <c r="AX31" i="50"/>
  <c r="AY31" i="49"/>
  <c r="AZ31" i="49" s="1"/>
  <c r="AX32" i="49"/>
  <c r="AY31" i="48"/>
  <c r="AZ31" i="48" s="1"/>
  <c r="AX32" i="48"/>
  <c r="AY32" i="48" s="1"/>
  <c r="AY31" i="47"/>
  <c r="AZ31" i="47" s="1"/>
  <c r="AX32" i="47"/>
  <c r="AY32" i="47" s="1"/>
  <c r="AY31" i="46"/>
  <c r="AX32" i="46"/>
  <c r="AY31" i="45"/>
  <c r="AX32" i="45"/>
  <c r="AX31" i="44"/>
  <c r="AY30" i="44"/>
  <c r="AY31" i="43"/>
  <c r="AZ31" i="43" s="1"/>
  <c r="AX32" i="43"/>
  <c r="AY31" i="40"/>
  <c r="AZ31" i="40" s="1"/>
  <c r="AX32" i="40"/>
  <c r="AP34" i="49"/>
  <c r="AY31" i="42" l="1"/>
  <c r="AZ31" i="42" s="1"/>
  <c r="AX32" i="42"/>
  <c r="AY32" i="42" s="1"/>
  <c r="AX32" i="41"/>
  <c r="AY31" i="41"/>
  <c r="AY31" i="54"/>
  <c r="AZ31" i="54" s="1"/>
  <c r="AX32" i="54"/>
  <c r="AY31" i="53"/>
  <c r="AZ31" i="53" s="1"/>
  <c r="AX32" i="53"/>
  <c r="AY31" i="52"/>
  <c r="AZ31" i="52" s="1"/>
  <c r="AX32" i="52"/>
  <c r="AY32" i="51"/>
  <c r="AZ32" i="51" s="1"/>
  <c r="AX33" i="51"/>
  <c r="AY33" i="51" s="1"/>
  <c r="AY31" i="50"/>
  <c r="AX32" i="50"/>
  <c r="AY32" i="49"/>
  <c r="AX33" i="49"/>
  <c r="AY32" i="46"/>
  <c r="AZ32" i="46" s="1"/>
  <c r="AX33" i="46"/>
  <c r="AY32" i="45"/>
  <c r="AZ32" i="45" s="1"/>
  <c r="AX33" i="45"/>
  <c r="AY31" i="44"/>
  <c r="AZ31" i="44" s="1"/>
  <c r="AX32" i="44"/>
  <c r="AY32" i="43"/>
  <c r="AX33" i="43"/>
  <c r="AY32" i="40"/>
  <c r="AX33" i="40"/>
  <c r="F13" i="3"/>
  <c r="AQ13" i="3" s="1"/>
  <c r="AR13" i="3" s="1"/>
  <c r="AS13" i="3" s="1"/>
  <c r="AW13" i="3" s="1"/>
  <c r="AX13" i="3" s="1"/>
  <c r="AY13" i="3" s="1"/>
  <c r="X14" i="3"/>
  <c r="P35" i="3"/>
  <c r="R35" i="3"/>
  <c r="S35" i="3" s="1"/>
  <c r="X35" i="3"/>
  <c r="AD35" i="3"/>
  <c r="P36" i="3"/>
  <c r="R36" i="3"/>
  <c r="S36" i="3" s="1"/>
  <c r="X36" i="3"/>
  <c r="AD36" i="3"/>
  <c r="AX33" i="41" l="1"/>
  <c r="AY32" i="41"/>
  <c r="AZ32" i="41" s="1"/>
  <c r="AY32" i="54"/>
  <c r="AZ32" i="54" s="1"/>
  <c r="AX33" i="54"/>
  <c r="AY33" i="54" s="1"/>
  <c r="AY32" i="53"/>
  <c r="AZ32" i="53" s="1"/>
  <c r="AX33" i="53"/>
  <c r="AY33" i="53" s="1"/>
  <c r="AY32" i="52"/>
  <c r="AX33" i="52"/>
  <c r="AY32" i="50"/>
  <c r="AZ32" i="50" s="1"/>
  <c r="AX33" i="50"/>
  <c r="AY33" i="49"/>
  <c r="AZ33" i="49" s="1"/>
  <c r="AX34" i="49"/>
  <c r="AY33" i="46"/>
  <c r="AX34" i="46"/>
  <c r="AY33" i="45"/>
  <c r="AX34" i="45"/>
  <c r="AY32" i="44"/>
  <c r="AX33" i="44"/>
  <c r="AY33" i="43"/>
  <c r="AZ33" i="43" s="1"/>
  <c r="AX34" i="43"/>
  <c r="X13" i="3"/>
  <c r="Z13" i="3" s="1"/>
  <c r="AF13" i="3" s="1"/>
  <c r="V35" i="3"/>
  <c r="Z36" i="3"/>
  <c r="AX34" i="40"/>
  <c r="AY33" i="40"/>
  <c r="AZ33" i="40" s="1"/>
  <c r="AF36" i="3"/>
  <c r="AF35" i="3"/>
  <c r="Z35" i="3"/>
  <c r="U36" i="3"/>
  <c r="AA36" i="3" s="1"/>
  <c r="V36" i="3"/>
  <c r="AH36" i="3" s="1"/>
  <c r="T36" i="3"/>
  <c r="U35" i="3"/>
  <c r="T35" i="3"/>
  <c r="R34" i="3"/>
  <c r="T34" i="3" s="1"/>
  <c r="R32" i="3"/>
  <c r="S32" i="3" s="1"/>
  <c r="R33" i="3"/>
  <c r="S33" i="3" s="1"/>
  <c r="R31" i="3"/>
  <c r="R30" i="3"/>
  <c r="V30" i="3" s="1"/>
  <c r="R29" i="3"/>
  <c r="R28" i="3"/>
  <c r="V28" i="3" s="1"/>
  <c r="R27" i="3"/>
  <c r="R26" i="3"/>
  <c r="V26" i="3" s="1"/>
  <c r="R25" i="3"/>
  <c r="R24" i="3"/>
  <c r="V24" i="3" s="1"/>
  <c r="R23" i="3"/>
  <c r="R22" i="3"/>
  <c r="V22" i="3" s="1"/>
  <c r="R21" i="3"/>
  <c r="R19" i="3"/>
  <c r="V19" i="3" s="1"/>
  <c r="R18" i="3"/>
  <c r="R17" i="3"/>
  <c r="V17" i="3" s="1"/>
  <c r="R16" i="3"/>
  <c r="R15" i="3"/>
  <c r="V15" i="3" s="1"/>
  <c r="R14" i="3"/>
  <c r="W13" i="3"/>
  <c r="AX34" i="41" l="1"/>
  <c r="AY33" i="41"/>
  <c r="AY33" i="52"/>
  <c r="AZ33" i="52" s="1"/>
  <c r="AX34" i="52"/>
  <c r="AX34" i="50"/>
  <c r="AY33" i="50"/>
  <c r="AY34" i="49"/>
  <c r="AZ34" i="49" s="1"/>
  <c r="AX35" i="49"/>
  <c r="AY35" i="49" s="1"/>
  <c r="AY34" i="46"/>
  <c r="AZ34" i="46" s="1"/>
  <c r="AX35" i="46"/>
  <c r="AY34" i="45"/>
  <c r="AZ34" i="45" s="1"/>
  <c r="AX35" i="45"/>
  <c r="AX34" i="44"/>
  <c r="AY33" i="44"/>
  <c r="AZ33" i="44" s="1"/>
  <c r="AY34" i="43"/>
  <c r="AZ34" i="43" s="1"/>
  <c r="AX35" i="43"/>
  <c r="AY35" i="43" s="1"/>
  <c r="AB13" i="3"/>
  <c r="AH13" i="3" s="1"/>
  <c r="AD13" i="3"/>
  <c r="U34" i="3"/>
  <c r="AT35" i="3"/>
  <c r="AU35" i="3" s="1"/>
  <c r="AV35" i="3" s="1"/>
  <c r="AQ35" i="3"/>
  <c r="AR35" i="3" s="1"/>
  <c r="AS35" i="3" s="1"/>
  <c r="AH35" i="3"/>
  <c r="AB35" i="3"/>
  <c r="V33" i="3"/>
  <c r="U33" i="3"/>
  <c r="AQ36" i="3"/>
  <c r="AR36" i="3" s="1"/>
  <c r="AS36" i="3" s="1"/>
  <c r="AT36" i="3"/>
  <c r="AU36" i="3" s="1"/>
  <c r="AV36" i="3" s="1"/>
  <c r="AA13" i="3"/>
  <c r="AG13" i="3" s="1"/>
  <c r="S34" i="3"/>
  <c r="Y13" i="3"/>
  <c r="AE13" i="3" s="1"/>
  <c r="AT34" i="3"/>
  <c r="AU34" i="3" s="1"/>
  <c r="AV34" i="3" s="1"/>
  <c r="AQ34" i="3"/>
  <c r="AR34" i="3" s="1"/>
  <c r="AS34" i="3" s="1"/>
  <c r="AY34" i="40"/>
  <c r="AX35" i="40"/>
  <c r="V14" i="3"/>
  <c r="U14" i="3"/>
  <c r="T14" i="3"/>
  <c r="S14" i="3"/>
  <c r="W14" i="3" s="1"/>
  <c r="V16" i="3"/>
  <c r="U16" i="3"/>
  <c r="T16" i="3"/>
  <c r="S16" i="3"/>
  <c r="V18" i="3"/>
  <c r="U18" i="3"/>
  <c r="T18" i="3"/>
  <c r="S18" i="3"/>
  <c r="V21" i="3"/>
  <c r="U21" i="3"/>
  <c r="T21" i="3"/>
  <c r="S21" i="3"/>
  <c r="W21" i="3" s="1"/>
  <c r="V23" i="3"/>
  <c r="U23" i="3"/>
  <c r="T23" i="3"/>
  <c r="S23" i="3"/>
  <c r="V25" i="3"/>
  <c r="U25" i="3"/>
  <c r="T25" i="3"/>
  <c r="S25" i="3"/>
  <c r="V27" i="3"/>
  <c r="U27" i="3"/>
  <c r="T27" i="3"/>
  <c r="S27" i="3"/>
  <c r="W27" i="3" s="1"/>
  <c r="V29" i="3"/>
  <c r="U29" i="3"/>
  <c r="T29" i="3"/>
  <c r="S29" i="3"/>
  <c r="V31" i="3"/>
  <c r="U31" i="3"/>
  <c r="T31" i="3"/>
  <c r="S31" i="3"/>
  <c r="AE35" i="3"/>
  <c r="AI35" i="3" s="1"/>
  <c r="Y35" i="3"/>
  <c r="AA35" i="3"/>
  <c r="AG35" i="3"/>
  <c r="Y36" i="3"/>
  <c r="AC36" i="3" s="1"/>
  <c r="AG36" i="3"/>
  <c r="W35" i="3"/>
  <c r="W36" i="3"/>
  <c r="AB36" i="3"/>
  <c r="AE36" i="3"/>
  <c r="AI36" i="3" s="1"/>
  <c r="V34" i="3"/>
  <c r="T33" i="3"/>
  <c r="V32" i="3"/>
  <c r="U32" i="3"/>
  <c r="T32" i="3"/>
  <c r="S15" i="3"/>
  <c r="S17" i="3"/>
  <c r="S19" i="3"/>
  <c r="S22" i="3"/>
  <c r="S24" i="3"/>
  <c r="S26" i="3"/>
  <c r="S28" i="3"/>
  <c r="S30" i="3"/>
  <c r="T15" i="3"/>
  <c r="T17" i="3"/>
  <c r="T19" i="3"/>
  <c r="T22" i="3"/>
  <c r="T24" i="3"/>
  <c r="T26" i="3"/>
  <c r="T28" i="3"/>
  <c r="T30" i="3"/>
  <c r="U15" i="3"/>
  <c r="U17" i="3"/>
  <c r="U19" i="3"/>
  <c r="U22" i="3"/>
  <c r="U24" i="3"/>
  <c r="U26" i="3"/>
  <c r="U28" i="3"/>
  <c r="U30" i="3"/>
  <c r="AX35" i="41" l="1"/>
  <c r="AY35" i="41" s="1"/>
  <c r="AY34" i="41"/>
  <c r="AZ34" i="41" s="1"/>
  <c r="W16" i="3"/>
  <c r="W29" i="3"/>
  <c r="W23" i="3"/>
  <c r="AY34" i="52"/>
  <c r="AX35" i="52"/>
  <c r="AY34" i="50"/>
  <c r="AZ34" i="50" s="1"/>
  <c r="AX35" i="50"/>
  <c r="AY35" i="46"/>
  <c r="AZ35" i="46" s="1"/>
  <c r="AX36" i="46"/>
  <c r="AY36" i="46" s="1"/>
  <c r="AY35" i="45"/>
  <c r="AZ35" i="45" s="1"/>
  <c r="AX36" i="45"/>
  <c r="AY36" i="45" s="1"/>
  <c r="AY34" i="44"/>
  <c r="AX35" i="44"/>
  <c r="AW35" i="3"/>
  <c r="AT23" i="3"/>
  <c r="AU23" i="3" s="1"/>
  <c r="AV23" i="3" s="1"/>
  <c r="AQ23" i="3"/>
  <c r="AR23" i="3" s="1"/>
  <c r="AS23" i="3" s="1"/>
  <c r="AT28" i="3"/>
  <c r="AU28" i="3" s="1"/>
  <c r="AV28" i="3" s="1"/>
  <c r="AQ28" i="3"/>
  <c r="AR28" i="3" s="1"/>
  <c r="AS28" i="3" s="1"/>
  <c r="AT24" i="3"/>
  <c r="AU24" i="3" s="1"/>
  <c r="AV24" i="3" s="1"/>
  <c r="AQ24" i="3"/>
  <c r="AR24" i="3" s="1"/>
  <c r="AS24" i="3" s="1"/>
  <c r="AT27" i="3"/>
  <c r="AU27" i="3" s="1"/>
  <c r="AV27" i="3" s="1"/>
  <c r="AQ27" i="3"/>
  <c r="AR27" i="3" s="1"/>
  <c r="AS27" i="3" s="1"/>
  <c r="AT22" i="3"/>
  <c r="AU22" i="3" s="1"/>
  <c r="AV22" i="3" s="1"/>
  <c r="AQ22" i="3"/>
  <c r="AR22" i="3" s="1"/>
  <c r="AS22" i="3" s="1"/>
  <c r="AT21" i="3"/>
  <c r="AU21" i="3" s="1"/>
  <c r="AV21" i="3" s="1"/>
  <c r="AQ21" i="3"/>
  <c r="AR21" i="3" s="1"/>
  <c r="AS21" i="3" s="1"/>
  <c r="AQ19" i="3"/>
  <c r="AR19" i="3" s="1"/>
  <c r="AS19" i="3" s="1"/>
  <c r="AT19" i="3"/>
  <c r="AU19" i="3" s="1"/>
  <c r="AV19" i="3" s="1"/>
  <c r="AQ29" i="3"/>
  <c r="AR29" i="3" s="1"/>
  <c r="AS29" i="3" s="1"/>
  <c r="AT29" i="3"/>
  <c r="AU29" i="3" s="1"/>
  <c r="AV29" i="3" s="1"/>
  <c r="W32" i="3"/>
  <c r="AT32" i="3"/>
  <c r="AU32" i="3" s="1"/>
  <c r="AV32" i="3" s="1"/>
  <c r="AQ32" i="3"/>
  <c r="AR32" i="3" s="1"/>
  <c r="AS32" i="3" s="1"/>
  <c r="AT14" i="3"/>
  <c r="AU14" i="3" s="1"/>
  <c r="AV14" i="3" s="1"/>
  <c r="AQ14" i="3"/>
  <c r="AR14" i="3" s="1"/>
  <c r="AS14" i="3" s="1"/>
  <c r="AW14" i="3" s="1"/>
  <c r="AX14" i="3" s="1"/>
  <c r="AY14" i="3" s="1"/>
  <c r="AT17" i="3"/>
  <c r="AU17" i="3" s="1"/>
  <c r="AV17" i="3" s="1"/>
  <c r="AQ17" i="3"/>
  <c r="AR17" i="3" s="1"/>
  <c r="AS17" i="3" s="1"/>
  <c r="AW36" i="3"/>
  <c r="AT30" i="3"/>
  <c r="AU30" i="3" s="1"/>
  <c r="AV30" i="3" s="1"/>
  <c r="AQ30" i="3"/>
  <c r="AR30" i="3" s="1"/>
  <c r="AS30" i="3" s="1"/>
  <c r="AT26" i="3"/>
  <c r="AU26" i="3" s="1"/>
  <c r="AV26" i="3" s="1"/>
  <c r="AQ26" i="3"/>
  <c r="AR26" i="3" s="1"/>
  <c r="AS26" i="3" s="1"/>
  <c r="AQ15" i="3"/>
  <c r="AR15" i="3" s="1"/>
  <c r="AS15" i="3" s="1"/>
  <c r="AT15" i="3"/>
  <c r="AU15" i="3" s="1"/>
  <c r="AV15" i="3" s="1"/>
  <c r="W33" i="3"/>
  <c r="AT33" i="3"/>
  <c r="AU33" i="3" s="1"/>
  <c r="AV33" i="3" s="1"/>
  <c r="AW34" i="3" s="1"/>
  <c r="AQ33" i="3"/>
  <c r="AR33" i="3" s="1"/>
  <c r="AS33" i="3" s="1"/>
  <c r="AW33" i="3" s="1"/>
  <c r="W31" i="3"/>
  <c r="W25" i="3"/>
  <c r="W18" i="3"/>
  <c r="AC13" i="3"/>
  <c r="AI13" i="3" s="1"/>
  <c r="W34" i="3"/>
  <c r="AT31" i="3"/>
  <c r="AU31" i="3" s="1"/>
  <c r="AV31" i="3" s="1"/>
  <c r="AQ31" i="3"/>
  <c r="AR31" i="3" s="1"/>
  <c r="AS31" i="3" s="1"/>
  <c r="AT25" i="3"/>
  <c r="AU25" i="3" s="1"/>
  <c r="AV25" i="3" s="1"/>
  <c r="AQ25" i="3"/>
  <c r="AR25" i="3" s="1"/>
  <c r="AS25" i="3" s="1"/>
  <c r="AT18" i="3"/>
  <c r="AU18" i="3" s="1"/>
  <c r="AV18" i="3" s="1"/>
  <c r="AQ18" i="3"/>
  <c r="AR18" i="3" s="1"/>
  <c r="AS18" i="3" s="1"/>
  <c r="AQ16" i="3"/>
  <c r="AR16" i="3" s="1"/>
  <c r="AS16" i="3" s="1"/>
  <c r="AW16" i="3" s="1"/>
  <c r="BA16" i="3" s="1"/>
  <c r="AT16" i="3"/>
  <c r="AU16" i="3" s="1"/>
  <c r="AV16" i="3" s="1"/>
  <c r="AY35" i="40"/>
  <c r="AZ35" i="40" s="1"/>
  <c r="AX36" i="40"/>
  <c r="AY36" i="40" s="1"/>
  <c r="AL13" i="3"/>
  <c r="AN13" i="3" s="1"/>
  <c r="AK13" i="3"/>
  <c r="AM13" i="3" s="1"/>
  <c r="W19" i="3"/>
  <c r="AC35" i="3"/>
  <c r="W30" i="3"/>
  <c r="W28" i="3"/>
  <c r="W26" i="3"/>
  <c r="W24" i="3"/>
  <c r="W22" i="3"/>
  <c r="W17" i="3"/>
  <c r="W15" i="3"/>
  <c r="AY35" i="52" l="1"/>
  <c r="AZ35" i="52" s="1"/>
  <c r="AX36" i="52"/>
  <c r="AY36" i="52" s="1"/>
  <c r="AY35" i="50"/>
  <c r="AX36" i="50"/>
  <c r="AY35" i="44"/>
  <c r="AZ35" i="44" s="1"/>
  <c r="AX36" i="44"/>
  <c r="AY36" i="44" s="1"/>
  <c r="AW22" i="3"/>
  <c r="BA22" i="3" s="1"/>
  <c r="AW30" i="3"/>
  <c r="BA30" i="3" s="1"/>
  <c r="AW29" i="3"/>
  <c r="AW25" i="3"/>
  <c r="AW24" i="3"/>
  <c r="BA24" i="3" s="1"/>
  <c r="AW31" i="3"/>
  <c r="BA36" i="3"/>
  <c r="AW18" i="3"/>
  <c r="AW27" i="3"/>
  <c r="BA34" i="3"/>
  <c r="AW17" i="3"/>
  <c r="AW32" i="3"/>
  <c r="AW15" i="3"/>
  <c r="AX15" i="3" s="1"/>
  <c r="AY15" i="3" s="1"/>
  <c r="AW26" i="3"/>
  <c r="AW28" i="3"/>
  <c r="AW23" i="3"/>
  <c r="AW19" i="3"/>
  <c r="AJ13" i="3"/>
  <c r="AO13" i="3" s="1"/>
  <c r="AP13" i="3" s="1"/>
  <c r="AZ13" i="3" s="1"/>
  <c r="AY36" i="50" l="1"/>
  <c r="AZ36" i="50" s="1"/>
  <c r="AX37" i="50"/>
  <c r="AY37" i="50" s="1"/>
  <c r="BA28" i="3"/>
  <c r="BA26" i="3"/>
  <c r="BA18" i="3"/>
  <c r="AX16" i="3"/>
  <c r="AY16" i="3" s="1"/>
  <c r="BA32" i="3"/>
  <c r="X29" i="3"/>
  <c r="Y29" i="3" s="1"/>
  <c r="AD29" i="3"/>
  <c r="AE29" i="3" s="1"/>
  <c r="X30" i="3"/>
  <c r="Y30" i="3" s="1"/>
  <c r="AD30" i="3"/>
  <c r="AE30" i="3" s="1"/>
  <c r="X31" i="3"/>
  <c r="Y31" i="3" s="1"/>
  <c r="AD31" i="3"/>
  <c r="AH31" i="3" s="1"/>
  <c r="X32" i="3"/>
  <c r="AB32" i="3" s="1"/>
  <c r="AD32" i="3"/>
  <c r="AE32" i="3" s="1"/>
  <c r="X33" i="3"/>
  <c r="AA33" i="3" s="1"/>
  <c r="AD33" i="3"/>
  <c r="AE33" i="3" s="1"/>
  <c r="X34" i="3"/>
  <c r="Y34" i="3" s="1"/>
  <c r="AD34" i="3"/>
  <c r="AE34" i="3" s="1"/>
  <c r="AL35" i="3" s="1"/>
  <c r="P29" i="3"/>
  <c r="P30" i="3"/>
  <c r="P31" i="3"/>
  <c r="P32" i="3"/>
  <c r="P33" i="3"/>
  <c r="P34" i="3"/>
  <c r="AD15" i="3"/>
  <c r="AD16" i="3"/>
  <c r="AD17" i="3"/>
  <c r="AD18" i="3"/>
  <c r="AD19" i="3"/>
  <c r="AD21" i="3"/>
  <c r="AD22" i="3"/>
  <c r="AD23" i="3"/>
  <c r="AD24" i="3"/>
  <c r="AD25" i="3"/>
  <c r="AD26" i="3"/>
  <c r="AD27" i="3"/>
  <c r="AD28" i="3"/>
  <c r="AD14" i="3"/>
  <c r="Y14" i="3"/>
  <c r="AL14" i="3" s="1"/>
  <c r="AN14" i="3" s="1"/>
  <c r="P14" i="3"/>
  <c r="P15" i="3"/>
  <c r="P16" i="3"/>
  <c r="P17" i="3"/>
  <c r="P18" i="3"/>
  <c r="P19" i="3"/>
  <c r="P21" i="3"/>
  <c r="P22" i="3"/>
  <c r="P23" i="3"/>
  <c r="P24" i="3"/>
  <c r="P25" i="3"/>
  <c r="P26" i="3"/>
  <c r="P27" i="3"/>
  <c r="P28" i="3"/>
  <c r="P13" i="3"/>
  <c r="X15" i="3"/>
  <c r="X16" i="3"/>
  <c r="X17" i="3"/>
  <c r="X18" i="3"/>
  <c r="X19" i="3"/>
  <c r="X21" i="3"/>
  <c r="X22" i="3"/>
  <c r="X23" i="3"/>
  <c r="X24" i="3"/>
  <c r="X25" i="3"/>
  <c r="X26" i="3"/>
  <c r="X27" i="3"/>
  <c r="X28" i="3"/>
  <c r="AX17" i="3" l="1"/>
  <c r="AL31" i="3"/>
  <c r="Q13" i="3"/>
  <c r="Q36" i="3"/>
  <c r="Q35" i="3"/>
  <c r="AG34" i="3"/>
  <c r="AK35" i="3" s="1"/>
  <c r="BA35" i="3" s="1"/>
  <c r="Q30" i="3"/>
  <c r="Q29" i="3"/>
  <c r="Q28" i="3"/>
  <c r="Z33" i="3"/>
  <c r="Y33" i="3"/>
  <c r="Q32" i="3"/>
  <c r="AH29" i="3"/>
  <c r="Q31" i="3"/>
  <c r="AG31" i="3"/>
  <c r="AE31" i="3"/>
  <c r="Q33" i="3"/>
  <c r="AA32" i="3"/>
  <c r="Q34" i="3"/>
  <c r="AH34" i="3"/>
  <c r="AF31" i="3"/>
  <c r="AF34" i="3"/>
  <c r="AI34" i="3" s="1"/>
  <c r="AJ35" i="3" s="1"/>
  <c r="Z32" i="3"/>
  <c r="AH30" i="3"/>
  <c r="AG30" i="3"/>
  <c r="AF30" i="3"/>
  <c r="AI30" i="3" s="1"/>
  <c r="Y32" i="3"/>
  <c r="AB31" i="3"/>
  <c r="AG29" i="3"/>
  <c r="AA31" i="3"/>
  <c r="AB30" i="3"/>
  <c r="AF29" i="3"/>
  <c r="AI29" i="3" s="1"/>
  <c r="Z31" i="3"/>
  <c r="AC31" i="3" s="1"/>
  <c r="AA30" i="3"/>
  <c r="AH33" i="3"/>
  <c r="Z30" i="3"/>
  <c r="AC30" i="3" s="1"/>
  <c r="AG33" i="3"/>
  <c r="AH32" i="3"/>
  <c r="AB29" i="3"/>
  <c r="AB34" i="3"/>
  <c r="AF33" i="3"/>
  <c r="AI33" i="3" s="1"/>
  <c r="AG32" i="3"/>
  <c r="AK33" i="3" s="1"/>
  <c r="AA29" i="3"/>
  <c r="AA34" i="3"/>
  <c r="AF32" i="3"/>
  <c r="AI32" i="3" s="1"/>
  <c r="Z29" i="3"/>
  <c r="AC29" i="3" s="1"/>
  <c r="Z34" i="3"/>
  <c r="AC34" i="3" s="1"/>
  <c r="AB33" i="3"/>
  <c r="AA14" i="3"/>
  <c r="AK14" i="3" s="1"/>
  <c r="BA14" i="3" s="1"/>
  <c r="AH14" i="3"/>
  <c r="AG14" i="3"/>
  <c r="AF14" i="3"/>
  <c r="AE14" i="3"/>
  <c r="AH28" i="3"/>
  <c r="AG28" i="3"/>
  <c r="AF28" i="3"/>
  <c r="AE28" i="3"/>
  <c r="AL29" i="3" s="1"/>
  <c r="AH27" i="3"/>
  <c r="AG27" i="3"/>
  <c r="AF27" i="3"/>
  <c r="AE27" i="3"/>
  <c r="AH26" i="3"/>
  <c r="AG26" i="3"/>
  <c r="AF26" i="3"/>
  <c r="AE26" i="3"/>
  <c r="AH25" i="3"/>
  <c r="AG25" i="3"/>
  <c r="AF25" i="3"/>
  <c r="AE25" i="3"/>
  <c r="AH24" i="3"/>
  <c r="AG24" i="3"/>
  <c r="AF24" i="3"/>
  <c r="AE24" i="3"/>
  <c r="AH23" i="3"/>
  <c r="AG23" i="3"/>
  <c r="AF23" i="3"/>
  <c r="AE23" i="3"/>
  <c r="AH22" i="3"/>
  <c r="AG22" i="3"/>
  <c r="AF22" i="3"/>
  <c r="AE22" i="3"/>
  <c r="AH21" i="3"/>
  <c r="AG21" i="3"/>
  <c r="AF21" i="3"/>
  <c r="AE21" i="3"/>
  <c r="AH19" i="3"/>
  <c r="AG19" i="3"/>
  <c r="AF19" i="3"/>
  <c r="AE19" i="3"/>
  <c r="AH18" i="3"/>
  <c r="AG18" i="3"/>
  <c r="AF18" i="3"/>
  <c r="AE18" i="3"/>
  <c r="AH17" i="3"/>
  <c r="AG17" i="3"/>
  <c r="AF17" i="3"/>
  <c r="AE17" i="3"/>
  <c r="AH16" i="3"/>
  <c r="AG16" i="3"/>
  <c r="AF16" i="3"/>
  <c r="AE16" i="3"/>
  <c r="AH15" i="3"/>
  <c r="AG15" i="3"/>
  <c r="AF15" i="3"/>
  <c r="AE15" i="3"/>
  <c r="Q27" i="3"/>
  <c r="Q26" i="3"/>
  <c r="Q25" i="3"/>
  <c r="Q24" i="3"/>
  <c r="Q23" i="3"/>
  <c r="Q22" i="3"/>
  <c r="Q21" i="3"/>
  <c r="Q19" i="3"/>
  <c r="Q18" i="3"/>
  <c r="Q17" i="3"/>
  <c r="Q16" i="3"/>
  <c r="Q15" i="3"/>
  <c r="Q14" i="3"/>
  <c r="AB14" i="3"/>
  <c r="Z14" i="3"/>
  <c r="AC14" i="3" s="1"/>
  <c r="AJ14" i="3" s="1"/>
  <c r="AO14" i="3" s="1"/>
  <c r="AP14" i="3" s="1"/>
  <c r="AZ14" i="3" s="1"/>
  <c r="AB28" i="3"/>
  <c r="AA28" i="3"/>
  <c r="Z28" i="3"/>
  <c r="Y28" i="3"/>
  <c r="AB27" i="3"/>
  <c r="AA27" i="3"/>
  <c r="Z27" i="3"/>
  <c r="Y27" i="3"/>
  <c r="AB26" i="3"/>
  <c r="AA26" i="3"/>
  <c r="Z26" i="3"/>
  <c r="Y26" i="3"/>
  <c r="AB25" i="3"/>
  <c r="AA25" i="3"/>
  <c r="Z25" i="3"/>
  <c r="Y25" i="3"/>
  <c r="AB24" i="3"/>
  <c r="AA24" i="3"/>
  <c r="Z24" i="3"/>
  <c r="Y24" i="3"/>
  <c r="AB23" i="3"/>
  <c r="AA23" i="3"/>
  <c r="Z23" i="3"/>
  <c r="Y23" i="3"/>
  <c r="AB22" i="3"/>
  <c r="AA22" i="3"/>
  <c r="Z22" i="3"/>
  <c r="Y22" i="3"/>
  <c r="AB21" i="3"/>
  <c r="AA21" i="3"/>
  <c r="Z21" i="3"/>
  <c r="Y21" i="3"/>
  <c r="AB19" i="3"/>
  <c r="AA19" i="3"/>
  <c r="Z19" i="3"/>
  <c r="Y19" i="3"/>
  <c r="AB18" i="3"/>
  <c r="AA18" i="3"/>
  <c r="Z18" i="3"/>
  <c r="Y18" i="3"/>
  <c r="AB17" i="3"/>
  <c r="AA17" i="3"/>
  <c r="Z17" i="3"/>
  <c r="Y17" i="3"/>
  <c r="AB16" i="3"/>
  <c r="AA16" i="3"/>
  <c r="Z16" i="3"/>
  <c r="Y16" i="3"/>
  <c r="AB15" i="3"/>
  <c r="AA15" i="3"/>
  <c r="Z15" i="3"/>
  <c r="Y15" i="3"/>
  <c r="AK17" i="3" l="1"/>
  <c r="AK15" i="3"/>
  <c r="AY17" i="3"/>
  <c r="AX18" i="3"/>
  <c r="AJ31" i="3"/>
  <c r="AK31" i="3"/>
  <c r="BA31" i="3" s="1"/>
  <c r="AL15" i="3"/>
  <c r="AN15" i="3" s="1"/>
  <c r="AM14" i="3"/>
  <c r="AM15" i="3" s="1"/>
  <c r="AK29" i="3"/>
  <c r="BA29" i="3" s="1"/>
  <c r="AC33" i="3"/>
  <c r="AJ33" i="3" s="1"/>
  <c r="AL33" i="3"/>
  <c r="BA33" i="3" s="1"/>
  <c r="AI31" i="3"/>
  <c r="AI16" i="3"/>
  <c r="AI19" i="3"/>
  <c r="AI23" i="3"/>
  <c r="AC16" i="3"/>
  <c r="AL23" i="3"/>
  <c r="AC26" i="3"/>
  <c r="AI14" i="3"/>
  <c r="AI17" i="3"/>
  <c r="AI21" i="3"/>
  <c r="AI24" i="3"/>
  <c r="AI27" i="3"/>
  <c r="AC18" i="3"/>
  <c r="AC22" i="3"/>
  <c r="AC32" i="3"/>
  <c r="AC28" i="3"/>
  <c r="AC24" i="3"/>
  <c r="AI26" i="3"/>
  <c r="AI15" i="3"/>
  <c r="AI18" i="3"/>
  <c r="AI22" i="3"/>
  <c r="AI25" i="3"/>
  <c r="AI28" i="3"/>
  <c r="AK27" i="3"/>
  <c r="AK19" i="3"/>
  <c r="AK23" i="3"/>
  <c r="AK25" i="3"/>
  <c r="AC15" i="3"/>
  <c r="AL17" i="3"/>
  <c r="BA17" i="3" s="1"/>
  <c r="AC17" i="3"/>
  <c r="AJ17" i="3" s="1"/>
  <c r="AL19" i="3"/>
  <c r="AC19" i="3"/>
  <c r="AC21" i="3"/>
  <c r="AC23" i="3"/>
  <c r="AL25" i="3"/>
  <c r="AC25" i="3"/>
  <c r="AL27" i="3"/>
  <c r="AC27" i="3"/>
  <c r="BA15" i="3" l="1"/>
  <c r="BA25" i="3"/>
  <c r="AJ27" i="3"/>
  <c r="AY18" i="3"/>
  <c r="AX19" i="3"/>
  <c r="BA23" i="3"/>
  <c r="BA19" i="3"/>
  <c r="BA27" i="3"/>
  <c r="BA21" i="3"/>
  <c r="AN17" i="3"/>
  <c r="AN19" i="3" s="1"/>
  <c r="AN21" i="3" s="1"/>
  <c r="AN23" i="3" s="1"/>
  <c r="AN25" i="3" s="1"/>
  <c r="AN27" i="3" s="1"/>
  <c r="AN29" i="3" s="1"/>
  <c r="AN31" i="3" s="1"/>
  <c r="AN33" i="3" s="1"/>
  <c r="AN35" i="3" s="1"/>
  <c r="AJ15" i="3"/>
  <c r="AO15" i="3" s="1"/>
  <c r="AP15" i="3" s="1"/>
  <c r="AZ15" i="3" s="1"/>
  <c r="AM17" i="3"/>
  <c r="AM19" i="3" s="1"/>
  <c r="AM21" i="3" s="1"/>
  <c r="AM23" i="3" s="1"/>
  <c r="AM25" i="3" s="1"/>
  <c r="AM27" i="3" s="1"/>
  <c r="AM29" i="3" s="1"/>
  <c r="AM31" i="3" s="1"/>
  <c r="AM33" i="3" s="1"/>
  <c r="AM35" i="3" s="1"/>
  <c r="AJ25" i="3"/>
  <c r="AJ19" i="3"/>
  <c r="AY19" i="3" l="1"/>
  <c r="AO17" i="3"/>
  <c r="AP17" i="3" s="1"/>
  <c r="AZ17" i="3" s="1"/>
  <c r="AY21" i="3" l="1"/>
  <c r="AX22" i="3"/>
  <c r="AO19" i="3"/>
  <c r="AP19" i="3" s="1"/>
  <c r="AZ19" i="3" s="1"/>
  <c r="AO21" i="3"/>
  <c r="AY22" i="3" l="1"/>
  <c r="AX23" i="3"/>
  <c r="AP21" i="3"/>
  <c r="AZ21" i="3" s="1"/>
  <c r="AO23" i="3"/>
  <c r="AY23" i="3" l="1"/>
  <c r="AX24" i="3"/>
  <c r="AP23" i="3"/>
  <c r="AO25" i="3"/>
  <c r="AZ23" i="3" l="1"/>
  <c r="AX25" i="3"/>
  <c r="AY24" i="3"/>
  <c r="AP25" i="3"/>
  <c r="AO27" i="3"/>
  <c r="AY25" i="3" l="1"/>
  <c r="AZ25" i="3" s="1"/>
  <c r="AX26" i="3"/>
  <c r="AO29" i="3"/>
  <c r="AP27" i="3"/>
  <c r="AY26" i="3" l="1"/>
  <c r="AX27" i="3"/>
  <c r="AO31" i="3"/>
  <c r="AP29" i="3"/>
  <c r="AY27" i="3" l="1"/>
  <c r="AZ27" i="3" s="1"/>
  <c r="AX28" i="3"/>
  <c r="AO33" i="3"/>
  <c r="AP31" i="3"/>
  <c r="AY28" i="3" l="1"/>
  <c r="AX29" i="3"/>
  <c r="AO35" i="3"/>
  <c r="AP35" i="3" s="1"/>
  <c r="AP33" i="3"/>
  <c r="AX30" i="3" l="1"/>
  <c r="AY29" i="3"/>
  <c r="AZ29" i="3" s="1"/>
  <c r="AY30" i="3" l="1"/>
  <c r="AX31" i="3"/>
  <c r="AY31" i="3" l="1"/>
  <c r="AZ31" i="3" s="1"/>
  <c r="AX32" i="3"/>
  <c r="AY32" i="3" l="1"/>
  <c r="AX33" i="3"/>
  <c r="AY33" i="3" l="1"/>
  <c r="AZ33" i="3" s="1"/>
  <c r="AX34" i="3"/>
  <c r="AY34" i="3" l="1"/>
  <c r="AX35" i="3"/>
  <c r="AY35" i="3" l="1"/>
  <c r="AZ35" i="3" s="1"/>
  <c r="AX36" i="3"/>
  <c r="AY3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tc={63321E54-59DA-4677-A90C-95F149E84779}</author>
  </authors>
  <commentList>
    <comment ref="D13" authorId="0" shapeId="0" xr:uid="{63321E54-59DA-4677-A90C-95F149E84779}">
      <text>
        <t>[Opmerkingenthread]
U kunt deze opmerkingenthread lezen in uw versie van Excel. Eventuele wijzigingen aan de thread gaan echter verloren als het bestand wordt geopend in een nieuwere versie van Excel. Meer informatie: https://go.microsoft.com/fwlink/?linkid=870924
Opmerking:
    consider the hour of the measurement on that day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tc={246DDD80-AAC6-45C0-8B18-9E881575FF70}</author>
    <author>tc={C846B7F7-DF95-4B2A-B9C7-8383AEE6A0FE}</author>
    <author>tc={6BE7DF1A-86D8-4C2B-BDC3-91205977DC34}</author>
    <author>tc={335F8D1A-6FCE-456F-956C-7059DC3A93B7}</author>
    <author>tc={5E38B4C9-929E-48ED-9E1B-C6CA4C30FABB}</author>
    <author>tc={D14705D3-32DE-471E-AABC-8206C28E965E}</author>
  </authors>
  <commentList>
    <comment ref="E13" authorId="0" shapeId="0" xr:uid="{246DDD80-AAC6-45C0-8B18-9E881575FF70}">
      <text>
        <t>[Opmerkingenthread]
U kunt deze opmerkingenthread lezen in uw versie van Excel. Eventuele wijzigingen aan de thread gaan echter verloren als het bestand wordt geopend in een nieuwere versie van Excel. Meer informatie: https://go.microsoft.com/fwlink/?linkid=870924
Opmerking:
    consider the atmospheric pressure that day</t>
      </text>
    </comment>
    <comment ref="F13" authorId="1" shapeId="0" xr:uid="{C846B7F7-DF95-4B2A-B9C7-8383AEE6A0FE}">
      <text>
        <t>[Opmerkingenthread]
U kunt deze opmerkingenthread lezen in uw versie van Excel. Eventuele wijzigingen aan de thread gaan echter verloren als het bestand wordt geopend in een nieuwere versie van Excel. Meer informatie: https://go.microsoft.com/fwlink/?linkid=870924
Opmerking:
    consider an average of the pressure before the GC</t>
      </text>
    </comment>
    <comment ref="X13" authorId="2" shapeId="0" xr:uid="{6BE7DF1A-86D8-4C2B-BDC3-91205977DC34}">
      <text>
        <t>[Opmerkingenthread]
U kunt deze opmerkingenthread lezen in uw versie van Excel. Eventuele wijzigingen aan de thread gaan echter verloren als het bestand wordt geopend in een nieuwere versie van Excel. Meer informatie: https://go.microsoft.com/fwlink/?linkid=870924
Opmerking:
    you'll have the moles of gas before the GC</t>
      </text>
    </comment>
    <comment ref="Y13" authorId="3" shapeId="0" xr:uid="{335F8D1A-6FCE-456F-956C-7059DC3A93B7}">
      <text>
        <t>[Opmerkingenthread]
U kunt deze opmerkingenthread lezen in uw versie van Excel. Eventuele wijzigingen aan de thread gaan echter verloren als het bestand wordt geopend in een nieuwere versie van Excel. Meer informatie: https://go.microsoft.com/fwlink/?linkid=870924
Opmerking:
    with the gas composition, you'll have the moles of each gas</t>
      </text>
    </comment>
    <comment ref="AE13" authorId="4" shapeId="0" xr:uid="{5E38B4C9-929E-48ED-9E1B-C6CA4C30FABB}">
      <text>
        <t>[Opmerkingenthread]
U kunt deze opmerkingenthread lezen in uw versie van Excel. Eventuele wijzigingen aan de thread gaan echter verloren als het bestand wordt geopend in een nieuwere versie van Excel. Meer informatie: https://go.microsoft.com/fwlink/?linkid=870924
Opmerking:
    In this case the moles before and after are the same as we didn't took a sample for the GC the first day.</t>
      </text>
    </comment>
    <comment ref="AM14" authorId="5" shapeId="0" xr:uid="{D14705D3-32DE-471E-AABC-8206C28E965E}">
      <text>
        <t>[Opmerkingenthread]
U kunt deze opmerkingenthread lezen in uw versie van Excel. Eventuele wijzigingen aan de thread gaan echter verloren als het bestand wordt geopend in een nieuwere versie van Excel. Meer informatie: https://go.microsoft.com/fwlink/?linkid=870924
Opmerking:
    then, probably this value will be positive</t>
      </text>
    </comment>
  </commentList>
</comments>
</file>

<file path=xl/sharedStrings.xml><?xml version="1.0" encoding="utf-8"?>
<sst xmlns="http://schemas.openxmlformats.org/spreadsheetml/2006/main" count="2765" uniqueCount="135">
  <si>
    <t>Note</t>
  </si>
  <si>
    <t>Meaning</t>
  </si>
  <si>
    <t>anaerobic</t>
  </si>
  <si>
    <t>The measurement before the bottle was converted to aerobic conditions. Before that, the monster was measured by the GC</t>
  </si>
  <si>
    <t>start expiriment</t>
  </si>
  <si>
    <t xml:space="preserve">On that moment the bottle is converted tot aerobic conditions (read document for procedure). With some bottles there were some issues with opening the bottles so they started a day later than the first ones. </t>
  </si>
  <si>
    <t>Opend Bottle</t>
  </si>
  <si>
    <t xml:space="preserve">With the flush the bottles were alse opend before the flushing for 10 min. </t>
  </si>
  <si>
    <t>When flushing?</t>
  </si>
  <si>
    <t>When the CO2 level is above 3% or it is expected it is going over the 3% before next measurement. And when the O2 level is below ~10% (The O2 version was done from week 1, so not in week 0)</t>
  </si>
  <si>
    <t>GC stoped 28-4-2023</t>
  </si>
  <si>
    <t>Firday 19 and Monday 22 May</t>
  </si>
  <si>
    <t>The frequency of measuring three times a week is broken here because the faculty was closed on Friday because of a national free day. The first measurements was on Monday 22 may</t>
  </si>
  <si>
    <t>Fungus</t>
  </si>
  <si>
    <t>There was some fungus spotted in the bottle of the sample</t>
  </si>
  <si>
    <t>constant</t>
  </si>
  <si>
    <t>Rgas</t>
  </si>
  <si>
    <t>Lpa/Kmol</t>
  </si>
  <si>
    <t>expTemp</t>
  </si>
  <si>
    <t>K</t>
  </si>
  <si>
    <t>Vol headspace</t>
  </si>
  <si>
    <t xml:space="preserve">l  </t>
  </si>
  <si>
    <t>DIC=?</t>
  </si>
  <si>
    <t>DM ?</t>
  </si>
  <si>
    <t>MM_C</t>
  </si>
  <si>
    <t>g/mol</t>
  </si>
  <si>
    <t>?</t>
  </si>
  <si>
    <t>Molar Mass C</t>
  </si>
  <si>
    <t>Dissolved Inorganic C</t>
  </si>
  <si>
    <t>Dry Mass</t>
  </si>
  <si>
    <t xml:space="preserve">Water volume </t>
  </si>
  <si>
    <t>Dry mass sample</t>
  </si>
  <si>
    <t xml:space="preserve">g  </t>
  </si>
  <si>
    <t>Henryeff 20 °C</t>
  </si>
  <si>
    <t>for which liquid?</t>
  </si>
  <si>
    <t>What is m?</t>
  </si>
  <si>
    <t>b=before</t>
  </si>
  <si>
    <t>Partial Pressure..</t>
  </si>
  <si>
    <t>Calculations</t>
  </si>
  <si>
    <t>Time</t>
  </si>
  <si>
    <t>Correct concentration</t>
  </si>
  <si>
    <t>Moles before sampling</t>
  </si>
  <si>
    <t>Moles after sampling</t>
  </si>
  <si>
    <t>Moles produced</t>
  </si>
  <si>
    <t>Cumulative production in the gas phase</t>
  </si>
  <si>
    <t>C in the aqueous phase</t>
  </si>
  <si>
    <t>Sample ID</t>
  </si>
  <si>
    <t>Parallel</t>
  </si>
  <si>
    <t>Date</t>
  </si>
  <si>
    <t>P atm</t>
  </si>
  <si>
    <t>P sample before gc</t>
  </si>
  <si>
    <t>P sample after gc</t>
  </si>
  <si>
    <t>CH4</t>
  </si>
  <si>
    <t>CO2</t>
  </si>
  <si>
    <t>O2</t>
  </si>
  <si>
    <t>N2</t>
  </si>
  <si>
    <t>Flush (1=yes; 0=no)</t>
  </si>
  <si>
    <t>Comments</t>
  </si>
  <si>
    <t>GC method</t>
  </si>
  <si>
    <t>Weight</t>
  </si>
  <si>
    <t>Date + Time</t>
  </si>
  <si>
    <t>Day</t>
  </si>
  <si>
    <t>Sum</t>
  </si>
  <si>
    <t>CH4-corr</t>
  </si>
  <si>
    <t>CO2-corr</t>
  </si>
  <si>
    <t>O2-corr</t>
  </si>
  <si>
    <t>N2-corr</t>
  </si>
  <si>
    <t>Sum-corr</t>
  </si>
  <si>
    <t>mg_bs</t>
  </si>
  <si>
    <t>mCO2_b</t>
  </si>
  <si>
    <t xml:space="preserve">mCH4_b </t>
  </si>
  <si>
    <t xml:space="preserve">mO2_b </t>
  </si>
  <si>
    <t xml:space="preserve">mN2_b </t>
  </si>
  <si>
    <t xml:space="preserve">mCTot_b </t>
  </si>
  <si>
    <t xml:space="preserve">mg_as </t>
  </si>
  <si>
    <t xml:space="preserve">mCO2_a </t>
  </si>
  <si>
    <t xml:space="preserve">mCH4_a </t>
  </si>
  <si>
    <t xml:space="preserve">mO2_a </t>
  </si>
  <si>
    <t>mN2_a</t>
  </si>
  <si>
    <t xml:space="preserve">mCTot_a </t>
  </si>
  <si>
    <t xml:space="preserve">mCTot_produced </t>
  </si>
  <si>
    <t xml:space="preserve">O2 consumed </t>
  </si>
  <si>
    <t xml:space="preserve">CO2 produced </t>
  </si>
  <si>
    <t>O2 consumed_cum</t>
  </si>
  <si>
    <t xml:space="preserve">CO2 produced_ cum </t>
  </si>
  <si>
    <t>mCTot_produced_cum</t>
  </si>
  <si>
    <t xml:space="preserve">Cgas_DM_cum </t>
  </si>
  <si>
    <t>DIC_cum</t>
  </si>
  <si>
    <t xml:space="preserve">Ctot_DM </t>
  </si>
  <si>
    <t>Ratio O2/CO2</t>
  </si>
  <si>
    <t>hPa</t>
  </si>
  <si>
    <t>%</t>
  </si>
  <si>
    <t>g</t>
  </si>
  <si>
    <t xml:space="preserve">mol  </t>
  </si>
  <si>
    <t>mg C/gDW</t>
  </si>
  <si>
    <t>Pa</t>
  </si>
  <si>
    <t>mol/m3</t>
  </si>
  <si>
    <t>mol</t>
  </si>
  <si>
    <t>GT1</t>
  </si>
  <si>
    <t>LM</t>
  </si>
  <si>
    <t>Lm</t>
  </si>
  <si>
    <t xml:space="preserve">Funges </t>
  </si>
  <si>
    <t xml:space="preserve">Cgas_DM </t>
  </si>
  <si>
    <t>PP CO2_b (Pa)</t>
  </si>
  <si>
    <t xml:space="preserve">CO2_cum_aq </t>
  </si>
  <si>
    <t>GT2</t>
  </si>
  <si>
    <t xml:space="preserve">result </t>
  </si>
  <si>
    <t>result</t>
  </si>
  <si>
    <t>Gas phase</t>
  </si>
  <si>
    <t>aqueous phase</t>
  </si>
  <si>
    <t>Before the sampling</t>
  </si>
  <si>
    <t>After the sampling</t>
  </si>
  <si>
    <t xml:space="preserve">CO2_b_aq </t>
  </si>
  <si>
    <t>PP CO2_a (Pa)</t>
  </si>
  <si>
    <t xml:space="preserve">CO2_a_aq </t>
  </si>
  <si>
    <t xml:space="preserve">CO2_dissolved between timesteps_aq </t>
  </si>
  <si>
    <t>CO2_cum_aq</t>
  </si>
  <si>
    <t>GT3</t>
  </si>
  <si>
    <t>opend bottle &amp; flush</t>
  </si>
  <si>
    <t>opend bottle + flushed</t>
  </si>
  <si>
    <t>GT4</t>
  </si>
  <si>
    <t xml:space="preserve">start expiriment </t>
  </si>
  <si>
    <t>opend bottle</t>
  </si>
  <si>
    <t>GT5</t>
  </si>
  <si>
    <t>GT6</t>
  </si>
  <si>
    <t>GT7</t>
  </si>
  <si>
    <t>GT8</t>
  </si>
  <si>
    <t xml:space="preserve">Fungus </t>
  </si>
  <si>
    <t xml:space="preserve">GC stoped, was no longer able to use the day of Friday 28-40-2023. Many samples were flushed but were not then passed through the GC. In all previous measurements of all samples with the GC after flushing, the concentration levels were similar to those of the lab air. So it can be assumed the flushing went well and the bottle-air is the same as the lab air. The missing data is taken as the average of all the data that is measured (Pressure and gas composition) THe time is taken one minut after the previous one on the same day. </t>
  </si>
  <si>
    <t>GC Stopped</t>
  </si>
  <si>
    <t xml:space="preserve">GC stopped </t>
  </si>
  <si>
    <t>volume_headspace</t>
  </si>
  <si>
    <t>water_volume</t>
  </si>
  <si>
    <t>dry_mass_sample</t>
  </si>
  <si>
    <t>henryeff_20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</si>
</sst>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 h:mm;@"/>
    <numFmt numFmtId="165" formatCode="0.0"/>
  </numFmts>
  <fonts count="8" x14ac:knownFonts="1">
    <font>
      <sz val="11"/>
      <color theme="1"/>
      <name val="Calibri"/>
      <family val="2"/>
      <scheme val="minor"/>
    </font>
    <font>
      <b/>
      <sz val="11"/>
      <name val="Calibri"/>
      <family val="2"/>
    </font>
    <font>
      <b/>
      <sz val="11"/>
      <color rgb="FF000000"/>
      <name val="Calibri"/>
      <family val="2"/>
    </font>
    <font>
      <sz val="11"/>
      <color rgb="FF000000"/>
      <name val="Calibri"/>
      <family val="2"/>
      <charset val="1"/>
    </font>
    <font>
      <b/>
      <sz val="11"/>
      <color rgb="FF000000"/>
      <name val="Calibri"/>
      <family val="2"/>
      <charset val="1"/>
    </font>
    <font>
      <b/>
      <sz val="11"/>
      <color theme="1"/>
      <name val="Calibri"/>
      <family val="2"/>
      <scheme val="minor"/>
    </font>
    <font>
      <sz val="11"/>
      <color rgb="FF444444"/>
      <name val="Calibri"/>
      <family val="2"/>
      <charset val="1"/>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E7E6E6"/>
        <bgColor indexed="64"/>
      </patternFill>
    </fill>
    <fill>
      <patternFill patternType="solid">
        <fgColor rgb="FFFFF2CC"/>
        <bgColor indexed="64"/>
      </patternFill>
    </fill>
    <fill>
      <patternFill patternType="solid">
        <fgColor rgb="FFDDEBF7"/>
        <bgColor indexed="64"/>
      </patternFill>
    </fill>
    <fill>
      <patternFill patternType="solid">
        <fgColor rgb="FFD0CECE"/>
        <bgColor indexed="64"/>
      </patternFill>
    </fill>
    <fill>
      <patternFill patternType="solid">
        <fgColor rgb="FFD9E1F2"/>
        <bgColor indexed="64"/>
      </patternFill>
    </fill>
    <fill>
      <patternFill patternType="solid">
        <fgColor theme="0" tint="-0.249977111117893"/>
        <bgColor indexed="64"/>
      </patternFill>
    </fill>
  </fills>
  <borders count="2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right style="thin">
        <color indexed="64"/>
      </right>
      <top/>
      <bottom/>
      <diagonal/>
    </border>
    <border>
      <left style="thin">
        <color auto="1"/>
      </left>
      <right/>
      <top/>
      <bottom/>
      <diagonal/>
    </border>
    <border>
      <left style="thin">
        <color rgb="FF000000"/>
      </left>
      <right style="thin">
        <color auto="1"/>
      </right>
      <top/>
      <bottom/>
      <diagonal/>
    </border>
    <border>
      <left style="thin">
        <color auto="1"/>
      </left>
      <right style="thin">
        <color rgb="FF000000"/>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s>
  <cellStyleXfs count="1">
    <xf numFmtId="0" fontId="0" fillId="0" borderId="0"/>
  </cellStyleXfs>
  <cellXfs count="89">
    <xf numFmtId="0" fontId="0" fillId="0" borderId="0" xfId="0"/>
    <xf numFmtId="0" fontId="3" fillId="0" borderId="0" xfId="0" applyFont="1"/>
    <xf numFmtId="14" fontId="0" fillId="0" borderId="0" xfId="0" applyNumberFormat="1"/>
    <xf numFmtId="164" fontId="0" fillId="0" borderId="0" xfId="0" applyNumberFormat="1"/>
    <xf numFmtId="2" fontId="0" fillId="0" borderId="0" xfId="0" applyNumberFormat="1"/>
    <xf numFmtId="0" fontId="4" fillId="0" borderId="0" xfId="0" applyFont="1" applyAlignment="1">
      <alignment wrapText="1"/>
    </xf>
    <xf numFmtId="11" fontId="0" fillId="0" borderId="0" xfId="0" applyNumberFormat="1"/>
    <xf numFmtId="0" fontId="0" fillId="4" borderId="0" xfId="0" applyFill="1"/>
    <xf numFmtId="164" fontId="0" fillId="4" borderId="0" xfId="0" applyNumberFormat="1" applyFill="1"/>
    <xf numFmtId="2" fontId="0" fillId="4" borderId="0" xfId="0" applyNumberFormat="1" applyFill="1"/>
    <xf numFmtId="11" fontId="0" fillId="4" borderId="0" xfId="0" applyNumberFormat="1" applyFill="1"/>
    <xf numFmtId="20" fontId="0" fillId="0" borderId="0" xfId="0" applyNumberFormat="1"/>
    <xf numFmtId="0" fontId="3" fillId="2" borderId="0" xfId="0" applyFont="1" applyFill="1"/>
    <xf numFmtId="0" fontId="0" fillId="2" borderId="0" xfId="0" applyFill="1"/>
    <xf numFmtId="165" fontId="0" fillId="2" borderId="0" xfId="0" applyNumberFormat="1" applyFill="1" applyAlignment="1">
      <alignment horizontal="center"/>
    </xf>
    <xf numFmtId="165" fontId="0" fillId="0" borderId="0" xfId="0" applyNumberFormat="1"/>
    <xf numFmtId="0" fontId="5" fillId="0" borderId="0" xfId="0" applyFont="1"/>
    <xf numFmtId="0" fontId="0" fillId="0" borderId="0" xfId="0" applyAlignment="1">
      <alignment wrapText="1"/>
    </xf>
    <xf numFmtId="0" fontId="0" fillId="3" borderId="0" xfId="0" applyFill="1" applyAlignment="1">
      <alignment horizontal="center"/>
    </xf>
    <xf numFmtId="11" fontId="0" fillId="0" borderId="13" xfId="0" applyNumberFormat="1" applyBorder="1"/>
    <xf numFmtId="11" fontId="0" fillId="4" borderId="13" xfId="0" applyNumberFormat="1" applyFill="1" applyBorder="1"/>
    <xf numFmtId="11" fontId="0" fillId="0" borderId="8" xfId="0" applyNumberFormat="1" applyBorder="1"/>
    <xf numFmtId="11" fontId="0" fillId="0" borderId="14" xfId="0" applyNumberFormat="1" applyBorder="1"/>
    <xf numFmtId="11" fontId="0" fillId="0" borderId="15" xfId="0" applyNumberFormat="1" applyBorder="1"/>
    <xf numFmtId="0" fontId="0" fillId="4" borderId="15" xfId="0" applyFill="1" applyBorder="1"/>
    <xf numFmtId="0" fontId="0" fillId="0" borderId="15" xfId="0" applyBorder="1"/>
    <xf numFmtId="11" fontId="0" fillId="4" borderId="14" xfId="0" applyNumberFormat="1" applyFill="1" applyBorder="1"/>
    <xf numFmtId="0" fontId="2" fillId="6" borderId="13" xfId="0" applyFont="1" applyFill="1" applyBorder="1" applyAlignment="1">
      <alignment wrapText="1"/>
    </xf>
    <xf numFmtId="0" fontId="1" fillId="0" borderId="16" xfId="0" applyFont="1" applyBorder="1" applyAlignment="1">
      <alignment horizontal="center" vertical="top" wrapText="1"/>
    </xf>
    <xf numFmtId="0" fontId="2" fillId="6" borderId="16" xfId="0" applyFont="1" applyFill="1" applyBorder="1" applyAlignment="1">
      <alignment wrapText="1"/>
    </xf>
    <xf numFmtId="0" fontId="4" fillId="0" borderId="16" xfId="0" applyFont="1" applyBorder="1" applyAlignment="1">
      <alignment wrapText="1"/>
    </xf>
    <xf numFmtId="0" fontId="2" fillId="0" borderId="16" xfId="0" applyFont="1" applyBorder="1" applyAlignment="1">
      <alignment wrapText="1"/>
    </xf>
    <xf numFmtId="0" fontId="1" fillId="0" borderId="17" xfId="0" applyFont="1" applyBorder="1" applyAlignment="1">
      <alignment horizontal="center" vertical="top"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1" fillId="0" borderId="21" xfId="0" applyFont="1" applyBorder="1" applyAlignment="1">
      <alignment horizontal="center" vertical="top" wrapText="1"/>
    </xf>
    <xf numFmtId="0" fontId="1" fillId="0" borderId="18" xfId="0" applyFont="1" applyBorder="1" applyAlignment="1">
      <alignment horizontal="center" vertical="top" wrapText="1"/>
    </xf>
    <xf numFmtId="0" fontId="1" fillId="0" borderId="17" xfId="0" applyFont="1" applyBorder="1" applyAlignment="1">
      <alignment horizontal="center" wrapText="1"/>
    </xf>
    <xf numFmtId="0" fontId="1" fillId="0" borderId="18" xfId="0" applyFont="1" applyBorder="1" applyAlignment="1">
      <alignment horizontal="center" wrapText="1"/>
    </xf>
    <xf numFmtId="11" fontId="0" fillId="4" borderId="15" xfId="0" applyNumberFormat="1" applyFill="1" applyBorder="1"/>
    <xf numFmtId="0" fontId="0" fillId="5" borderId="12" xfId="0" applyFill="1" applyBorder="1"/>
    <xf numFmtId="0" fontId="0" fillId="5" borderId="3" xfId="0" applyFill="1" applyBorder="1"/>
    <xf numFmtId="0" fontId="0" fillId="5" borderId="4" xfId="0" applyFill="1" applyBorder="1"/>
    <xf numFmtId="0" fontId="0" fillId="5" borderId="10" xfId="0" applyFill="1" applyBorder="1"/>
    <xf numFmtId="0" fontId="2" fillId="0" borderId="21" xfId="0" applyFont="1" applyBorder="1" applyAlignment="1">
      <alignment wrapText="1"/>
    </xf>
    <xf numFmtId="0" fontId="2" fillId="7" borderId="0" xfId="0" applyFont="1" applyFill="1" applyAlignment="1">
      <alignment wrapText="1"/>
    </xf>
    <xf numFmtId="0" fontId="2" fillId="7" borderId="13" xfId="0" applyFont="1" applyFill="1" applyBorder="1" applyAlignment="1">
      <alignment wrapText="1"/>
    </xf>
    <xf numFmtId="0" fontId="2" fillId="7" borderId="15" xfId="0" applyFont="1" applyFill="1" applyBorder="1" applyAlignment="1">
      <alignment wrapText="1"/>
    </xf>
    <xf numFmtId="0" fontId="2" fillId="7" borderId="16" xfId="0" applyFont="1" applyFill="1" applyBorder="1" applyAlignment="1">
      <alignment wrapText="1"/>
    </xf>
    <xf numFmtId="0" fontId="6" fillId="7" borderId="16" xfId="0" applyFont="1" applyFill="1" applyBorder="1"/>
    <xf numFmtId="11" fontId="0" fillId="7" borderId="0" xfId="0" applyNumberFormat="1" applyFill="1"/>
    <xf numFmtId="11" fontId="0" fillId="7" borderId="13" xfId="0" applyNumberFormat="1" applyFill="1" applyBorder="1"/>
    <xf numFmtId="11" fontId="0" fillId="7" borderId="15" xfId="0" applyNumberFormat="1" applyFill="1" applyBorder="1"/>
    <xf numFmtId="0" fontId="0" fillId="7" borderId="15" xfId="0" applyFill="1" applyBorder="1"/>
    <xf numFmtId="0" fontId="2" fillId="8" borderId="13" xfId="0" applyFont="1" applyFill="1" applyBorder="1" applyAlignment="1">
      <alignment wrapText="1"/>
    </xf>
    <xf numFmtId="0" fontId="2" fillId="8" borderId="16" xfId="0" applyFont="1" applyFill="1" applyBorder="1" applyAlignment="1">
      <alignment wrapText="1"/>
    </xf>
    <xf numFmtId="0" fontId="1" fillId="8" borderId="15" xfId="0" applyFont="1" applyFill="1" applyBorder="1" applyAlignment="1">
      <alignment horizontal="center" vertical="top" wrapText="1"/>
    </xf>
    <xf numFmtId="0" fontId="1" fillId="8" borderId="16" xfId="0" applyFont="1" applyFill="1" applyBorder="1" applyAlignment="1">
      <alignment horizontal="center" vertical="top" wrapText="1"/>
    </xf>
    <xf numFmtId="0" fontId="2" fillId="9" borderId="19" xfId="0" applyFont="1" applyFill="1" applyBorder="1" applyAlignment="1">
      <alignment wrapText="1"/>
    </xf>
    <xf numFmtId="0" fontId="2" fillId="9" borderId="13" xfId="0" applyFont="1" applyFill="1" applyBorder="1" applyAlignment="1">
      <alignment wrapText="1"/>
    </xf>
    <xf numFmtId="0" fontId="2" fillId="9" borderId="15" xfId="0" applyFont="1" applyFill="1" applyBorder="1" applyAlignment="1">
      <alignment wrapText="1"/>
    </xf>
    <xf numFmtId="0" fontId="2" fillId="9" borderId="16" xfId="0" applyFont="1" applyFill="1" applyBorder="1" applyAlignment="1">
      <alignment wrapText="1"/>
    </xf>
    <xf numFmtId="0" fontId="6" fillId="9" borderId="16" xfId="0" applyFont="1" applyFill="1" applyBorder="1"/>
    <xf numFmtId="14" fontId="0" fillId="2" borderId="0" xfId="0" applyNumberFormat="1" applyFill="1"/>
    <xf numFmtId="20" fontId="0" fillId="2" borderId="0" xfId="0" applyNumberFormat="1" applyFill="1"/>
    <xf numFmtId="165" fontId="0" fillId="2" borderId="0" xfId="0" applyNumberFormat="1" applyFill="1"/>
    <xf numFmtId="164" fontId="0" fillId="2" borderId="0" xfId="0" applyNumberFormat="1" applyFill="1"/>
    <xf numFmtId="2" fontId="0" fillId="2" borderId="0" xfId="0" applyNumberFormat="1" applyFill="1"/>
    <xf numFmtId="11" fontId="0" fillId="2" borderId="0" xfId="0" applyNumberFormat="1" applyFill="1"/>
    <xf numFmtId="11" fontId="0" fillId="2" borderId="14" xfId="0" applyNumberFormat="1" applyFill="1" applyBorder="1"/>
    <xf numFmtId="0" fontId="0" fillId="2" borderId="15" xfId="0" applyFill="1" applyBorder="1"/>
    <xf numFmtId="11" fontId="0" fillId="2" borderId="13" xfId="0" applyNumberFormat="1" applyFill="1" applyBorder="1"/>
    <xf numFmtId="11" fontId="0" fillId="2" borderId="15" xfId="0" applyNumberFormat="1" applyFill="1" applyBorder="1"/>
    <xf numFmtId="0" fontId="0" fillId="5" borderId="5" xfId="0" applyFill="1" applyBorder="1" applyAlignment="1">
      <alignment horizontal="center"/>
    </xf>
    <xf numFmtId="0" fontId="0" fillId="5" borderId="9"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11" xfId="0" applyFill="1" applyBorder="1" applyAlignment="1">
      <alignment horizontal="center"/>
    </xf>
    <xf numFmtId="0" fontId="0" fillId="5" borderId="7" xfId="0" applyFill="1" applyBorder="1" applyAlignment="1">
      <alignment horizontal="center"/>
    </xf>
    <xf numFmtId="0" fontId="0" fillId="5" borderId="6" xfId="0"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6" fillId="5" borderId="7" xfId="0" applyFont="1" applyFill="1" applyBorder="1" applyAlignment="1">
      <alignment horizontal="center"/>
    </xf>
    <xf numFmtId="0" fontId="0" fillId="5" borderId="24" xfId="0" applyFill="1" applyBorder="1" applyAlignment="1">
      <alignment horizontal="center"/>
    </xf>
    <xf numFmtId="0" fontId="0" fillId="5" borderId="10" xfId="0" applyFill="1" applyBorder="1" applyAlignment="1">
      <alignment horizontal="center"/>
    </xf>
  </cellXfs>
  <cellStyles count="1">
    <cellStyle name="Standaard" xfId="0" builtinId="0"/>
  </cellStyles>
  <dxfs count="32">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0" tint="-0.1499679555650502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'GT1.1'!$S$11</c:f>
              <c:strCache>
                <c:ptCount val="1"/>
                <c:pt idx="0">
                  <c:v>CH4-corr</c:v>
                </c:pt>
              </c:strCache>
            </c:strRef>
          </c:tx>
          <c:spPr>
            <a:ln w="28575" cap="rnd">
              <a:solidFill>
                <a:schemeClr val="accent1"/>
              </a:solidFill>
              <a:round/>
            </a:ln>
            <a:effectLst/>
          </c:spPr>
          <c:marker>
            <c:symbol val="none"/>
          </c:marker>
          <c:cat>
            <c:numRef>
              <c:f>'GT1.1'!$Q$13:$Q$36</c:f>
              <c:numCache>
                <c:formatCode>0.00</c:formatCode>
                <c:ptCount val="24"/>
                <c:pt idx="0">
                  <c:v>0</c:v>
                </c:pt>
                <c:pt idx="1">
                  <c:v>2</c:v>
                </c:pt>
                <c:pt idx="2">
                  <c:v>6.8180555555518367</c:v>
                </c:pt>
                <c:pt idx="3">
                  <c:v>6.8631944444423425</c:v>
                </c:pt>
                <c:pt idx="4">
                  <c:v>8.7569444444379769</c:v>
                </c:pt>
                <c:pt idx="5">
                  <c:v>8.7993055555562023</c:v>
                </c:pt>
                <c:pt idx="6">
                  <c:v>10.79374999999709</c:v>
                </c:pt>
                <c:pt idx="7">
                  <c:v>10.794444444443798</c:v>
                </c:pt>
                <c:pt idx="8">
                  <c:v>13.963888888887595</c:v>
                </c:pt>
                <c:pt idx="9">
                  <c:v>14.004861111105129</c:v>
                </c:pt>
                <c:pt idx="10">
                  <c:v>16.780555555553292</c:v>
                </c:pt>
                <c:pt idx="11">
                  <c:v>16.836111111108039</c:v>
                </c:pt>
                <c:pt idx="12">
                  <c:v>20.748611111106584</c:v>
                </c:pt>
                <c:pt idx="13">
                  <c:v>20.79513888888323</c:v>
                </c:pt>
                <c:pt idx="14">
                  <c:v>22.786805555551837</c:v>
                </c:pt>
                <c:pt idx="15">
                  <c:v>22.831944444442343</c:v>
                </c:pt>
                <c:pt idx="16">
                  <c:v>24.768749999995634</c:v>
                </c:pt>
                <c:pt idx="17">
                  <c:v>24.811111111106584</c:v>
                </c:pt>
                <c:pt idx="18">
                  <c:v>27.783333333332848</c:v>
                </c:pt>
                <c:pt idx="19">
                  <c:v>27.830555555556202</c:v>
                </c:pt>
                <c:pt idx="20">
                  <c:v>29.756944444437977</c:v>
                </c:pt>
                <c:pt idx="21">
                  <c:v>29.802083333328483</c:v>
                </c:pt>
                <c:pt idx="22">
                  <c:v>34.978472222217533</c:v>
                </c:pt>
                <c:pt idx="23">
                  <c:v>35.018055555556202</c:v>
                </c:pt>
              </c:numCache>
            </c:numRef>
          </c:cat>
          <c:val>
            <c:numRef>
              <c:f>'GT1.1'!$S$13:$S$36</c:f>
              <c:numCache>
                <c:formatCode>General</c:formatCode>
                <c:ptCount val="24"/>
                <c:pt idx="0">
                  <c:v>0</c:v>
                </c:pt>
                <c:pt idx="1">
                  <c:v>0.11940298507462686</c:v>
                </c:pt>
                <c:pt idx="2">
                  <c:v>0.2418028822903569</c:v>
                </c:pt>
                <c:pt idx="3">
                  <c:v>0</c:v>
                </c:pt>
                <c:pt idx="4">
                  <c:v>2.8963120293492947E-2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22B-46CA-808D-A680FBDE2070}"/>
            </c:ext>
          </c:extLst>
        </c:ser>
        <c:ser>
          <c:idx val="1"/>
          <c:order val="1"/>
          <c:tx>
            <c:strRef>
              <c:f>'GT1.1'!$T$11</c:f>
              <c:strCache>
                <c:ptCount val="1"/>
                <c:pt idx="0">
                  <c:v>CO2-corr</c:v>
                </c:pt>
              </c:strCache>
            </c:strRef>
          </c:tx>
          <c:spPr>
            <a:ln w="28575" cap="rnd">
              <a:solidFill>
                <a:schemeClr val="accent2"/>
              </a:solidFill>
              <a:round/>
            </a:ln>
            <a:effectLst/>
          </c:spPr>
          <c:marker>
            <c:symbol val="none"/>
          </c:marker>
          <c:cat>
            <c:numRef>
              <c:f>'GT1.1'!$Q$13:$Q$36</c:f>
              <c:numCache>
                <c:formatCode>0.00</c:formatCode>
                <c:ptCount val="24"/>
                <c:pt idx="0">
                  <c:v>0</c:v>
                </c:pt>
                <c:pt idx="1">
                  <c:v>2</c:v>
                </c:pt>
                <c:pt idx="2">
                  <c:v>6.8180555555518367</c:v>
                </c:pt>
                <c:pt idx="3">
                  <c:v>6.8631944444423425</c:v>
                </c:pt>
                <c:pt idx="4">
                  <c:v>8.7569444444379769</c:v>
                </c:pt>
                <c:pt idx="5">
                  <c:v>8.7993055555562023</c:v>
                </c:pt>
                <c:pt idx="6">
                  <c:v>10.79374999999709</c:v>
                </c:pt>
                <c:pt idx="7">
                  <c:v>10.794444444443798</c:v>
                </c:pt>
                <c:pt idx="8">
                  <c:v>13.963888888887595</c:v>
                </c:pt>
                <c:pt idx="9">
                  <c:v>14.004861111105129</c:v>
                </c:pt>
                <c:pt idx="10">
                  <c:v>16.780555555553292</c:v>
                </c:pt>
                <c:pt idx="11">
                  <c:v>16.836111111108039</c:v>
                </c:pt>
                <c:pt idx="12">
                  <c:v>20.748611111106584</c:v>
                </c:pt>
                <c:pt idx="13">
                  <c:v>20.79513888888323</c:v>
                </c:pt>
                <c:pt idx="14">
                  <c:v>22.786805555551837</c:v>
                </c:pt>
                <c:pt idx="15">
                  <c:v>22.831944444442343</c:v>
                </c:pt>
                <c:pt idx="16">
                  <c:v>24.768749999995634</c:v>
                </c:pt>
                <c:pt idx="17">
                  <c:v>24.811111111106584</c:v>
                </c:pt>
                <c:pt idx="18">
                  <c:v>27.783333333332848</c:v>
                </c:pt>
                <c:pt idx="19">
                  <c:v>27.830555555556202</c:v>
                </c:pt>
                <c:pt idx="20">
                  <c:v>29.756944444437977</c:v>
                </c:pt>
                <c:pt idx="21">
                  <c:v>29.802083333328483</c:v>
                </c:pt>
                <c:pt idx="22">
                  <c:v>34.978472222217533</c:v>
                </c:pt>
                <c:pt idx="23">
                  <c:v>35.018055555556202</c:v>
                </c:pt>
              </c:numCache>
            </c:numRef>
          </c:cat>
          <c:val>
            <c:numRef>
              <c:f>'GT1.1'!$T$13:$T$36</c:f>
              <c:numCache>
                <c:formatCode>General</c:formatCode>
                <c:ptCount val="24"/>
                <c:pt idx="0">
                  <c:v>0.03</c:v>
                </c:pt>
                <c:pt idx="1">
                  <c:v>1.5223880597014925</c:v>
                </c:pt>
                <c:pt idx="2">
                  <c:v>2.3309797852790406</c:v>
                </c:pt>
                <c:pt idx="3">
                  <c:v>0.75967559798788631</c:v>
                </c:pt>
                <c:pt idx="4">
                  <c:v>2.6259895732766942</c:v>
                </c:pt>
                <c:pt idx="5">
                  <c:v>0.64516129032258063</c:v>
                </c:pt>
                <c:pt idx="6">
                  <c:v>4.2445300028171653</c:v>
                </c:pt>
                <c:pt idx="7">
                  <c:v>0.5563138520081069</c:v>
                </c:pt>
                <c:pt idx="8">
                  <c:v>5.8097165991902839</c:v>
                </c:pt>
                <c:pt idx="9">
                  <c:v>0.79975392187019378</c:v>
                </c:pt>
                <c:pt idx="10">
                  <c:v>5.0891070237301053</c:v>
                </c:pt>
                <c:pt idx="11">
                  <c:v>0.51877982984021587</c:v>
                </c:pt>
                <c:pt idx="12">
                  <c:v>6.9535764096433557</c:v>
                </c:pt>
                <c:pt idx="13">
                  <c:v>0.59623430962343094</c:v>
                </c:pt>
                <c:pt idx="14">
                  <c:v>4.2872550781952175</c:v>
                </c:pt>
                <c:pt idx="15">
                  <c:v>0.41718815185648728</c:v>
                </c:pt>
                <c:pt idx="16">
                  <c:v>3.5904900533721489</c:v>
                </c:pt>
                <c:pt idx="17">
                  <c:v>0.42757326102826154</c:v>
                </c:pt>
                <c:pt idx="18">
                  <c:v>4.0243459302325579</c:v>
                </c:pt>
                <c:pt idx="19">
                  <c:v>0.43214322461158555</c:v>
                </c:pt>
                <c:pt idx="20">
                  <c:v>2.7622793377846886</c:v>
                </c:pt>
                <c:pt idx="21">
                  <c:v>0.29881504379185986</c:v>
                </c:pt>
                <c:pt idx="22">
                  <c:v>6.3265123760164421</c:v>
                </c:pt>
                <c:pt idx="23">
                  <c:v>0.66321243523316065</c:v>
                </c:pt>
              </c:numCache>
            </c:numRef>
          </c:val>
          <c:smooth val="0"/>
          <c:extLst>
            <c:ext xmlns:c16="http://schemas.microsoft.com/office/drawing/2014/chart" uri="{C3380CC4-5D6E-409C-BE32-E72D297353CC}">
              <c16:uniqueId val="{00000001-822B-46CA-808D-A680FBDE2070}"/>
            </c:ext>
          </c:extLst>
        </c:ser>
        <c:ser>
          <c:idx val="2"/>
          <c:order val="2"/>
          <c:tx>
            <c:strRef>
              <c:f>'GT1.1'!$U$11</c:f>
              <c:strCache>
                <c:ptCount val="1"/>
                <c:pt idx="0">
                  <c:v>O2-corr</c:v>
                </c:pt>
              </c:strCache>
            </c:strRef>
          </c:tx>
          <c:spPr>
            <a:ln w="28575" cap="rnd">
              <a:solidFill>
                <a:schemeClr val="accent3"/>
              </a:solidFill>
              <a:round/>
            </a:ln>
            <a:effectLst/>
          </c:spPr>
          <c:marker>
            <c:symbol val="none"/>
          </c:marker>
          <c:cat>
            <c:numRef>
              <c:f>'GT1.1'!$Q$13:$Q$36</c:f>
              <c:numCache>
                <c:formatCode>0.00</c:formatCode>
                <c:ptCount val="24"/>
                <c:pt idx="0">
                  <c:v>0</c:v>
                </c:pt>
                <c:pt idx="1">
                  <c:v>2</c:v>
                </c:pt>
                <c:pt idx="2">
                  <c:v>6.8180555555518367</c:v>
                </c:pt>
                <c:pt idx="3">
                  <c:v>6.8631944444423425</c:v>
                </c:pt>
                <c:pt idx="4">
                  <c:v>8.7569444444379769</c:v>
                </c:pt>
                <c:pt idx="5">
                  <c:v>8.7993055555562023</c:v>
                </c:pt>
                <c:pt idx="6">
                  <c:v>10.79374999999709</c:v>
                </c:pt>
                <c:pt idx="7">
                  <c:v>10.794444444443798</c:v>
                </c:pt>
                <c:pt idx="8">
                  <c:v>13.963888888887595</c:v>
                </c:pt>
                <c:pt idx="9">
                  <c:v>14.004861111105129</c:v>
                </c:pt>
                <c:pt idx="10">
                  <c:v>16.780555555553292</c:v>
                </c:pt>
                <c:pt idx="11">
                  <c:v>16.836111111108039</c:v>
                </c:pt>
                <c:pt idx="12">
                  <c:v>20.748611111106584</c:v>
                </c:pt>
                <c:pt idx="13">
                  <c:v>20.79513888888323</c:v>
                </c:pt>
                <c:pt idx="14">
                  <c:v>22.786805555551837</c:v>
                </c:pt>
                <c:pt idx="15">
                  <c:v>22.831944444442343</c:v>
                </c:pt>
                <c:pt idx="16">
                  <c:v>24.768749999995634</c:v>
                </c:pt>
                <c:pt idx="17">
                  <c:v>24.811111111106584</c:v>
                </c:pt>
                <c:pt idx="18">
                  <c:v>27.783333333332848</c:v>
                </c:pt>
                <c:pt idx="19">
                  <c:v>27.830555555556202</c:v>
                </c:pt>
                <c:pt idx="20">
                  <c:v>29.756944444437977</c:v>
                </c:pt>
                <c:pt idx="21">
                  <c:v>29.802083333328483</c:v>
                </c:pt>
                <c:pt idx="22">
                  <c:v>34.978472222217533</c:v>
                </c:pt>
                <c:pt idx="23">
                  <c:v>35.018055555556202</c:v>
                </c:pt>
              </c:numCache>
            </c:numRef>
          </c:cat>
          <c:val>
            <c:numRef>
              <c:f>'GT1.1'!$U$13:$U$36</c:f>
              <c:numCache>
                <c:formatCode>General</c:formatCode>
                <c:ptCount val="24"/>
                <c:pt idx="0">
                  <c:v>21.9</c:v>
                </c:pt>
                <c:pt idx="1">
                  <c:v>2.1990049751243781</c:v>
                </c:pt>
                <c:pt idx="2">
                  <c:v>1.5378663313666698</c:v>
                </c:pt>
                <c:pt idx="3">
                  <c:v>20.316189302946309</c:v>
                </c:pt>
                <c:pt idx="4">
                  <c:v>8.167599922765012</c:v>
                </c:pt>
                <c:pt idx="5">
                  <c:v>21.003584229390679</c:v>
                </c:pt>
                <c:pt idx="6">
                  <c:v>11.05268100291107</c:v>
                </c:pt>
                <c:pt idx="7">
                  <c:v>21.004467055465938</c:v>
                </c:pt>
                <c:pt idx="8">
                  <c:v>9.8582995951417001</c:v>
                </c:pt>
                <c:pt idx="9">
                  <c:v>21.019173587614066</c:v>
                </c:pt>
                <c:pt idx="10">
                  <c:v>12.360621366625368</c:v>
                </c:pt>
                <c:pt idx="11">
                  <c:v>21.08321228470637</c:v>
                </c:pt>
                <c:pt idx="12">
                  <c:v>8.0394500896592955</c:v>
                </c:pt>
                <c:pt idx="13">
                  <c:v>21.035564853556487</c:v>
                </c:pt>
                <c:pt idx="14">
                  <c:v>14.191982743124212</c:v>
                </c:pt>
                <c:pt idx="15">
                  <c:v>21.109720483938254</c:v>
                </c:pt>
                <c:pt idx="16">
                  <c:v>14.992721979621541</c:v>
                </c:pt>
                <c:pt idx="17">
                  <c:v>21.128376264469708</c:v>
                </c:pt>
                <c:pt idx="18">
                  <c:v>14.098837209302326</c:v>
                </c:pt>
                <c:pt idx="19">
                  <c:v>21.133861508385635</c:v>
                </c:pt>
                <c:pt idx="20">
                  <c:v>17.021860422573859</c:v>
                </c:pt>
                <c:pt idx="21">
                  <c:v>21.174652241112828</c:v>
                </c:pt>
                <c:pt idx="22">
                  <c:v>11.205432937181664</c:v>
                </c:pt>
                <c:pt idx="23">
                  <c:v>21.046632124352328</c:v>
                </c:pt>
              </c:numCache>
            </c:numRef>
          </c:val>
          <c:smooth val="0"/>
          <c:extLst>
            <c:ext xmlns:c16="http://schemas.microsoft.com/office/drawing/2014/chart" uri="{C3380CC4-5D6E-409C-BE32-E72D297353CC}">
              <c16:uniqueId val="{00000002-822B-46CA-808D-A680FBDE2070}"/>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'GT2.1'!$AK$11</c:f>
              <c:strCache>
                <c:ptCount val="1"/>
                <c:pt idx="0">
                  <c:v>O2 consumed </c:v>
                </c:pt>
              </c:strCache>
            </c:strRef>
          </c:tx>
          <c:spPr>
            <a:solidFill>
              <a:schemeClr val="accent1"/>
            </a:solidFill>
            <a:ln>
              <a:noFill/>
            </a:ln>
            <a:effectLst/>
          </c:spPr>
          <c:invertIfNegative val="0"/>
          <c:val>
            <c:numRef>
              <c:f>'GT2.1'!$AK$13:$AK$35</c:f>
              <c:numCache>
                <c:formatCode>General</c:formatCode>
                <c:ptCount val="23"/>
                <c:pt idx="0" formatCode="0.00E+00">
                  <c:v>0</c:v>
                </c:pt>
                <c:pt idx="1">
                  <c:v>9.3740626276618451E-3</c:v>
                </c:pt>
                <c:pt idx="2">
                  <c:v>9.1827405620063308E-5</c:v>
                </c:pt>
                <c:pt idx="4">
                  <c:v>5.1286674498881892E-3</c:v>
                </c:pt>
                <c:pt idx="6">
                  <c:v>3.7973190052613976E-3</c:v>
                </c:pt>
                <c:pt idx="8">
                  <c:v>3.7311218821383385E-3</c:v>
                </c:pt>
                <c:pt idx="10">
                  <c:v>2.595770586928641E-3</c:v>
                </c:pt>
                <c:pt idx="12">
                  <c:v>3.0942732520821102E-3</c:v>
                </c:pt>
                <c:pt idx="14">
                  <c:v>1.7974807534433517E-3</c:v>
                </c:pt>
                <c:pt idx="15">
                  <c:v>1.8418777113012076E-3</c:v>
                </c:pt>
                <c:pt idx="17">
                  <c:v>3.1661843469353735E-3</c:v>
                </c:pt>
                <c:pt idx="19">
                  <c:v>2.0673210697416877E-3</c:v>
                </c:pt>
                <c:pt idx="21">
                  <c:v>4.8210028005159456E-3</c:v>
                </c:pt>
              </c:numCache>
            </c:numRef>
          </c:val>
          <c:extLst>
            <c:ext xmlns:c16="http://schemas.microsoft.com/office/drawing/2014/chart" uri="{C3380CC4-5D6E-409C-BE32-E72D297353CC}">
              <c16:uniqueId val="{00000000-6CDD-40AF-8701-3B0BB0BCFDAD}"/>
            </c:ext>
          </c:extLst>
        </c:ser>
        <c:ser>
          <c:idx val="1"/>
          <c:order val="1"/>
          <c:tx>
            <c:strRef>
              <c:f>'GT2.1'!$AL$11</c:f>
              <c:strCache>
                <c:ptCount val="1"/>
                <c:pt idx="0">
                  <c:v>CO2 produced </c:v>
                </c:pt>
              </c:strCache>
            </c:strRef>
          </c:tx>
          <c:spPr>
            <a:solidFill>
              <a:schemeClr val="accent2"/>
            </a:solidFill>
            <a:ln>
              <a:noFill/>
            </a:ln>
            <a:effectLst/>
          </c:spPr>
          <c:invertIfNegative val="0"/>
          <c:val>
            <c:numRef>
              <c:f>'GT2.1'!$AL$13:$AL$35</c:f>
              <c:numCache>
                <c:formatCode>General</c:formatCode>
                <c:ptCount val="23"/>
                <c:pt idx="0" formatCode="0.00E+00">
                  <c:v>0</c:v>
                </c:pt>
                <c:pt idx="1">
                  <c:v>1.8897506904510451E-4</c:v>
                </c:pt>
                <c:pt idx="2">
                  <c:v>1.7491011016133225E-4</c:v>
                </c:pt>
                <c:pt idx="4">
                  <c:v>4.7190789780029703E-4</c:v>
                </c:pt>
                <c:pt idx="6">
                  <c:v>9.7586088045587222E-4</c:v>
                </c:pt>
                <c:pt idx="8">
                  <c:v>1.2278151339032274E-3</c:v>
                </c:pt>
                <c:pt idx="10">
                  <c:v>8.6910157037965361E-4</c:v>
                </c:pt>
                <c:pt idx="12">
                  <c:v>1.1395027580662479E-3</c:v>
                </c:pt>
                <c:pt idx="14">
                  <c:v>7.061712861307375E-4</c:v>
                </c:pt>
                <c:pt idx="15">
                  <c:v>7.126735337805891E-4</c:v>
                </c:pt>
                <c:pt idx="17">
                  <c:v>1.2937790252666118E-3</c:v>
                </c:pt>
                <c:pt idx="19">
                  <c:v>9.0114809065932645E-4</c:v>
                </c:pt>
                <c:pt idx="21">
                  <c:v>2.0976328613745809E-3</c:v>
                </c:pt>
              </c:numCache>
            </c:numRef>
          </c:val>
          <c:extLst>
            <c:ext xmlns:c16="http://schemas.microsoft.com/office/drawing/2014/chart" uri="{C3380CC4-5D6E-409C-BE32-E72D297353CC}">
              <c16:uniqueId val="{00000001-6CDD-40AF-8701-3B0BB0BCFDAD}"/>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'GT2.1'!$AP$11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'GT2.1'!$Q$13:$Q$35</c:f>
              <c:numCache>
                <c:formatCode>0.00</c:formatCode>
                <c:ptCount val="23"/>
                <c:pt idx="0">
                  <c:v>0</c:v>
                </c:pt>
                <c:pt idx="1">
                  <c:v>1.9909722222218988</c:v>
                </c:pt>
                <c:pt idx="2">
                  <c:v>6.8055555555547471</c:v>
                </c:pt>
                <c:pt idx="3">
                  <c:v>6.8499999999985448</c:v>
                </c:pt>
                <c:pt idx="4">
                  <c:v>8.7444444444481633</c:v>
                </c:pt>
                <c:pt idx="5">
                  <c:v>8.7895833333313931</c:v>
                </c:pt>
                <c:pt idx="6">
                  <c:v>10.738888888889051</c:v>
                </c:pt>
                <c:pt idx="7">
                  <c:v>10.739583333335759</c:v>
                </c:pt>
                <c:pt idx="8">
                  <c:v>13.950694444443798</c:v>
                </c:pt>
                <c:pt idx="9">
                  <c:v>13.991666666668607</c:v>
                </c:pt>
                <c:pt idx="10">
                  <c:v>16.781944444446708</c:v>
                </c:pt>
                <c:pt idx="11">
                  <c:v>16.822916666664241</c:v>
                </c:pt>
                <c:pt idx="12">
                  <c:v>20.743750000001455</c:v>
                </c:pt>
                <c:pt idx="13">
                  <c:v>20.783333333332848</c:v>
                </c:pt>
                <c:pt idx="14">
                  <c:v>22.772916666668607</c:v>
                </c:pt>
                <c:pt idx="15">
                  <c:v>24.754166666665697</c:v>
                </c:pt>
                <c:pt idx="16">
                  <c:v>24.795833333337214</c:v>
                </c:pt>
                <c:pt idx="17">
                  <c:v>27.783333333332848</c:v>
                </c:pt>
                <c:pt idx="18">
                  <c:v>27.820138888891961</c:v>
                </c:pt>
                <c:pt idx="19">
                  <c:v>29.743055555554747</c:v>
                </c:pt>
                <c:pt idx="20">
                  <c:v>29.788888888891961</c:v>
                </c:pt>
                <c:pt idx="21">
                  <c:v>34.965277777781012</c:v>
                </c:pt>
                <c:pt idx="22">
                  <c:v>35.004166666665697</c:v>
                </c:pt>
              </c:numCache>
            </c:numRef>
          </c:xVal>
          <c:yVal>
            <c:numRef>
              <c:f>'GT2.1'!$AP$13:$AP$35</c:f>
              <c:numCache>
                <c:formatCode>0.00E+00</c:formatCode>
                <c:ptCount val="23"/>
                <c:pt idx="0">
                  <c:v>0</c:v>
                </c:pt>
                <c:pt idx="1">
                  <c:v>1.7645790933787122E-2</c:v>
                </c:pt>
                <c:pt idx="2">
                  <c:v>3.4158607943294637E-2</c:v>
                </c:pt>
                <c:pt idx="4">
                  <c:v>7.1916000841991179E-2</c:v>
                </c:pt>
                <c:pt idx="6">
                  <c:v>0.14815126809441273</c:v>
                </c:pt>
                <c:pt idx="8">
                  <c:v>0.24406946375561589</c:v>
                </c:pt>
                <c:pt idx="10">
                  <c:v>0.311964582634078</c:v>
                </c:pt>
                <c:pt idx="12">
                  <c:v>0.40363375663117673</c:v>
                </c:pt>
                <c:pt idx="14">
                  <c:v>0.45880059219385849</c:v>
                </c:pt>
                <c:pt idx="15">
                  <c:v>0.51447539010778898</c:v>
                </c:pt>
                <c:pt idx="17">
                  <c:v>0.61554675359015543</c:v>
                </c:pt>
                <c:pt idx="19">
                  <c:v>0.68594537997359073</c:v>
                </c:pt>
                <c:pt idx="21">
                  <c:v>0.85994459699484704</c:v>
                </c:pt>
              </c:numCache>
            </c:numRef>
          </c:yVal>
          <c:smooth val="0"/>
          <c:extLst>
            <c:ext xmlns:c16="http://schemas.microsoft.com/office/drawing/2014/chart" uri="{C3380CC4-5D6E-409C-BE32-E72D297353CC}">
              <c16:uniqueId val="{00000000-20C7-4FF4-8912-89EE8F2F8ABF}"/>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'GT2.1'!$BA$11</c:f>
              <c:strCache>
                <c:ptCount val="1"/>
                <c:pt idx="0">
                  <c:v>Ratio O2/CO2</c:v>
                </c:pt>
              </c:strCache>
            </c:strRef>
          </c:tx>
          <c:spPr>
            <a:solidFill>
              <a:schemeClr val="accent1"/>
            </a:solidFill>
            <a:ln>
              <a:noFill/>
            </a:ln>
            <a:effectLst/>
          </c:spPr>
          <c:invertIfNegative val="0"/>
          <c:val>
            <c:numRef>
              <c:f>'GT2.1'!$BA$12:$BA$35</c:f>
              <c:numCache>
                <c:formatCode>0.00E+00</c:formatCode>
                <c:ptCount val="24"/>
                <c:pt idx="1">
                  <c:v>0</c:v>
                </c:pt>
                <c:pt idx="2">
                  <c:v>20.701515953470043</c:v>
                </c:pt>
                <c:pt idx="3">
                  <c:v>0.22826371364758302</c:v>
                </c:pt>
                <c:pt idx="4">
                  <c:v>0</c:v>
                </c:pt>
                <c:pt idx="5">
                  <c:v>4.7252715499437823</c:v>
                </c:pt>
                <c:pt idx="6">
                  <c:v>0</c:v>
                </c:pt>
                <c:pt idx="7">
                  <c:v>1.6918764745421453</c:v>
                </c:pt>
                <c:pt idx="8">
                  <c:v>0</c:v>
                </c:pt>
                <c:pt idx="9">
                  <c:v>1.3212528325462443</c:v>
                </c:pt>
                <c:pt idx="10">
                  <c:v>0</c:v>
                </c:pt>
                <c:pt idx="11">
                  <c:v>1.2985995553736449</c:v>
                </c:pt>
                <c:pt idx="12">
                  <c:v>0</c:v>
                </c:pt>
                <c:pt idx="13">
                  <c:v>1.1806543182462164</c:v>
                </c:pt>
                <c:pt idx="14">
                  <c:v>0</c:v>
                </c:pt>
                <c:pt idx="15">
                  <c:v>1.1067095859956695</c:v>
                </c:pt>
                <c:pt idx="16">
                  <c:v>1.1236980805015826</c:v>
                </c:pt>
                <c:pt idx="17">
                  <c:v>0</c:v>
                </c:pt>
                <c:pt idx="18">
                  <c:v>1.0640341549888517</c:v>
                </c:pt>
                <c:pt idx="19">
                  <c:v>0</c:v>
                </c:pt>
                <c:pt idx="20">
                  <c:v>0.99745024528124393</c:v>
                </c:pt>
                <c:pt idx="21">
                  <c:v>0</c:v>
                </c:pt>
                <c:pt idx="22">
                  <c:v>0.9992804321360409</c:v>
                </c:pt>
                <c:pt idx="23">
                  <c:v>0</c:v>
                </c:pt>
              </c:numCache>
            </c:numRef>
          </c:val>
          <c:extLst>
            <c:ext xmlns:c16="http://schemas.microsoft.com/office/drawing/2014/chart" uri="{C3380CC4-5D6E-409C-BE32-E72D297353CC}">
              <c16:uniqueId val="{00000000-22A6-46F6-89EA-600A5CFE527F}"/>
            </c:ext>
          </c:extLst>
        </c:ser>
        <c:dLbls>
          <c:showLegendKey val="0"/>
          <c:showVal val="0"/>
          <c:showCatName val="0"/>
          <c:showSerName val="0"/>
          <c:showPercent val="0"/>
          <c:showBubbleSize val="0"/>
        </c:dLbls>
        <c:gapWidth val="219"/>
        <c:overlap val="-27"/>
        <c:axId val="569061359"/>
        <c:axId val="569058479"/>
      </c:barChart>
      <c:catAx>
        <c:axId val="56906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58479"/>
        <c:crosses val="autoZero"/>
        <c:auto val="1"/>
        <c:lblAlgn val="ctr"/>
        <c:lblOffset val="100"/>
        <c:noMultiLvlLbl val="0"/>
      </c:catAx>
      <c:valAx>
        <c:axId val="56905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'GT2.2'!$S$11</c:f>
              <c:strCache>
                <c:ptCount val="1"/>
                <c:pt idx="0">
                  <c:v>CH4-corr</c:v>
                </c:pt>
              </c:strCache>
            </c:strRef>
          </c:tx>
          <c:spPr>
            <a:ln w="28575" cap="rnd">
              <a:solidFill>
                <a:schemeClr val="accent1"/>
              </a:solidFill>
              <a:round/>
            </a:ln>
            <a:effectLst/>
          </c:spPr>
          <c:marker>
            <c:symbol val="none"/>
          </c:marker>
          <c:cat>
            <c:numRef>
              <c:f>'GT2.2'!$Q$13:$Q$32</c:f>
              <c:numCache>
                <c:formatCode>0.00</c:formatCode>
                <c:ptCount val="20"/>
                <c:pt idx="0">
                  <c:v>0</c:v>
                </c:pt>
                <c:pt idx="1">
                  <c:v>1.992361111115315</c:v>
                </c:pt>
                <c:pt idx="2">
                  <c:v>6.8118055555605679</c:v>
                </c:pt>
                <c:pt idx="3">
                  <c:v>6.8555555555576575</c:v>
                </c:pt>
                <c:pt idx="4">
                  <c:v>8.7444444444481633</c:v>
                </c:pt>
                <c:pt idx="5">
                  <c:v>8.7895833333313931</c:v>
                </c:pt>
                <c:pt idx="6">
                  <c:v>10.780555555560568</c:v>
                </c:pt>
                <c:pt idx="7">
                  <c:v>13.950000000004366</c:v>
                </c:pt>
                <c:pt idx="8">
                  <c:v>13.991666666668607</c:v>
                </c:pt>
                <c:pt idx="9">
                  <c:v>16.781944444446708</c:v>
                </c:pt>
                <c:pt idx="10">
                  <c:v>20.743750000001455</c:v>
                </c:pt>
                <c:pt idx="11">
                  <c:v>20.782638888893416</c:v>
                </c:pt>
                <c:pt idx="12">
                  <c:v>22.775000000001455</c:v>
                </c:pt>
                <c:pt idx="13">
                  <c:v>24.754166666665697</c:v>
                </c:pt>
                <c:pt idx="14">
                  <c:v>24.814583333332848</c:v>
                </c:pt>
                <c:pt idx="15">
                  <c:v>27.776388888887595</c:v>
                </c:pt>
                <c:pt idx="16">
                  <c:v>29.744444444448163</c:v>
                </c:pt>
                <c:pt idx="17">
                  <c:v>29.788888888891961</c:v>
                </c:pt>
                <c:pt idx="18">
                  <c:v>34.964583333334303</c:v>
                </c:pt>
                <c:pt idx="19">
                  <c:v>35.004166666665697</c:v>
                </c:pt>
              </c:numCache>
            </c:numRef>
          </c:cat>
          <c:val>
            <c:numRef>
              <c:f>'GT2.2'!$S$13:$S$32</c:f>
              <c:numCache>
                <c:formatCode>General</c:formatCode>
                <c:ptCount val="20"/>
                <c:pt idx="0">
                  <c:v>0</c:v>
                </c:pt>
                <c:pt idx="1">
                  <c:v>4.0559724193875477E-2</c:v>
                </c:pt>
                <c:pt idx="2">
                  <c:v>0.13895781637717122</c:v>
                </c:pt>
                <c:pt idx="3">
                  <c:v>0</c:v>
                </c:pt>
                <c:pt idx="4">
                  <c:v>9.9502487562189053E-3</c:v>
                </c:pt>
                <c:pt idx="5">
                  <c:v>0</c:v>
                </c:pt>
                <c:pt idx="6">
                  <c:v>0</c:v>
                </c:pt>
                <c:pt idx="7">
                  <c:v>1.0120433154539013E-2</c:v>
                </c:pt>
                <c:pt idx="8">
                  <c:v>0</c:v>
                </c:pt>
                <c:pt idx="9">
                  <c:v>0</c:v>
                </c:pt>
                <c:pt idx="10">
                  <c:v>0</c:v>
                </c:pt>
                <c:pt idx="11">
                  <c:v>0</c:v>
                </c:pt>
                <c:pt idx="12">
                  <c:v>0</c:v>
                </c:pt>
                <c:pt idx="13">
                  <c:v>0</c:v>
                </c:pt>
                <c:pt idx="14">
                  <c:v>0</c:v>
                </c:pt>
                <c:pt idx="15">
                  <c:v>2.9348464097045588E-2</c:v>
                </c:pt>
                <c:pt idx="16">
                  <c:v>0</c:v>
                </c:pt>
                <c:pt idx="17">
                  <c:v>0</c:v>
                </c:pt>
                <c:pt idx="18">
                  <c:v>0.16442595995744269</c:v>
                </c:pt>
                <c:pt idx="19">
                  <c:v>0</c:v>
                </c:pt>
              </c:numCache>
            </c:numRef>
          </c:val>
          <c:smooth val="0"/>
          <c:extLst>
            <c:ext xmlns:c16="http://schemas.microsoft.com/office/drawing/2014/chart" uri="{C3380CC4-5D6E-409C-BE32-E72D297353CC}">
              <c16:uniqueId val="{00000000-459C-412B-842F-F3420B4590A1}"/>
            </c:ext>
          </c:extLst>
        </c:ser>
        <c:ser>
          <c:idx val="1"/>
          <c:order val="1"/>
          <c:tx>
            <c:strRef>
              <c:f>'GT2.2'!$T$11</c:f>
              <c:strCache>
                <c:ptCount val="1"/>
                <c:pt idx="0">
                  <c:v>CO2-corr</c:v>
                </c:pt>
              </c:strCache>
            </c:strRef>
          </c:tx>
          <c:spPr>
            <a:ln w="28575" cap="rnd">
              <a:solidFill>
                <a:schemeClr val="accent2"/>
              </a:solidFill>
              <a:round/>
            </a:ln>
            <a:effectLst/>
          </c:spPr>
          <c:marker>
            <c:symbol val="none"/>
          </c:marker>
          <c:cat>
            <c:numRef>
              <c:f>'GT2.2'!$Q$13:$Q$32</c:f>
              <c:numCache>
                <c:formatCode>0.00</c:formatCode>
                <c:ptCount val="20"/>
                <c:pt idx="0">
                  <c:v>0</c:v>
                </c:pt>
                <c:pt idx="1">
                  <c:v>1.992361111115315</c:v>
                </c:pt>
                <c:pt idx="2">
                  <c:v>6.8118055555605679</c:v>
                </c:pt>
                <c:pt idx="3">
                  <c:v>6.8555555555576575</c:v>
                </c:pt>
                <c:pt idx="4">
                  <c:v>8.7444444444481633</c:v>
                </c:pt>
                <c:pt idx="5">
                  <c:v>8.7895833333313931</c:v>
                </c:pt>
                <c:pt idx="6">
                  <c:v>10.780555555560568</c:v>
                </c:pt>
                <c:pt idx="7">
                  <c:v>13.950000000004366</c:v>
                </c:pt>
                <c:pt idx="8">
                  <c:v>13.991666666668607</c:v>
                </c:pt>
                <c:pt idx="9">
                  <c:v>16.781944444446708</c:v>
                </c:pt>
                <c:pt idx="10">
                  <c:v>20.743750000001455</c:v>
                </c:pt>
                <c:pt idx="11">
                  <c:v>20.782638888893416</c:v>
                </c:pt>
                <c:pt idx="12">
                  <c:v>22.775000000001455</c:v>
                </c:pt>
                <c:pt idx="13">
                  <c:v>24.754166666665697</c:v>
                </c:pt>
                <c:pt idx="14">
                  <c:v>24.814583333332848</c:v>
                </c:pt>
                <c:pt idx="15">
                  <c:v>27.776388888887595</c:v>
                </c:pt>
                <c:pt idx="16">
                  <c:v>29.744444444448163</c:v>
                </c:pt>
                <c:pt idx="17">
                  <c:v>29.788888888891961</c:v>
                </c:pt>
                <c:pt idx="18">
                  <c:v>34.964583333334303</c:v>
                </c:pt>
                <c:pt idx="19">
                  <c:v>35.004166666665697</c:v>
                </c:pt>
              </c:numCache>
            </c:numRef>
          </c:cat>
          <c:val>
            <c:numRef>
              <c:f>'GT2.2'!$T$13:$T$32</c:f>
              <c:numCache>
                <c:formatCode>General</c:formatCode>
                <c:ptCount val="20"/>
                <c:pt idx="0">
                  <c:v>0.03</c:v>
                </c:pt>
                <c:pt idx="1">
                  <c:v>0.932873656459136</c:v>
                </c:pt>
                <c:pt idx="2">
                  <c:v>2.4516129032258069</c:v>
                </c:pt>
                <c:pt idx="3">
                  <c:v>0.78012728392527209</c:v>
                </c:pt>
                <c:pt idx="4">
                  <c:v>1.6517412935323383</c:v>
                </c:pt>
                <c:pt idx="5">
                  <c:v>0.52195271722443959</c:v>
                </c:pt>
                <c:pt idx="6">
                  <c:v>1.4898865318204242</c:v>
                </c:pt>
                <c:pt idx="7">
                  <c:v>2.8134804169618457</c:v>
                </c:pt>
                <c:pt idx="8">
                  <c:v>0.70703965570242855</c:v>
                </c:pt>
                <c:pt idx="9">
                  <c:v>1.7262512768130744</c:v>
                </c:pt>
                <c:pt idx="10">
                  <c:v>3.160977580286811</c:v>
                </c:pt>
                <c:pt idx="11">
                  <c:v>0.915617521589845</c:v>
                </c:pt>
                <c:pt idx="12">
                  <c:v>1.514095029385397</c:v>
                </c:pt>
                <c:pt idx="13">
                  <c:v>2.2603430877901114</c:v>
                </c:pt>
                <c:pt idx="14">
                  <c:v>0.57441253263707581</c:v>
                </c:pt>
                <c:pt idx="15">
                  <c:v>1.7511250244570535</c:v>
                </c:pt>
                <c:pt idx="16">
                  <c:v>2.6313224831887729</c:v>
                </c:pt>
                <c:pt idx="17">
                  <c:v>0.59468881369834914</c:v>
                </c:pt>
                <c:pt idx="18">
                  <c:v>3.365896121481768</c:v>
                </c:pt>
                <c:pt idx="19">
                  <c:v>0.77647789626255304</c:v>
                </c:pt>
              </c:numCache>
            </c:numRef>
          </c:val>
          <c:smooth val="0"/>
          <c:extLst>
            <c:ext xmlns:c16="http://schemas.microsoft.com/office/drawing/2014/chart" uri="{C3380CC4-5D6E-409C-BE32-E72D297353CC}">
              <c16:uniqueId val="{00000001-459C-412B-842F-F3420B4590A1}"/>
            </c:ext>
          </c:extLst>
        </c:ser>
        <c:ser>
          <c:idx val="2"/>
          <c:order val="2"/>
          <c:tx>
            <c:strRef>
              <c:f>'GT2.2'!$U$11</c:f>
              <c:strCache>
                <c:ptCount val="1"/>
                <c:pt idx="0">
                  <c:v>O2-corr</c:v>
                </c:pt>
              </c:strCache>
            </c:strRef>
          </c:tx>
          <c:spPr>
            <a:ln w="28575" cap="rnd">
              <a:solidFill>
                <a:schemeClr val="accent3"/>
              </a:solidFill>
              <a:round/>
            </a:ln>
            <a:effectLst/>
          </c:spPr>
          <c:marker>
            <c:symbol val="none"/>
          </c:marker>
          <c:cat>
            <c:numRef>
              <c:f>'GT2.2'!$Q$13:$Q$32</c:f>
              <c:numCache>
                <c:formatCode>0.00</c:formatCode>
                <c:ptCount val="20"/>
                <c:pt idx="0">
                  <c:v>0</c:v>
                </c:pt>
                <c:pt idx="1">
                  <c:v>1.992361111115315</c:v>
                </c:pt>
                <c:pt idx="2">
                  <c:v>6.8118055555605679</c:v>
                </c:pt>
                <c:pt idx="3">
                  <c:v>6.8555555555576575</c:v>
                </c:pt>
                <c:pt idx="4">
                  <c:v>8.7444444444481633</c:v>
                </c:pt>
                <c:pt idx="5">
                  <c:v>8.7895833333313931</c:v>
                </c:pt>
                <c:pt idx="6">
                  <c:v>10.780555555560568</c:v>
                </c:pt>
                <c:pt idx="7">
                  <c:v>13.950000000004366</c:v>
                </c:pt>
                <c:pt idx="8">
                  <c:v>13.991666666668607</c:v>
                </c:pt>
                <c:pt idx="9">
                  <c:v>16.781944444446708</c:v>
                </c:pt>
                <c:pt idx="10">
                  <c:v>20.743750000001455</c:v>
                </c:pt>
                <c:pt idx="11">
                  <c:v>20.782638888893416</c:v>
                </c:pt>
                <c:pt idx="12">
                  <c:v>22.775000000001455</c:v>
                </c:pt>
                <c:pt idx="13">
                  <c:v>24.754166666665697</c:v>
                </c:pt>
                <c:pt idx="14">
                  <c:v>24.814583333332848</c:v>
                </c:pt>
                <c:pt idx="15">
                  <c:v>27.776388888887595</c:v>
                </c:pt>
                <c:pt idx="16">
                  <c:v>29.744444444448163</c:v>
                </c:pt>
                <c:pt idx="17">
                  <c:v>29.788888888891961</c:v>
                </c:pt>
                <c:pt idx="18">
                  <c:v>34.964583333334303</c:v>
                </c:pt>
                <c:pt idx="19">
                  <c:v>35.004166666665697</c:v>
                </c:pt>
              </c:numCache>
            </c:numRef>
          </c:cat>
          <c:val>
            <c:numRef>
              <c:f>'GT2.2'!$U$13:$U$32</c:f>
              <c:numCache>
                <c:formatCode>General</c:formatCode>
                <c:ptCount val="20"/>
                <c:pt idx="0">
                  <c:v>21.9</c:v>
                </c:pt>
                <c:pt idx="1">
                  <c:v>9.8864327722571481</c:v>
                </c:pt>
                <c:pt idx="2">
                  <c:v>1.2803970223325063</c:v>
                </c:pt>
                <c:pt idx="3">
                  <c:v>20.365428043522893</c:v>
                </c:pt>
                <c:pt idx="4">
                  <c:v>12.278606965174129</c:v>
                </c:pt>
                <c:pt idx="5">
                  <c:v>21.072561662061201</c:v>
                </c:pt>
                <c:pt idx="6">
                  <c:v>16.221016280217071</c:v>
                </c:pt>
                <c:pt idx="7">
                  <c:v>11.152717336301993</c:v>
                </c:pt>
                <c:pt idx="8">
                  <c:v>21.067732349625985</c:v>
                </c:pt>
                <c:pt idx="9">
                  <c:v>17.170582226761997</c:v>
                </c:pt>
                <c:pt idx="10">
                  <c:v>12.300545344374875</c:v>
                </c:pt>
                <c:pt idx="11">
                  <c:v>20.98636978462179</c:v>
                </c:pt>
                <c:pt idx="12">
                  <c:v>18.577547564498452</c:v>
                </c:pt>
                <c:pt idx="13">
                  <c:v>16.22603430877901</c:v>
                </c:pt>
                <c:pt idx="14">
                  <c:v>21.107049608355091</c:v>
                </c:pt>
                <c:pt idx="15">
                  <c:v>17.511250244570533</c:v>
                </c:pt>
                <c:pt idx="16">
                  <c:v>15.018029431829257</c:v>
                </c:pt>
                <c:pt idx="17">
                  <c:v>21.090946375474214</c:v>
                </c:pt>
                <c:pt idx="18">
                  <c:v>13.956862365799401</c:v>
                </c:pt>
                <c:pt idx="19">
                  <c:v>20.995962314939433</c:v>
                </c:pt>
              </c:numCache>
            </c:numRef>
          </c:val>
          <c:smooth val="0"/>
          <c:extLst>
            <c:ext xmlns:c16="http://schemas.microsoft.com/office/drawing/2014/chart" uri="{C3380CC4-5D6E-409C-BE32-E72D297353CC}">
              <c16:uniqueId val="{00000002-459C-412B-842F-F3420B4590A1}"/>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'GT2.2'!$AK$11</c:f>
              <c:strCache>
                <c:ptCount val="1"/>
                <c:pt idx="0">
                  <c:v>O2 consumed </c:v>
                </c:pt>
              </c:strCache>
            </c:strRef>
          </c:tx>
          <c:spPr>
            <a:solidFill>
              <a:schemeClr val="accent1"/>
            </a:solidFill>
            <a:ln>
              <a:noFill/>
            </a:ln>
            <a:effectLst/>
          </c:spPr>
          <c:invertIfNegative val="0"/>
          <c:val>
            <c:numRef>
              <c:f>'GT2.2'!$AK$13:$AK$32</c:f>
              <c:numCache>
                <c:formatCode>General</c:formatCode>
                <c:ptCount val="20"/>
                <c:pt idx="0" formatCode="0.00E+00">
                  <c:v>0</c:v>
                </c:pt>
                <c:pt idx="1">
                  <c:v>6.047224423471261E-3</c:v>
                </c:pt>
                <c:pt idx="2">
                  <c:v>3.2183350527400026E-3</c:v>
                </c:pt>
                <c:pt idx="4">
                  <c:v>3.9511423131305323E-3</c:v>
                </c:pt>
                <c:pt idx="6">
                  <c:v>2.4265735357069402E-3</c:v>
                </c:pt>
                <c:pt idx="7">
                  <c:v>2.2960390544533174E-3</c:v>
                </c:pt>
                <c:pt idx="9">
                  <c:v>1.9968166978360366E-3</c:v>
                </c:pt>
                <c:pt idx="10">
                  <c:v>2.234702401890552E-3</c:v>
                </c:pt>
                <c:pt idx="12">
                  <c:v>1.2478758359078593E-3</c:v>
                </c:pt>
                <c:pt idx="13">
                  <c:v>1.147765820778749E-3</c:v>
                </c:pt>
                <c:pt idx="15">
                  <c:v>1.8009739804623831E-3</c:v>
                </c:pt>
                <c:pt idx="16">
                  <c:v>1.1788957328671811E-3</c:v>
                </c:pt>
                <c:pt idx="18">
                  <c:v>3.4709321384640219E-3</c:v>
                </c:pt>
              </c:numCache>
            </c:numRef>
          </c:val>
          <c:extLst>
            <c:ext xmlns:c16="http://schemas.microsoft.com/office/drawing/2014/chart" uri="{C3380CC4-5D6E-409C-BE32-E72D297353CC}">
              <c16:uniqueId val="{00000000-37F4-4177-B579-012E538525F5}"/>
            </c:ext>
          </c:extLst>
        </c:ser>
        <c:ser>
          <c:idx val="1"/>
          <c:order val="1"/>
          <c:tx>
            <c:strRef>
              <c:f>'GT2.2'!$AL$11</c:f>
              <c:strCache>
                <c:ptCount val="1"/>
                <c:pt idx="0">
                  <c:v>CO2 produced </c:v>
                </c:pt>
              </c:strCache>
            </c:strRef>
          </c:tx>
          <c:spPr>
            <a:solidFill>
              <a:schemeClr val="accent2"/>
            </a:solidFill>
            <a:ln>
              <a:noFill/>
            </a:ln>
            <a:effectLst/>
          </c:spPr>
          <c:invertIfNegative val="0"/>
          <c:val>
            <c:numRef>
              <c:f>'GT2.2'!$AL$13:$AL$32</c:f>
              <c:numCache>
                <c:formatCode>0.00E+00</c:formatCode>
                <c:ptCount val="20"/>
                <c:pt idx="0">
                  <c:v>0</c:v>
                </c:pt>
                <c:pt idx="1">
                  <c:v>3.3453788766248132E-4</c:v>
                </c:pt>
                <c:pt idx="2">
                  <c:v>5.8579282731835295E-4</c:v>
                </c:pt>
                <c:pt idx="4" formatCode="General">
                  <c:v>3.1606710708368649E-4</c:v>
                </c:pt>
                <c:pt idx="6" formatCode="General">
                  <c:v>3.9691984675717536E-4</c:v>
                </c:pt>
                <c:pt idx="7" formatCode="General">
                  <c:v>5.1066380602439335E-4</c:v>
                </c:pt>
                <c:pt idx="9" formatCode="General">
                  <c:v>4.1804930749614132E-4</c:v>
                </c:pt>
                <c:pt idx="10" formatCode="General">
                  <c:v>5.5643022099980896E-4</c:v>
                </c:pt>
                <c:pt idx="12" formatCode="General">
                  <c:v>2.4889290912956207E-4</c:v>
                </c:pt>
                <c:pt idx="13" formatCode="General">
                  <c:v>3.0172272389707665E-4</c:v>
                </c:pt>
                <c:pt idx="15" formatCode="General">
                  <c:v>4.9467363771411106E-4</c:v>
                </c:pt>
                <c:pt idx="16" formatCode="General">
                  <c:v>3.5363576192124792E-4</c:v>
                </c:pt>
                <c:pt idx="18" formatCode="General">
                  <c:v>1.1566760400741382E-3</c:v>
                </c:pt>
              </c:numCache>
            </c:numRef>
          </c:val>
          <c:extLst>
            <c:ext xmlns:c16="http://schemas.microsoft.com/office/drawing/2014/chart" uri="{C3380CC4-5D6E-409C-BE32-E72D297353CC}">
              <c16:uniqueId val="{00000001-37F4-4177-B579-012E538525F5}"/>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'GT2.2'!$BA$11</c:f>
              <c:strCache>
                <c:ptCount val="1"/>
                <c:pt idx="0">
                  <c:v>Ratio O2/CO2</c:v>
                </c:pt>
              </c:strCache>
            </c:strRef>
          </c:tx>
          <c:spPr>
            <a:solidFill>
              <a:schemeClr val="accent1"/>
            </a:solidFill>
            <a:ln>
              <a:noFill/>
            </a:ln>
            <a:effectLst/>
          </c:spPr>
          <c:invertIfNegative val="0"/>
          <c:val>
            <c:numRef>
              <c:f>'GT2.2'!$BA$13:$BA$32</c:f>
              <c:numCache>
                <c:formatCode>0.00E+00</c:formatCode>
                <c:ptCount val="20"/>
                <c:pt idx="0">
                  <c:v>0</c:v>
                </c:pt>
                <c:pt idx="1">
                  <c:v>7.859415579710304</c:v>
                </c:pt>
                <c:pt idx="2">
                  <c:v>2.388727905811999</c:v>
                </c:pt>
                <c:pt idx="3">
                  <c:v>0</c:v>
                </c:pt>
                <c:pt idx="4">
                  <c:v>5.4352915975510534</c:v>
                </c:pt>
                <c:pt idx="5">
                  <c:v>0</c:v>
                </c:pt>
                <c:pt idx="6">
                  <c:v>2.6580926788161774</c:v>
                </c:pt>
                <c:pt idx="7">
                  <c:v>1.9548960567475595</c:v>
                </c:pt>
                <c:pt idx="8">
                  <c:v>0</c:v>
                </c:pt>
                <c:pt idx="9">
                  <c:v>2.0767784506279119</c:v>
                </c:pt>
                <c:pt idx="10">
                  <c:v>1.7461778047841441</c:v>
                </c:pt>
                <c:pt idx="11">
                  <c:v>0</c:v>
                </c:pt>
                <c:pt idx="12">
                  <c:v>2.1799088200667511</c:v>
                </c:pt>
                <c:pt idx="13">
                  <c:v>1.6539590220648797</c:v>
                </c:pt>
                <c:pt idx="14">
                  <c:v>0</c:v>
                </c:pt>
                <c:pt idx="15">
                  <c:v>1.5829534706291806</c:v>
                </c:pt>
                <c:pt idx="16">
                  <c:v>1.449434839049246</c:v>
                </c:pt>
                <c:pt idx="17">
                  <c:v>0</c:v>
                </c:pt>
                <c:pt idx="18">
                  <c:v>1.3047096081186642</c:v>
                </c:pt>
                <c:pt idx="19">
                  <c:v>0</c:v>
                </c:pt>
              </c:numCache>
            </c:numRef>
          </c:val>
          <c:extLst>
            <c:ext xmlns:c16="http://schemas.microsoft.com/office/drawing/2014/chart" uri="{C3380CC4-5D6E-409C-BE32-E72D297353CC}">
              <c16:uniqueId val="{00000000-7205-4582-81A1-55199F6B19E1}"/>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'GT2.2'!$AP$11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'GT2.2'!$Q$13:$Q$32</c:f>
              <c:numCache>
                <c:formatCode>0.00</c:formatCode>
                <c:ptCount val="20"/>
                <c:pt idx="0">
                  <c:v>0</c:v>
                </c:pt>
                <c:pt idx="1">
                  <c:v>1.992361111115315</c:v>
                </c:pt>
                <c:pt idx="2">
                  <c:v>6.8118055555605679</c:v>
                </c:pt>
                <c:pt idx="3">
                  <c:v>6.8555555555576575</c:v>
                </c:pt>
                <c:pt idx="4">
                  <c:v>8.7444444444481633</c:v>
                </c:pt>
                <c:pt idx="5">
                  <c:v>8.7895833333313931</c:v>
                </c:pt>
                <c:pt idx="6">
                  <c:v>10.780555555560568</c:v>
                </c:pt>
                <c:pt idx="7">
                  <c:v>13.950000000004366</c:v>
                </c:pt>
                <c:pt idx="8">
                  <c:v>13.991666666668607</c:v>
                </c:pt>
                <c:pt idx="9">
                  <c:v>16.781944444446708</c:v>
                </c:pt>
                <c:pt idx="10">
                  <c:v>20.743750000001455</c:v>
                </c:pt>
                <c:pt idx="11">
                  <c:v>20.782638888893416</c:v>
                </c:pt>
                <c:pt idx="12">
                  <c:v>22.775000000001455</c:v>
                </c:pt>
                <c:pt idx="13">
                  <c:v>24.754166666665697</c:v>
                </c:pt>
                <c:pt idx="14">
                  <c:v>24.814583333332848</c:v>
                </c:pt>
                <c:pt idx="15">
                  <c:v>27.776388888887595</c:v>
                </c:pt>
                <c:pt idx="16">
                  <c:v>29.744444444448163</c:v>
                </c:pt>
                <c:pt idx="17">
                  <c:v>29.788888888891961</c:v>
                </c:pt>
                <c:pt idx="18">
                  <c:v>34.964583333334303</c:v>
                </c:pt>
                <c:pt idx="19">
                  <c:v>35.004166666665697</c:v>
                </c:pt>
              </c:numCache>
            </c:numRef>
          </c:xVal>
          <c:yVal>
            <c:numRef>
              <c:f>'GT2.2'!$AP$13:$AP$32</c:f>
              <c:numCache>
                <c:formatCode>0.00E+00</c:formatCode>
                <c:ptCount val="20"/>
                <c:pt idx="0">
                  <c:v>0</c:v>
                </c:pt>
                <c:pt idx="1">
                  <c:v>2.7316018422838699E-2</c:v>
                </c:pt>
                <c:pt idx="2">
                  <c:v>7.6033352392558651E-2</c:v>
                </c:pt>
                <c:pt idx="4">
                  <c:v>0.10103239430479286</c:v>
                </c:pt>
                <c:pt idx="6">
                  <c:v>0.13204018568299411</c:v>
                </c:pt>
                <c:pt idx="7">
                  <c:v>0.17225263174008434</c:v>
                </c:pt>
                <c:pt idx="9">
                  <c:v>0.20491107857399166</c:v>
                </c:pt>
                <c:pt idx="10">
                  <c:v>0.24837998634025865</c:v>
                </c:pt>
                <c:pt idx="12">
                  <c:v>0.26782375934595692</c:v>
                </c:pt>
                <c:pt idx="13">
                  <c:v>0.2913946524446504</c:v>
                </c:pt>
                <c:pt idx="15">
                  <c:v>0.3310170694536565</c:v>
                </c:pt>
                <c:pt idx="16">
                  <c:v>0.35766826759860321</c:v>
                </c:pt>
                <c:pt idx="18">
                  <c:v>0.45345054025752934</c:v>
                </c:pt>
              </c:numCache>
            </c:numRef>
          </c:yVal>
          <c:smooth val="0"/>
          <c:extLst>
            <c:ext xmlns:c16="http://schemas.microsoft.com/office/drawing/2014/chart" uri="{C3380CC4-5D6E-409C-BE32-E72D297353CC}">
              <c16:uniqueId val="{00000000-2AAA-45D4-91CB-771E24458FB6}"/>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'GT3.1'!$S$11</c:f>
              <c:strCache>
                <c:ptCount val="1"/>
                <c:pt idx="0">
                  <c:v>CH4-corr</c:v>
                </c:pt>
              </c:strCache>
            </c:strRef>
          </c:tx>
          <c:spPr>
            <a:ln w="28575" cap="rnd">
              <a:solidFill>
                <a:schemeClr val="accent1"/>
              </a:solidFill>
              <a:round/>
            </a:ln>
            <a:effectLst/>
          </c:spPr>
          <c:marker>
            <c:symbol val="none"/>
          </c:marker>
          <c:cat>
            <c:numRef>
              <c:f>'GT3.1'!$Q$13:$Q$35</c:f>
              <c:numCache>
                <c:formatCode>0.00</c:formatCode>
                <c:ptCount val="23"/>
                <c:pt idx="0">
                  <c:v>0</c:v>
                </c:pt>
                <c:pt idx="1">
                  <c:v>2.0118055555503815</c:v>
                </c:pt>
                <c:pt idx="2">
                  <c:v>2.0979166666656965</c:v>
                </c:pt>
                <c:pt idx="3">
                  <c:v>6.8125</c:v>
                </c:pt>
                <c:pt idx="4">
                  <c:v>6.8555555555503815</c:v>
                </c:pt>
                <c:pt idx="5">
                  <c:v>8.7451388888875954</c:v>
                </c:pt>
                <c:pt idx="6">
                  <c:v>8.7895833333313931</c:v>
                </c:pt>
                <c:pt idx="7">
                  <c:v>10.78125</c:v>
                </c:pt>
                <c:pt idx="8">
                  <c:v>10.781944444439432</c:v>
                </c:pt>
                <c:pt idx="9">
                  <c:v>13.950694444443798</c:v>
                </c:pt>
                <c:pt idx="10">
                  <c:v>13.991666666661331</c:v>
                </c:pt>
                <c:pt idx="11">
                  <c:v>16.781944444439432</c:v>
                </c:pt>
                <c:pt idx="12">
                  <c:v>16.820833333331393</c:v>
                </c:pt>
                <c:pt idx="13">
                  <c:v>20.743749999994179</c:v>
                </c:pt>
                <c:pt idx="14">
                  <c:v>20.783333333332848</c:v>
                </c:pt>
                <c:pt idx="15">
                  <c:v>22.775694444440887</c:v>
                </c:pt>
                <c:pt idx="16">
                  <c:v>24.754861111105129</c:v>
                </c:pt>
                <c:pt idx="17">
                  <c:v>24.794444444443798</c:v>
                </c:pt>
                <c:pt idx="18">
                  <c:v>27.78263888888614</c:v>
                </c:pt>
                <c:pt idx="19">
                  <c:v>27.81388888888614</c:v>
                </c:pt>
                <c:pt idx="20">
                  <c:v>29.744444444440887</c:v>
                </c:pt>
                <c:pt idx="21">
                  <c:v>34.965277777773736</c:v>
                </c:pt>
                <c:pt idx="22">
                  <c:v>35.004166666665697</c:v>
                </c:pt>
              </c:numCache>
            </c:numRef>
          </c:cat>
          <c:val>
            <c:numRef>
              <c:f>'GT3.1'!$S$13:$S$35</c:f>
              <c:numCache>
                <c:formatCode>General</c:formatCode>
                <c:ptCount val="23"/>
                <c:pt idx="0">
                  <c:v>0</c:v>
                </c:pt>
                <c:pt idx="1">
                  <c:v>0.33205876433890114</c:v>
                </c:pt>
                <c:pt idx="2">
                  <c:v>0</c:v>
                </c:pt>
                <c:pt idx="3">
                  <c:v>4.008417677121956E-2</c:v>
                </c:pt>
                <c:pt idx="4">
                  <c:v>0</c:v>
                </c:pt>
                <c:pt idx="5">
                  <c:v>0</c:v>
                </c:pt>
                <c:pt idx="6">
                  <c:v>0</c:v>
                </c:pt>
                <c:pt idx="7">
                  <c:v>0</c:v>
                </c:pt>
                <c:pt idx="8">
                  <c:v>0</c:v>
                </c:pt>
                <c:pt idx="9">
                  <c:v>1.0179153094462542E-2</c:v>
                </c:pt>
                <c:pt idx="10">
                  <c:v>0</c:v>
                </c:pt>
                <c:pt idx="11">
                  <c:v>0</c:v>
                </c:pt>
                <c:pt idx="12">
                  <c:v>0</c:v>
                </c:pt>
                <c:pt idx="13">
                  <c:v>0.52435212261772712</c:v>
                </c:pt>
                <c:pt idx="14">
                  <c:v>0</c:v>
                </c:pt>
                <c:pt idx="15">
                  <c:v>0</c:v>
                </c:pt>
                <c:pt idx="16">
                  <c:v>0</c:v>
                </c:pt>
                <c:pt idx="17">
                  <c:v>0</c:v>
                </c:pt>
                <c:pt idx="18">
                  <c:v>0</c:v>
                </c:pt>
                <c:pt idx="19">
                  <c:v>0</c:v>
                </c:pt>
                <c:pt idx="20">
                  <c:v>0</c:v>
                </c:pt>
                <c:pt idx="21">
                  <c:v>0.22428083861530962</c:v>
                </c:pt>
                <c:pt idx="22">
                  <c:v>0</c:v>
                </c:pt>
              </c:numCache>
            </c:numRef>
          </c:val>
          <c:smooth val="0"/>
          <c:extLst>
            <c:ext xmlns:c16="http://schemas.microsoft.com/office/drawing/2014/chart" uri="{C3380CC4-5D6E-409C-BE32-E72D297353CC}">
              <c16:uniqueId val="{00000000-3552-4BD9-A63E-B3A58F63E926}"/>
            </c:ext>
          </c:extLst>
        </c:ser>
        <c:ser>
          <c:idx val="1"/>
          <c:order val="1"/>
          <c:tx>
            <c:strRef>
              <c:f>'GT3.1'!$T$11</c:f>
              <c:strCache>
                <c:ptCount val="1"/>
                <c:pt idx="0">
                  <c:v>CO2-corr</c:v>
                </c:pt>
              </c:strCache>
            </c:strRef>
          </c:tx>
          <c:spPr>
            <a:ln w="28575" cap="rnd">
              <a:solidFill>
                <a:schemeClr val="accent2"/>
              </a:solidFill>
              <a:round/>
            </a:ln>
            <a:effectLst/>
          </c:spPr>
          <c:marker>
            <c:symbol val="none"/>
          </c:marker>
          <c:cat>
            <c:numRef>
              <c:f>'GT3.1'!$Q$13:$Q$35</c:f>
              <c:numCache>
                <c:formatCode>0.00</c:formatCode>
                <c:ptCount val="23"/>
                <c:pt idx="0">
                  <c:v>0</c:v>
                </c:pt>
                <c:pt idx="1">
                  <c:v>2.0118055555503815</c:v>
                </c:pt>
                <c:pt idx="2">
                  <c:v>2.0979166666656965</c:v>
                </c:pt>
                <c:pt idx="3">
                  <c:v>6.8125</c:v>
                </c:pt>
                <c:pt idx="4">
                  <c:v>6.8555555555503815</c:v>
                </c:pt>
                <c:pt idx="5">
                  <c:v>8.7451388888875954</c:v>
                </c:pt>
                <c:pt idx="6">
                  <c:v>8.7895833333313931</c:v>
                </c:pt>
                <c:pt idx="7">
                  <c:v>10.78125</c:v>
                </c:pt>
                <c:pt idx="8">
                  <c:v>10.781944444439432</c:v>
                </c:pt>
                <c:pt idx="9">
                  <c:v>13.950694444443798</c:v>
                </c:pt>
                <c:pt idx="10">
                  <c:v>13.991666666661331</c:v>
                </c:pt>
                <c:pt idx="11">
                  <c:v>16.781944444439432</c:v>
                </c:pt>
                <c:pt idx="12">
                  <c:v>16.820833333331393</c:v>
                </c:pt>
                <c:pt idx="13">
                  <c:v>20.743749999994179</c:v>
                </c:pt>
                <c:pt idx="14">
                  <c:v>20.783333333332848</c:v>
                </c:pt>
                <c:pt idx="15">
                  <c:v>22.775694444440887</c:v>
                </c:pt>
                <c:pt idx="16">
                  <c:v>24.754861111105129</c:v>
                </c:pt>
                <c:pt idx="17">
                  <c:v>24.794444444443798</c:v>
                </c:pt>
                <c:pt idx="18">
                  <c:v>27.78263888888614</c:v>
                </c:pt>
                <c:pt idx="19">
                  <c:v>27.81388888888614</c:v>
                </c:pt>
                <c:pt idx="20">
                  <c:v>29.744444444440887</c:v>
                </c:pt>
                <c:pt idx="21">
                  <c:v>34.965277777773736</c:v>
                </c:pt>
                <c:pt idx="22">
                  <c:v>35.004166666665697</c:v>
                </c:pt>
              </c:numCache>
            </c:numRef>
          </c:cat>
          <c:val>
            <c:numRef>
              <c:f>'GT3.1'!$T$13:$T$35</c:f>
              <c:numCache>
                <c:formatCode>General</c:formatCode>
                <c:ptCount val="23"/>
                <c:pt idx="0">
                  <c:v>0.03</c:v>
                </c:pt>
                <c:pt idx="1">
                  <c:v>3.813644596498289</c:v>
                </c:pt>
                <c:pt idx="2">
                  <c:v>0.93400390023606694</c:v>
                </c:pt>
                <c:pt idx="3">
                  <c:v>6.6439522998296416</c:v>
                </c:pt>
                <c:pt idx="4">
                  <c:v>1.263741908969485</c:v>
                </c:pt>
                <c:pt idx="5">
                  <c:v>3.283462194999498</c:v>
                </c:pt>
                <c:pt idx="6">
                  <c:v>0.84980034811098593</c:v>
                </c:pt>
                <c:pt idx="7">
                  <c:v>2.4237608026224295</c:v>
                </c:pt>
                <c:pt idx="8">
                  <c:v>0.91068622615756956</c:v>
                </c:pt>
                <c:pt idx="9">
                  <c:v>2.9417752442996745</c:v>
                </c:pt>
                <c:pt idx="10">
                  <c:v>0.89212469237079572</c:v>
                </c:pt>
                <c:pt idx="11">
                  <c:v>2.6703499079189683</c:v>
                </c:pt>
                <c:pt idx="12">
                  <c:v>0.81992734820965241</c:v>
                </c:pt>
                <c:pt idx="13">
                  <c:v>3.2368659876978922</c:v>
                </c:pt>
                <c:pt idx="14">
                  <c:v>0.89471493965875992</c:v>
                </c:pt>
                <c:pt idx="15">
                  <c:v>2.2041062801932365</c:v>
                </c:pt>
                <c:pt idx="16">
                  <c:v>3.4692823954568923</c:v>
                </c:pt>
                <c:pt idx="17">
                  <c:v>0.79298831385642732</c:v>
                </c:pt>
                <c:pt idx="18">
                  <c:v>2.7571894455973913</c:v>
                </c:pt>
                <c:pt idx="19">
                  <c:v>0.73158165893869131</c:v>
                </c:pt>
                <c:pt idx="20">
                  <c:v>1.8942383583267559</c:v>
                </c:pt>
                <c:pt idx="21">
                  <c:v>5.5582642613359337</c:v>
                </c:pt>
                <c:pt idx="22">
                  <c:v>1.0149130074565038</c:v>
                </c:pt>
              </c:numCache>
            </c:numRef>
          </c:val>
          <c:smooth val="0"/>
          <c:extLst>
            <c:ext xmlns:c16="http://schemas.microsoft.com/office/drawing/2014/chart" uri="{C3380CC4-5D6E-409C-BE32-E72D297353CC}">
              <c16:uniqueId val="{00000001-3552-4BD9-A63E-B3A58F63E926}"/>
            </c:ext>
          </c:extLst>
        </c:ser>
        <c:ser>
          <c:idx val="2"/>
          <c:order val="2"/>
          <c:tx>
            <c:strRef>
              <c:f>'GT3.1'!$U$11</c:f>
              <c:strCache>
                <c:ptCount val="1"/>
                <c:pt idx="0">
                  <c:v>O2-corr</c:v>
                </c:pt>
              </c:strCache>
            </c:strRef>
          </c:tx>
          <c:spPr>
            <a:ln w="28575" cap="rnd">
              <a:solidFill>
                <a:schemeClr val="accent3"/>
              </a:solidFill>
              <a:round/>
            </a:ln>
            <a:effectLst/>
          </c:spPr>
          <c:marker>
            <c:symbol val="none"/>
          </c:marker>
          <c:cat>
            <c:numRef>
              <c:f>'GT3.1'!$Q$13:$Q$35</c:f>
              <c:numCache>
                <c:formatCode>0.00</c:formatCode>
                <c:ptCount val="23"/>
                <c:pt idx="0">
                  <c:v>0</c:v>
                </c:pt>
                <c:pt idx="1">
                  <c:v>2.0118055555503815</c:v>
                </c:pt>
                <c:pt idx="2">
                  <c:v>2.0979166666656965</c:v>
                </c:pt>
                <c:pt idx="3">
                  <c:v>6.8125</c:v>
                </c:pt>
                <c:pt idx="4">
                  <c:v>6.8555555555503815</c:v>
                </c:pt>
                <c:pt idx="5">
                  <c:v>8.7451388888875954</c:v>
                </c:pt>
                <c:pt idx="6">
                  <c:v>8.7895833333313931</c:v>
                </c:pt>
                <c:pt idx="7">
                  <c:v>10.78125</c:v>
                </c:pt>
                <c:pt idx="8">
                  <c:v>10.781944444439432</c:v>
                </c:pt>
                <c:pt idx="9">
                  <c:v>13.950694444443798</c:v>
                </c:pt>
                <c:pt idx="10">
                  <c:v>13.991666666661331</c:v>
                </c:pt>
                <c:pt idx="11">
                  <c:v>16.781944444439432</c:v>
                </c:pt>
                <c:pt idx="12">
                  <c:v>16.820833333331393</c:v>
                </c:pt>
                <c:pt idx="13">
                  <c:v>20.743749999994179</c:v>
                </c:pt>
                <c:pt idx="14">
                  <c:v>20.783333333332848</c:v>
                </c:pt>
                <c:pt idx="15">
                  <c:v>22.775694444440887</c:v>
                </c:pt>
                <c:pt idx="16">
                  <c:v>24.754861111105129</c:v>
                </c:pt>
                <c:pt idx="17">
                  <c:v>24.794444444443798</c:v>
                </c:pt>
                <c:pt idx="18">
                  <c:v>27.78263888888614</c:v>
                </c:pt>
                <c:pt idx="19">
                  <c:v>27.81388888888614</c:v>
                </c:pt>
                <c:pt idx="20">
                  <c:v>29.744444444440887</c:v>
                </c:pt>
                <c:pt idx="21">
                  <c:v>34.965277777773736</c:v>
                </c:pt>
                <c:pt idx="22">
                  <c:v>35.004166666665697</c:v>
                </c:pt>
              </c:numCache>
            </c:numRef>
          </c:cat>
          <c:val>
            <c:numRef>
              <c:f>'GT3.1'!$U$13:$U$35</c:f>
              <c:numCache>
                <c:formatCode>General</c:formatCode>
                <c:ptCount val="23"/>
                <c:pt idx="0">
                  <c:v>21.9</c:v>
                </c:pt>
                <c:pt idx="1">
                  <c:v>3.4111491245723484</c:v>
                </c:pt>
                <c:pt idx="2">
                  <c:v>20.958636970132407</c:v>
                </c:pt>
                <c:pt idx="3">
                  <c:v>4.9904800080168359</c:v>
                </c:pt>
                <c:pt idx="4">
                  <c:v>20.867152984691252</c:v>
                </c:pt>
                <c:pt idx="5">
                  <c:v>15.844964353850788</c:v>
                </c:pt>
                <c:pt idx="6">
                  <c:v>21.019760417733181</c:v>
                </c:pt>
                <c:pt idx="7">
                  <c:v>16.261050958577531</c:v>
                </c:pt>
                <c:pt idx="8">
                  <c:v>20.99280856090931</c:v>
                </c:pt>
                <c:pt idx="9">
                  <c:v>14.403501628664495</c:v>
                </c:pt>
                <c:pt idx="10">
                  <c:v>21.011074651353571</c:v>
                </c:pt>
                <c:pt idx="11">
                  <c:v>15.694700225086963</c:v>
                </c:pt>
                <c:pt idx="12">
                  <c:v>21.027503892060199</c:v>
                </c:pt>
                <c:pt idx="13">
                  <c:v>14.278511646667338</c:v>
                </c:pt>
                <c:pt idx="14">
                  <c:v>20.973782771535582</c:v>
                </c:pt>
                <c:pt idx="15">
                  <c:v>17.592592592592592</c:v>
                </c:pt>
                <c:pt idx="16">
                  <c:v>12.669075890552401</c:v>
                </c:pt>
                <c:pt idx="17">
                  <c:v>21.0559265442404</c:v>
                </c:pt>
                <c:pt idx="18">
                  <c:v>16.187370293507264</c:v>
                </c:pt>
                <c:pt idx="19">
                  <c:v>21.061308603812467</c:v>
                </c:pt>
                <c:pt idx="20">
                  <c:v>18.103788476716652</c:v>
                </c:pt>
                <c:pt idx="21">
                  <c:v>10.258410531448074</c:v>
                </c:pt>
                <c:pt idx="22">
                  <c:v>20.961060480530236</c:v>
                </c:pt>
              </c:numCache>
            </c:numRef>
          </c:val>
          <c:smooth val="0"/>
          <c:extLst>
            <c:ext xmlns:c16="http://schemas.microsoft.com/office/drawing/2014/chart" uri="{C3380CC4-5D6E-409C-BE32-E72D297353CC}">
              <c16:uniqueId val="{00000002-3552-4BD9-A63E-B3A58F63E926}"/>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'GT3.1'!$AK$11</c:f>
              <c:strCache>
                <c:ptCount val="1"/>
                <c:pt idx="0">
                  <c:v>O2 consumed </c:v>
                </c:pt>
              </c:strCache>
            </c:strRef>
          </c:tx>
          <c:spPr>
            <a:solidFill>
              <a:schemeClr val="accent1"/>
            </a:solidFill>
            <a:ln>
              <a:noFill/>
            </a:ln>
            <a:effectLst/>
          </c:spPr>
          <c:invertIfNegative val="0"/>
          <c:val>
            <c:numRef>
              <c:f>'GT3.1'!$AK$13:$AK$35</c:f>
              <c:numCache>
                <c:formatCode>General</c:formatCode>
                <c:ptCount val="23"/>
                <c:pt idx="0" formatCode="0.00E+00">
                  <c:v>0</c:v>
                </c:pt>
                <c:pt idx="1">
                  <c:v>8.988521504284884E-3</c:v>
                </c:pt>
                <c:pt idx="3">
                  <c:v>7.3419685673790135E-3</c:v>
                </c:pt>
                <c:pt idx="5">
                  <c:v>2.4370969243373798E-3</c:v>
                </c:pt>
                <c:pt idx="7">
                  <c:v>2.3272451650852384E-3</c:v>
                </c:pt>
                <c:pt idx="9">
                  <c:v>3.2353643840862369E-3</c:v>
                </c:pt>
                <c:pt idx="11">
                  <c:v>2.648791964478342E-3</c:v>
                </c:pt>
                <c:pt idx="13">
                  <c:v>3.2831046515889263E-3</c:v>
                </c:pt>
                <c:pt idx="15">
                  <c:v>1.7210217583686479E-3</c:v>
                </c:pt>
                <c:pt idx="16">
                  <c:v>2.2433253822144545E-3</c:v>
                </c:pt>
                <c:pt idx="18">
                  <c:v>2.3933669816430308E-3</c:v>
                </c:pt>
                <c:pt idx="20">
                  <c:v>1.4719439539289912E-3</c:v>
                </c:pt>
                <c:pt idx="21">
                  <c:v>3.5794346130841636E-3</c:v>
                </c:pt>
              </c:numCache>
            </c:numRef>
          </c:val>
          <c:extLst>
            <c:ext xmlns:c16="http://schemas.microsoft.com/office/drawing/2014/chart" uri="{C3380CC4-5D6E-409C-BE32-E72D297353CC}">
              <c16:uniqueId val="{00000000-AB89-4741-AA82-9438CEC4A186}"/>
            </c:ext>
          </c:extLst>
        </c:ser>
        <c:ser>
          <c:idx val="1"/>
          <c:order val="1"/>
          <c:tx>
            <c:strRef>
              <c:f>'GT3.1'!$AL$11</c:f>
              <c:strCache>
                <c:ptCount val="1"/>
                <c:pt idx="0">
                  <c:v>CO2 produced </c:v>
                </c:pt>
              </c:strCache>
            </c:strRef>
          </c:tx>
          <c:spPr>
            <a:solidFill>
              <a:schemeClr val="accent2"/>
            </a:solidFill>
            <a:ln>
              <a:noFill/>
            </a:ln>
            <a:effectLst/>
          </c:spPr>
          <c:invertIfNegative val="0"/>
          <c:val>
            <c:numRef>
              <c:f>'GT3.1'!$AL$13:$AL$35</c:f>
              <c:numCache>
                <c:formatCode>General</c:formatCode>
                <c:ptCount val="23"/>
                <c:pt idx="0" formatCode="0.00E+00">
                  <c:v>0</c:v>
                </c:pt>
                <c:pt idx="1">
                  <c:v>1.4631817004775993E-3</c:v>
                </c:pt>
                <c:pt idx="3">
                  <c:v>2.1940255254502819E-3</c:v>
                </c:pt>
                <c:pt idx="5">
                  <c:v>8.2325423012788955E-4</c:v>
                </c:pt>
                <c:pt idx="7">
                  <c:v>6.6146311372976686E-4</c:v>
                </c:pt>
                <c:pt idx="9">
                  <c:v>8.2659435154237696E-4</c:v>
                </c:pt>
                <c:pt idx="11">
                  <c:v>7.2765348611172659E-4</c:v>
                </c:pt>
                <c:pt idx="13">
                  <c:v>9.9894457922148835E-4</c:v>
                </c:pt>
                <c:pt idx="15">
                  <c:v>5.5129175243542178E-4</c:v>
                </c:pt>
                <c:pt idx="16">
                  <c:v>5.0646099063265959E-4</c:v>
                </c:pt>
                <c:pt idx="18">
                  <c:v>8.2534126166451888E-4</c:v>
                </c:pt>
                <c:pt idx="20">
                  <c:v>4.9338001101671702E-4</c:v>
                </c:pt>
                <c:pt idx="21">
                  <c:v>1.4582963060430108E-3</c:v>
                </c:pt>
              </c:numCache>
            </c:numRef>
          </c:val>
          <c:extLst>
            <c:ext xmlns:c16="http://schemas.microsoft.com/office/drawing/2014/chart" uri="{C3380CC4-5D6E-409C-BE32-E72D297353CC}">
              <c16:uniqueId val="{00000001-AB89-4741-AA82-9438CEC4A18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'GT3.1'!$AP$11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'GT3.1'!$Q$13:$Q$35</c:f>
              <c:numCache>
                <c:formatCode>0.00</c:formatCode>
                <c:ptCount val="23"/>
                <c:pt idx="0">
                  <c:v>0</c:v>
                </c:pt>
                <c:pt idx="1">
                  <c:v>2.0118055555503815</c:v>
                </c:pt>
                <c:pt idx="2">
                  <c:v>2.0979166666656965</c:v>
                </c:pt>
                <c:pt idx="3">
                  <c:v>6.8125</c:v>
                </c:pt>
                <c:pt idx="4">
                  <c:v>6.8555555555503815</c:v>
                </c:pt>
                <c:pt idx="5">
                  <c:v>8.7451388888875954</c:v>
                </c:pt>
                <c:pt idx="6">
                  <c:v>8.7895833333313931</c:v>
                </c:pt>
                <c:pt idx="7">
                  <c:v>10.78125</c:v>
                </c:pt>
                <c:pt idx="8">
                  <c:v>10.781944444439432</c:v>
                </c:pt>
                <c:pt idx="9">
                  <c:v>13.950694444443798</c:v>
                </c:pt>
                <c:pt idx="10">
                  <c:v>13.991666666661331</c:v>
                </c:pt>
                <c:pt idx="11">
                  <c:v>16.781944444439432</c:v>
                </c:pt>
                <c:pt idx="12">
                  <c:v>16.820833333331393</c:v>
                </c:pt>
                <c:pt idx="13">
                  <c:v>20.743749999994179</c:v>
                </c:pt>
                <c:pt idx="14">
                  <c:v>20.783333333332848</c:v>
                </c:pt>
                <c:pt idx="15">
                  <c:v>22.775694444440887</c:v>
                </c:pt>
                <c:pt idx="16">
                  <c:v>24.754861111105129</c:v>
                </c:pt>
                <c:pt idx="17">
                  <c:v>24.794444444443798</c:v>
                </c:pt>
                <c:pt idx="18">
                  <c:v>27.78263888888614</c:v>
                </c:pt>
                <c:pt idx="19">
                  <c:v>27.81388888888614</c:v>
                </c:pt>
                <c:pt idx="20">
                  <c:v>29.744444444440887</c:v>
                </c:pt>
                <c:pt idx="21">
                  <c:v>34.965277777773736</c:v>
                </c:pt>
                <c:pt idx="22">
                  <c:v>35.004166666665697</c:v>
                </c:pt>
              </c:numCache>
            </c:numRef>
          </c:xVal>
          <c:yVal>
            <c:numRef>
              <c:f>'GT3.1'!$AP$13:$AP$35</c:f>
              <c:numCache>
                <c:formatCode>0.00E+00</c:formatCode>
                <c:ptCount val="23"/>
                <c:pt idx="0">
                  <c:v>0</c:v>
                </c:pt>
                <c:pt idx="1">
                  <c:v>0.12435404602870861</c:v>
                </c:pt>
                <c:pt idx="3">
                  <c:v>0.29698305154580756</c:v>
                </c:pt>
                <c:pt idx="5">
                  <c:v>0.36129652850490801</c:v>
                </c:pt>
                <c:pt idx="7">
                  <c:v>0.41297071512590555</c:v>
                </c:pt>
                <c:pt idx="9">
                  <c:v>0.47787699575562015</c:v>
                </c:pt>
                <c:pt idx="11">
                  <c:v>0.53472204313057969</c:v>
                </c:pt>
                <c:pt idx="13">
                  <c:v>0.62998523750173385</c:v>
                </c:pt>
                <c:pt idx="15">
                  <c:v>0.6730527227577644</c:v>
                </c:pt>
                <c:pt idx="16">
                  <c:v>0.71261798226050233</c:v>
                </c:pt>
                <c:pt idx="18">
                  <c:v>0.77709450029456106</c:v>
                </c:pt>
                <c:pt idx="20">
                  <c:v>0.81563786006044414</c:v>
                </c:pt>
                <c:pt idx="21">
                  <c:v>0.93672171261382231</c:v>
                </c:pt>
              </c:numCache>
            </c:numRef>
          </c:yVal>
          <c:smooth val="0"/>
          <c:extLst>
            <c:ext xmlns:c16="http://schemas.microsoft.com/office/drawing/2014/chart" uri="{C3380CC4-5D6E-409C-BE32-E72D297353CC}">
              <c16:uniqueId val="{00000000-3B5D-427C-ABF5-72668C217068}"/>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'GT1.1'!$AK$11</c:f>
              <c:strCache>
                <c:ptCount val="1"/>
                <c:pt idx="0">
                  <c:v>O2 consumed </c:v>
                </c:pt>
              </c:strCache>
            </c:strRef>
          </c:tx>
          <c:spPr>
            <a:solidFill>
              <a:schemeClr val="accent1"/>
            </a:solidFill>
            <a:ln>
              <a:noFill/>
            </a:ln>
            <a:effectLst/>
          </c:spPr>
          <c:invertIfNegative val="0"/>
          <c:val>
            <c:numRef>
              <c:f>'GT1.1'!$AK$13:$AK$36</c:f>
              <c:numCache>
                <c:formatCode>0.00E+00</c:formatCode>
                <c:ptCount val="24"/>
                <c:pt idx="0">
                  <c:v>0</c:v>
                </c:pt>
                <c:pt idx="1">
                  <c:v>8.816302041788621E-3</c:v>
                </c:pt>
                <c:pt idx="2">
                  <c:v>2.4726126873235573E-4</c:v>
                </c:pt>
                <c:pt idx="4">
                  <c:v>5.6252657156648346E-3</c:v>
                </c:pt>
                <c:pt idx="6">
                  <c:v>4.6706178888338877E-3</c:v>
                </c:pt>
                <c:pt idx="8">
                  <c:v>5.1516401620047073E-3</c:v>
                </c:pt>
                <c:pt idx="10">
                  <c:v>4.0838138390727604E-3</c:v>
                </c:pt>
                <c:pt idx="12">
                  <c:v>6.0139660981393334E-3</c:v>
                </c:pt>
                <c:pt idx="14">
                  <c:v>3.2875081453512612E-3</c:v>
                </c:pt>
                <c:pt idx="16">
                  <c:v>2.9197740618312745E-3</c:v>
                </c:pt>
                <c:pt idx="18">
                  <c:v>3.3529394997780376E-3</c:v>
                </c:pt>
                <c:pt idx="20">
                  <c:v>1.9723747929289871E-3</c:v>
                </c:pt>
                <c:pt idx="22">
                  <c:v>4.6503840741604872E-3</c:v>
                </c:pt>
              </c:numCache>
            </c:numRef>
          </c:val>
          <c:extLst>
            <c:ext xmlns:c16="http://schemas.microsoft.com/office/drawing/2014/chart" uri="{C3380CC4-5D6E-409C-BE32-E72D297353CC}">
              <c16:uniqueId val="{00000014-AF2C-4537-885C-34BFD6FDC335}"/>
            </c:ext>
          </c:extLst>
        </c:ser>
        <c:ser>
          <c:idx val="1"/>
          <c:order val="1"/>
          <c:tx>
            <c:strRef>
              <c:f>'GT1.1'!$AL$11</c:f>
              <c:strCache>
                <c:ptCount val="1"/>
                <c:pt idx="0">
                  <c:v>CO2 produced </c:v>
                </c:pt>
              </c:strCache>
            </c:strRef>
          </c:tx>
          <c:spPr>
            <a:solidFill>
              <a:schemeClr val="accent2"/>
            </a:solidFill>
            <a:ln>
              <a:noFill/>
            </a:ln>
            <a:effectLst/>
          </c:spPr>
          <c:invertIfNegative val="0"/>
          <c:val>
            <c:numRef>
              <c:f>'GT1.1'!$AL$13:$AL$36</c:f>
              <c:numCache>
                <c:formatCode>0.00E+00</c:formatCode>
                <c:ptCount val="24"/>
                <c:pt idx="0">
                  <c:v>0</c:v>
                </c:pt>
                <c:pt idx="1">
                  <c:v>5.6301016172034064E-4</c:v>
                </c:pt>
                <c:pt idx="2">
                  <c:v>3.0921621626700741E-4</c:v>
                </c:pt>
                <c:pt idx="4">
                  <c:v>6.6251249721894297E-4</c:v>
                </c:pt>
                <c:pt idx="6">
                  <c:v>1.4411398092032588E-3</c:v>
                </c:pt>
                <c:pt idx="8">
                  <c:v>2.1446402562202006E-3</c:v>
                </c:pt>
                <c:pt idx="10">
                  <c:v>1.7578316156219651E-3</c:v>
                </c:pt>
                <c:pt idx="12">
                  <c:v>2.6155179034487272E-3</c:v>
                </c:pt>
                <c:pt idx="14">
                  <c:v>1.5503864095274059E-3</c:v>
                </c:pt>
                <c:pt idx="16">
                  <c:v>1.3304667787949491E-3</c:v>
                </c:pt>
                <c:pt idx="18">
                  <c:v>1.506886420452955E-3</c:v>
                </c:pt>
                <c:pt idx="20">
                  <c:v>9.958656384559401E-4</c:v>
                </c:pt>
                <c:pt idx="22">
                  <c:v>2.5483181650223343E-3</c:v>
                </c:pt>
              </c:numCache>
            </c:numRef>
          </c:val>
          <c:extLst>
            <c:ext xmlns:c16="http://schemas.microsoft.com/office/drawing/2014/chart" uri="{C3380CC4-5D6E-409C-BE32-E72D297353CC}">
              <c16:uniqueId val="{00000016-AF2C-4537-885C-34BFD6FDC335}"/>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'GT3.1'!$BA$11</c:f>
              <c:strCache>
                <c:ptCount val="1"/>
                <c:pt idx="0">
                  <c:v>Ratio O2/CO2</c:v>
                </c:pt>
              </c:strCache>
            </c:strRef>
          </c:tx>
          <c:spPr>
            <a:solidFill>
              <a:schemeClr val="accent1"/>
            </a:solidFill>
            <a:ln>
              <a:noFill/>
            </a:ln>
            <a:effectLst/>
          </c:spPr>
          <c:invertIfNegative val="0"/>
          <c:val>
            <c:numRef>
              <c:f>'GT3.1'!$BA$12:$BA$35</c:f>
              <c:numCache>
                <c:formatCode>0.00E+00</c:formatCode>
                <c:ptCount val="24"/>
                <c:pt idx="1">
                  <c:v>0</c:v>
                </c:pt>
                <c:pt idx="2">
                  <c:v>2.6564801482833489</c:v>
                </c:pt>
                <c:pt idx="3">
                  <c:v>0</c:v>
                </c:pt>
                <c:pt idx="4">
                  <c:v>1.4549575497214819</c:v>
                </c:pt>
                <c:pt idx="5">
                  <c:v>0</c:v>
                </c:pt>
                <c:pt idx="6">
                  <c:v>1.2871178347760928</c:v>
                </c:pt>
                <c:pt idx="7">
                  <c:v>0</c:v>
                </c:pt>
                <c:pt idx="8">
                  <c:v>1.5297342246122807</c:v>
                </c:pt>
                <c:pt idx="9">
                  <c:v>0</c:v>
                </c:pt>
                <c:pt idx="10">
                  <c:v>1.7018067602399058</c:v>
                </c:pt>
                <c:pt idx="11">
                  <c:v>0</c:v>
                </c:pt>
                <c:pt idx="12">
                  <c:v>1.5827149816584247</c:v>
                </c:pt>
                <c:pt idx="13">
                  <c:v>0</c:v>
                </c:pt>
                <c:pt idx="14">
                  <c:v>1.428969006597941</c:v>
                </c:pt>
                <c:pt idx="15">
                  <c:v>0</c:v>
                </c:pt>
                <c:pt idx="16">
                  <c:v>1.3573265467183586</c:v>
                </c:pt>
                <c:pt idx="17">
                  <c:v>1.9258645875521505</c:v>
                </c:pt>
                <c:pt idx="18">
                  <c:v>0</c:v>
                </c:pt>
                <c:pt idx="19">
                  <c:v>1.260826171846271</c:v>
                </c:pt>
                <c:pt idx="20">
                  <c:v>0</c:v>
                </c:pt>
                <c:pt idx="21">
                  <c:v>1.2971470165316998</c:v>
                </c:pt>
                <c:pt idx="22">
                  <c:v>1.0672056974336557</c:v>
                </c:pt>
                <c:pt idx="23">
                  <c:v>0</c:v>
                </c:pt>
              </c:numCache>
            </c:numRef>
          </c:val>
          <c:extLst>
            <c:ext xmlns:c16="http://schemas.microsoft.com/office/drawing/2014/chart" uri="{C3380CC4-5D6E-409C-BE32-E72D297353CC}">
              <c16:uniqueId val="{00000000-129D-49D9-9224-CD5209449999}"/>
            </c:ext>
          </c:extLst>
        </c:ser>
        <c:dLbls>
          <c:showLegendKey val="0"/>
          <c:showVal val="0"/>
          <c:showCatName val="0"/>
          <c:showSerName val="0"/>
          <c:showPercent val="0"/>
          <c:showBubbleSize val="0"/>
        </c:dLbls>
        <c:gapWidth val="219"/>
        <c:overlap val="-27"/>
        <c:axId val="2138429776"/>
        <c:axId val="2138428336"/>
      </c:barChart>
      <c:catAx>
        <c:axId val="2138429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28336"/>
        <c:crosses val="autoZero"/>
        <c:auto val="1"/>
        <c:lblAlgn val="ctr"/>
        <c:lblOffset val="100"/>
        <c:noMultiLvlLbl val="0"/>
      </c:catAx>
      <c:valAx>
        <c:axId val="21384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2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'GT3.2'!$S$11</c:f>
              <c:strCache>
                <c:ptCount val="1"/>
                <c:pt idx="0">
                  <c:v>CH4-corr</c:v>
                </c:pt>
              </c:strCache>
            </c:strRef>
          </c:tx>
          <c:spPr>
            <a:ln w="28575" cap="rnd">
              <a:solidFill>
                <a:schemeClr val="accent1"/>
              </a:solidFill>
              <a:round/>
            </a:ln>
            <a:effectLst/>
          </c:spPr>
          <c:marker>
            <c:symbol val="none"/>
          </c:marker>
          <c:cat>
            <c:numRef>
              <c:f>'GT3.2'!$Q$13:$Q$36</c:f>
              <c:numCache>
                <c:formatCode>0.00</c:formatCode>
                <c:ptCount val="24"/>
                <c:pt idx="0">
                  <c:v>0</c:v>
                </c:pt>
                <c:pt idx="1">
                  <c:v>2.0131944444437977</c:v>
                </c:pt>
                <c:pt idx="2">
                  <c:v>2.0979166666656965</c:v>
                </c:pt>
                <c:pt idx="3">
                  <c:v>6.8131944444467081</c:v>
                </c:pt>
                <c:pt idx="4">
                  <c:v>6.8569444444437977</c:v>
                </c:pt>
                <c:pt idx="5">
                  <c:v>8.7465277777810115</c:v>
                </c:pt>
                <c:pt idx="6">
                  <c:v>8.7951388888905058</c:v>
                </c:pt>
                <c:pt idx="7">
                  <c:v>10.783333333332848</c:v>
                </c:pt>
                <c:pt idx="8">
                  <c:v>10.784027777779556</c:v>
                </c:pt>
                <c:pt idx="9">
                  <c:v>13.951388888890506</c:v>
                </c:pt>
                <c:pt idx="10">
                  <c:v>13.993055555554747</c:v>
                </c:pt>
                <c:pt idx="11">
                  <c:v>16.783333333332848</c:v>
                </c:pt>
                <c:pt idx="12">
                  <c:v>16.821527777778101</c:v>
                </c:pt>
                <c:pt idx="13">
                  <c:v>20.744444444440887</c:v>
                </c:pt>
                <c:pt idx="14">
                  <c:v>20.783333333332848</c:v>
                </c:pt>
                <c:pt idx="15">
                  <c:v>22.776388888887595</c:v>
                </c:pt>
                <c:pt idx="16">
                  <c:v>24.755555555551837</c:v>
                </c:pt>
                <c:pt idx="17">
                  <c:v>24.794444444443798</c:v>
                </c:pt>
                <c:pt idx="18">
                  <c:v>27.783333333332848</c:v>
                </c:pt>
                <c:pt idx="19">
                  <c:v>27.816666666665697</c:v>
                </c:pt>
                <c:pt idx="20">
                  <c:v>29.745138888887595</c:v>
                </c:pt>
                <c:pt idx="21">
                  <c:v>29.788194444445253</c:v>
                </c:pt>
                <c:pt idx="22">
                  <c:v>34.965972222220444</c:v>
                </c:pt>
                <c:pt idx="23">
                  <c:v>35.004861111112405</c:v>
                </c:pt>
              </c:numCache>
            </c:numRef>
          </c:cat>
          <c:val>
            <c:numRef>
              <c:f>'GT3.2'!$S$13:$S$36</c:f>
              <c:numCache>
                <c:formatCode>General</c:formatCode>
                <c:ptCount val="24"/>
                <c:pt idx="0">
                  <c:v>0</c:v>
                </c:pt>
                <c:pt idx="1">
                  <c:v>7.0105157736604903E-2</c:v>
                </c:pt>
                <c:pt idx="2">
                  <c:v>0</c:v>
                </c:pt>
                <c:pt idx="3">
                  <c:v>1.0041168792047394E-2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0.17598748533437622</c:v>
                </c:pt>
                <c:pt idx="23">
                  <c:v>0</c:v>
                </c:pt>
              </c:numCache>
            </c:numRef>
          </c:val>
          <c:smooth val="0"/>
          <c:extLst>
            <c:ext xmlns:c16="http://schemas.microsoft.com/office/drawing/2014/chart" uri="{C3380CC4-5D6E-409C-BE32-E72D297353CC}">
              <c16:uniqueId val="{00000000-A02F-44C3-BFC3-FFD9FF8BA0A0}"/>
            </c:ext>
          </c:extLst>
        </c:ser>
        <c:ser>
          <c:idx val="1"/>
          <c:order val="1"/>
          <c:tx>
            <c:strRef>
              <c:f>'GT3.2'!$T$11</c:f>
              <c:strCache>
                <c:ptCount val="1"/>
                <c:pt idx="0">
                  <c:v>CO2-corr</c:v>
                </c:pt>
              </c:strCache>
            </c:strRef>
          </c:tx>
          <c:spPr>
            <a:ln w="28575" cap="rnd">
              <a:solidFill>
                <a:schemeClr val="accent2"/>
              </a:solidFill>
              <a:round/>
            </a:ln>
            <a:effectLst/>
          </c:spPr>
          <c:marker>
            <c:symbol val="none"/>
          </c:marker>
          <c:cat>
            <c:numRef>
              <c:f>'GT3.2'!$Q$13:$Q$36</c:f>
              <c:numCache>
                <c:formatCode>0.00</c:formatCode>
                <c:ptCount val="24"/>
                <c:pt idx="0">
                  <c:v>0</c:v>
                </c:pt>
                <c:pt idx="1">
                  <c:v>2.0131944444437977</c:v>
                </c:pt>
                <c:pt idx="2">
                  <c:v>2.0979166666656965</c:v>
                </c:pt>
                <c:pt idx="3">
                  <c:v>6.8131944444467081</c:v>
                </c:pt>
                <c:pt idx="4">
                  <c:v>6.8569444444437977</c:v>
                </c:pt>
                <c:pt idx="5">
                  <c:v>8.7465277777810115</c:v>
                </c:pt>
                <c:pt idx="6">
                  <c:v>8.7951388888905058</c:v>
                </c:pt>
                <c:pt idx="7">
                  <c:v>10.783333333332848</c:v>
                </c:pt>
                <c:pt idx="8">
                  <c:v>10.784027777779556</c:v>
                </c:pt>
                <c:pt idx="9">
                  <c:v>13.951388888890506</c:v>
                </c:pt>
                <c:pt idx="10">
                  <c:v>13.993055555554747</c:v>
                </c:pt>
                <c:pt idx="11">
                  <c:v>16.783333333332848</c:v>
                </c:pt>
                <c:pt idx="12">
                  <c:v>16.821527777778101</c:v>
                </c:pt>
                <c:pt idx="13">
                  <c:v>20.744444444440887</c:v>
                </c:pt>
                <c:pt idx="14">
                  <c:v>20.783333333332848</c:v>
                </c:pt>
                <c:pt idx="15">
                  <c:v>22.776388888887595</c:v>
                </c:pt>
                <c:pt idx="16">
                  <c:v>24.755555555551837</c:v>
                </c:pt>
                <c:pt idx="17">
                  <c:v>24.794444444443798</c:v>
                </c:pt>
                <c:pt idx="18">
                  <c:v>27.783333333332848</c:v>
                </c:pt>
                <c:pt idx="19">
                  <c:v>27.816666666665697</c:v>
                </c:pt>
                <c:pt idx="20">
                  <c:v>29.745138888887595</c:v>
                </c:pt>
                <c:pt idx="21">
                  <c:v>29.788194444445253</c:v>
                </c:pt>
                <c:pt idx="22">
                  <c:v>34.965972222220444</c:v>
                </c:pt>
                <c:pt idx="23">
                  <c:v>35.004861111112405</c:v>
                </c:pt>
              </c:numCache>
            </c:numRef>
          </c:cat>
          <c:val>
            <c:numRef>
              <c:f>'GT3.2'!$T$13:$T$36</c:f>
              <c:numCache>
                <c:formatCode>General</c:formatCode>
                <c:ptCount val="24"/>
                <c:pt idx="0">
                  <c:v>0.03</c:v>
                </c:pt>
                <c:pt idx="1">
                  <c:v>2.744116174261392</c:v>
                </c:pt>
                <c:pt idx="2">
                  <c:v>0.67657611481291646</c:v>
                </c:pt>
                <c:pt idx="3">
                  <c:v>6.1853599759011946</c:v>
                </c:pt>
                <c:pt idx="4">
                  <c:v>1.1528564076170871</c:v>
                </c:pt>
                <c:pt idx="5">
                  <c:v>3.3027892457959922</c:v>
                </c:pt>
                <c:pt idx="6">
                  <c:v>0.76907301066447908</c:v>
                </c:pt>
                <c:pt idx="7">
                  <c:v>2.4634488283597036</c:v>
                </c:pt>
                <c:pt idx="8">
                  <c:v>0.87576629550856999</c:v>
                </c:pt>
                <c:pt idx="9">
                  <c:v>2.9507529507529506</c:v>
                </c:pt>
                <c:pt idx="10">
                  <c:v>0.9020090200902009</c:v>
                </c:pt>
                <c:pt idx="11">
                  <c:v>2.8773295105467951</c:v>
                </c:pt>
                <c:pt idx="12">
                  <c:v>0.65109549400578759</c:v>
                </c:pt>
                <c:pt idx="13">
                  <c:v>3.2356532356532357</c:v>
                </c:pt>
                <c:pt idx="14">
                  <c:v>0.67963195315767466</c:v>
                </c:pt>
                <c:pt idx="15">
                  <c:v>2.0984007334216157</c:v>
                </c:pt>
                <c:pt idx="16">
                  <c:v>3.848497156783103</c:v>
                </c:pt>
                <c:pt idx="17">
                  <c:v>0.75994170310222775</c:v>
                </c:pt>
                <c:pt idx="18">
                  <c:v>4.2151307287006663</c:v>
                </c:pt>
                <c:pt idx="19">
                  <c:v>0.80470442587434232</c:v>
                </c:pt>
                <c:pt idx="20">
                  <c:v>3.8095238095238098</c:v>
                </c:pt>
                <c:pt idx="21">
                  <c:v>0.57571707617970602</c:v>
                </c:pt>
                <c:pt idx="22">
                  <c:v>13.05240516229957</c:v>
                </c:pt>
                <c:pt idx="23">
                  <c:v>1.8911439114391144</c:v>
                </c:pt>
              </c:numCache>
            </c:numRef>
          </c:val>
          <c:smooth val="0"/>
          <c:extLst>
            <c:ext xmlns:c16="http://schemas.microsoft.com/office/drawing/2014/chart" uri="{C3380CC4-5D6E-409C-BE32-E72D297353CC}">
              <c16:uniqueId val="{00000001-A02F-44C3-BFC3-FFD9FF8BA0A0}"/>
            </c:ext>
          </c:extLst>
        </c:ser>
        <c:ser>
          <c:idx val="2"/>
          <c:order val="2"/>
          <c:tx>
            <c:strRef>
              <c:f>'GT3.2'!$U$11</c:f>
              <c:strCache>
                <c:ptCount val="1"/>
                <c:pt idx="0">
                  <c:v>O2-corr</c:v>
                </c:pt>
              </c:strCache>
            </c:strRef>
          </c:tx>
          <c:spPr>
            <a:ln w="28575" cap="rnd">
              <a:solidFill>
                <a:schemeClr val="accent3"/>
              </a:solidFill>
              <a:round/>
            </a:ln>
            <a:effectLst/>
          </c:spPr>
          <c:marker>
            <c:symbol val="none"/>
          </c:marker>
          <c:cat>
            <c:numRef>
              <c:f>'GT3.2'!$Q$13:$Q$36</c:f>
              <c:numCache>
                <c:formatCode>0.00</c:formatCode>
                <c:ptCount val="24"/>
                <c:pt idx="0">
                  <c:v>0</c:v>
                </c:pt>
                <c:pt idx="1">
                  <c:v>2.0131944444437977</c:v>
                </c:pt>
                <c:pt idx="2">
                  <c:v>2.0979166666656965</c:v>
                </c:pt>
                <c:pt idx="3">
                  <c:v>6.8131944444467081</c:v>
                </c:pt>
                <c:pt idx="4">
                  <c:v>6.8569444444437977</c:v>
                </c:pt>
                <c:pt idx="5">
                  <c:v>8.7465277777810115</c:v>
                </c:pt>
                <c:pt idx="6">
                  <c:v>8.7951388888905058</c:v>
                </c:pt>
                <c:pt idx="7">
                  <c:v>10.783333333332848</c:v>
                </c:pt>
                <c:pt idx="8">
                  <c:v>10.784027777779556</c:v>
                </c:pt>
                <c:pt idx="9">
                  <c:v>13.951388888890506</c:v>
                </c:pt>
                <c:pt idx="10">
                  <c:v>13.993055555554747</c:v>
                </c:pt>
                <c:pt idx="11">
                  <c:v>16.783333333332848</c:v>
                </c:pt>
                <c:pt idx="12">
                  <c:v>16.821527777778101</c:v>
                </c:pt>
                <c:pt idx="13">
                  <c:v>20.744444444440887</c:v>
                </c:pt>
                <c:pt idx="14">
                  <c:v>20.783333333332848</c:v>
                </c:pt>
                <c:pt idx="15">
                  <c:v>22.776388888887595</c:v>
                </c:pt>
                <c:pt idx="16">
                  <c:v>24.755555555551837</c:v>
                </c:pt>
                <c:pt idx="17">
                  <c:v>24.794444444443798</c:v>
                </c:pt>
                <c:pt idx="18">
                  <c:v>27.783333333332848</c:v>
                </c:pt>
                <c:pt idx="19">
                  <c:v>27.816666666665697</c:v>
                </c:pt>
                <c:pt idx="20">
                  <c:v>29.745138888887595</c:v>
                </c:pt>
                <c:pt idx="21">
                  <c:v>29.788194444445253</c:v>
                </c:pt>
                <c:pt idx="22">
                  <c:v>34.965972222220444</c:v>
                </c:pt>
                <c:pt idx="23">
                  <c:v>35.004861111112405</c:v>
                </c:pt>
              </c:numCache>
            </c:numRef>
          </c:cat>
          <c:val>
            <c:numRef>
              <c:f>'GT3.2'!$U$13:$U$36</c:f>
              <c:numCache>
                <c:formatCode>General</c:formatCode>
                <c:ptCount val="24"/>
                <c:pt idx="0">
                  <c:v>21.9</c:v>
                </c:pt>
                <c:pt idx="1">
                  <c:v>4.1462193289934897</c:v>
                </c:pt>
                <c:pt idx="2">
                  <c:v>21.025115325474115</c:v>
                </c:pt>
                <c:pt idx="3">
                  <c:v>5.4623958228737823</c:v>
                </c:pt>
                <c:pt idx="4">
                  <c:v>20.905815748841995</c:v>
                </c:pt>
                <c:pt idx="5">
                  <c:v>15.819152149833853</c:v>
                </c:pt>
                <c:pt idx="6">
                  <c:v>21.021328958162428</c:v>
                </c:pt>
                <c:pt idx="7">
                  <c:v>16.50310434608452</c:v>
                </c:pt>
                <c:pt idx="8">
                  <c:v>21.191459193460943</c:v>
                </c:pt>
                <c:pt idx="9">
                  <c:v>14.763939763939764</c:v>
                </c:pt>
                <c:pt idx="10">
                  <c:v>20.940959409594097</c:v>
                </c:pt>
                <c:pt idx="11">
                  <c:v>15.943067786197011</c:v>
                </c:pt>
                <c:pt idx="12">
                  <c:v>21.072757337742871</c:v>
                </c:pt>
                <c:pt idx="13">
                  <c:v>14.6011396011396</c:v>
                </c:pt>
                <c:pt idx="14">
                  <c:v>21.026767043078213</c:v>
                </c:pt>
                <c:pt idx="15">
                  <c:v>17.632678007537944</c:v>
                </c:pt>
                <c:pt idx="16">
                  <c:v>13.952071486596262</c:v>
                </c:pt>
                <c:pt idx="17">
                  <c:v>21.038933999583595</c:v>
                </c:pt>
                <c:pt idx="18">
                  <c:v>14.534247937170692</c:v>
                </c:pt>
                <c:pt idx="19">
                  <c:v>20.973898689776128</c:v>
                </c:pt>
                <c:pt idx="20">
                  <c:v>15.833333333333334</c:v>
                </c:pt>
                <c:pt idx="21">
                  <c:v>21.08563791508173</c:v>
                </c:pt>
                <c:pt idx="22">
                  <c:v>2.630035197497067</c:v>
                </c:pt>
                <c:pt idx="23">
                  <c:v>23.016605166051662</c:v>
                </c:pt>
              </c:numCache>
            </c:numRef>
          </c:val>
          <c:smooth val="0"/>
          <c:extLst>
            <c:ext xmlns:c16="http://schemas.microsoft.com/office/drawing/2014/chart" uri="{C3380CC4-5D6E-409C-BE32-E72D297353CC}">
              <c16:uniqueId val="{00000002-A02F-44C3-BFC3-FFD9FF8BA0A0}"/>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'GT3.2'!$AK$11</c:f>
              <c:strCache>
                <c:ptCount val="1"/>
                <c:pt idx="0">
                  <c:v>O2 consumed </c:v>
                </c:pt>
              </c:strCache>
            </c:strRef>
          </c:tx>
          <c:spPr>
            <a:solidFill>
              <a:schemeClr val="accent1"/>
            </a:solidFill>
            <a:ln>
              <a:noFill/>
            </a:ln>
            <a:effectLst/>
          </c:spPr>
          <c:invertIfNegative val="0"/>
          <c:val>
            <c:numRef>
              <c:f>'GT3.2'!$AK$13:$AK$36</c:f>
              <c:numCache>
                <c:formatCode>General</c:formatCode>
                <c:ptCount val="24"/>
                <c:pt idx="0" formatCode="0.00E+00">
                  <c:v>0</c:v>
                </c:pt>
                <c:pt idx="1">
                  <c:v>8.678979866358065E-3</c:v>
                </c:pt>
                <c:pt idx="3">
                  <c:v>7.1636037117268746E-3</c:v>
                </c:pt>
                <c:pt idx="5">
                  <c:v>2.4509392472398016E-3</c:v>
                </c:pt>
                <c:pt idx="7">
                  <c:v>2.2015421717477834E-3</c:v>
                </c:pt>
                <c:pt idx="9">
                  <c:v>3.1176163511388759E-3</c:v>
                </c:pt>
                <c:pt idx="11">
                  <c:v>2.4690828957358345E-3</c:v>
                </c:pt>
                <c:pt idx="13">
                  <c:v>3.1264435225377531E-3</c:v>
                </c:pt>
                <c:pt idx="15">
                  <c:v>1.7093232051370692E-3</c:v>
                </c:pt>
                <c:pt idx="16">
                  <c:v>1.7257657591931951E-3</c:v>
                </c:pt>
                <c:pt idx="18">
                  <c:v>3.0984400179885699E-3</c:v>
                </c:pt>
                <c:pt idx="20">
                  <c:v>2.4346222721192325E-3</c:v>
                </c:pt>
                <c:pt idx="22">
                  <c:v>8.245903884545408E-3</c:v>
                </c:pt>
              </c:numCache>
            </c:numRef>
          </c:val>
          <c:extLst>
            <c:ext xmlns:c16="http://schemas.microsoft.com/office/drawing/2014/chart" uri="{C3380CC4-5D6E-409C-BE32-E72D297353CC}">
              <c16:uniqueId val="{00000000-FD41-4B9A-A610-70C631C1F9E5}"/>
            </c:ext>
          </c:extLst>
        </c:ser>
        <c:ser>
          <c:idx val="1"/>
          <c:order val="1"/>
          <c:tx>
            <c:strRef>
              <c:f>'GT3.2'!$AL$11</c:f>
              <c:strCache>
                <c:ptCount val="1"/>
                <c:pt idx="0">
                  <c:v>CO2 produced </c:v>
                </c:pt>
              </c:strCache>
            </c:strRef>
          </c:tx>
          <c:spPr>
            <a:solidFill>
              <a:schemeClr val="accent2"/>
            </a:solidFill>
            <a:ln>
              <a:noFill/>
            </a:ln>
            <a:effectLst/>
          </c:spPr>
          <c:invertIfNegative val="0"/>
          <c:val>
            <c:numRef>
              <c:f>'GT3.2'!$AL$13:$AL$36</c:f>
              <c:numCache>
                <c:formatCode>General</c:formatCode>
                <c:ptCount val="24"/>
                <c:pt idx="0" formatCode="0.00E+00">
                  <c:v>0</c:v>
                </c:pt>
                <c:pt idx="1">
                  <c:v>1.0400552179411738E-3</c:v>
                </c:pt>
                <c:pt idx="3">
                  <c:v>2.1227854297202497E-3</c:v>
                </c:pt>
                <c:pt idx="5">
                  <c:v>8.8231945905201635E-4</c:v>
                </c:pt>
                <c:pt idx="7">
                  <c:v>7.140472082466751E-4</c:v>
                </c:pt>
                <c:pt idx="9">
                  <c:v>8.5444737738559731E-4</c:v>
                </c:pt>
                <c:pt idx="11">
                  <c:v>8.177139611186304E-4</c:v>
                </c:pt>
                <c:pt idx="13">
                  <c:v>1.0784399480651147E-3</c:v>
                </c:pt>
                <c:pt idx="15">
                  <c:v>6.0102167577224088E-4</c:v>
                </c:pt>
                <c:pt idx="16">
                  <c:v>7.0858222757908614E-4</c:v>
                </c:pt>
                <c:pt idx="18">
                  <c:v>1.4481979650820438E-3</c:v>
                </c:pt>
                <c:pt idx="20">
                  <c:v>1.2737323682162152E-3</c:v>
                </c:pt>
                <c:pt idx="22">
                  <c:v>5.1266459493816028E-3</c:v>
                </c:pt>
              </c:numCache>
            </c:numRef>
          </c:val>
          <c:extLst>
            <c:ext xmlns:c16="http://schemas.microsoft.com/office/drawing/2014/chart" uri="{C3380CC4-5D6E-409C-BE32-E72D297353CC}">
              <c16:uniqueId val="{00000001-FD41-4B9A-A610-70C631C1F9E5}"/>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'GT3.2'!$AP$11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'GT3.2'!$Q$13:$Q$36</c:f>
              <c:numCache>
                <c:formatCode>0.00</c:formatCode>
                <c:ptCount val="24"/>
                <c:pt idx="0">
                  <c:v>0</c:v>
                </c:pt>
                <c:pt idx="1">
                  <c:v>2.0131944444437977</c:v>
                </c:pt>
                <c:pt idx="2">
                  <c:v>2.0979166666656965</c:v>
                </c:pt>
                <c:pt idx="3">
                  <c:v>6.8131944444467081</c:v>
                </c:pt>
                <c:pt idx="4">
                  <c:v>6.8569444444437977</c:v>
                </c:pt>
                <c:pt idx="5">
                  <c:v>8.7465277777810115</c:v>
                </c:pt>
                <c:pt idx="6">
                  <c:v>8.7951388888905058</c:v>
                </c:pt>
                <c:pt idx="7">
                  <c:v>10.783333333332848</c:v>
                </c:pt>
                <c:pt idx="8">
                  <c:v>10.784027777779556</c:v>
                </c:pt>
                <c:pt idx="9">
                  <c:v>13.951388888890506</c:v>
                </c:pt>
                <c:pt idx="10">
                  <c:v>13.993055555554747</c:v>
                </c:pt>
                <c:pt idx="11">
                  <c:v>16.783333333332848</c:v>
                </c:pt>
                <c:pt idx="12">
                  <c:v>16.821527777778101</c:v>
                </c:pt>
                <c:pt idx="13">
                  <c:v>20.744444444440887</c:v>
                </c:pt>
                <c:pt idx="14">
                  <c:v>20.783333333332848</c:v>
                </c:pt>
                <c:pt idx="15">
                  <c:v>22.776388888887595</c:v>
                </c:pt>
                <c:pt idx="16">
                  <c:v>24.755555555551837</c:v>
                </c:pt>
                <c:pt idx="17">
                  <c:v>24.794444444443798</c:v>
                </c:pt>
                <c:pt idx="18">
                  <c:v>27.783333333332848</c:v>
                </c:pt>
                <c:pt idx="19">
                  <c:v>27.816666666665697</c:v>
                </c:pt>
                <c:pt idx="20">
                  <c:v>29.745138888887595</c:v>
                </c:pt>
                <c:pt idx="21">
                  <c:v>29.788194444445253</c:v>
                </c:pt>
                <c:pt idx="22">
                  <c:v>34.965972222220444</c:v>
                </c:pt>
                <c:pt idx="23">
                  <c:v>35.004861111112405</c:v>
                </c:pt>
              </c:numCache>
            </c:numRef>
          </c:xVal>
          <c:yVal>
            <c:numRef>
              <c:f>'GT3.2'!$AP$13:$AP$36</c:f>
              <c:numCache>
                <c:formatCode>0.00E+00</c:formatCode>
                <c:ptCount val="24"/>
                <c:pt idx="0">
                  <c:v>0</c:v>
                </c:pt>
                <c:pt idx="1">
                  <c:v>8.3354013086393619E-2</c:v>
                </c:pt>
                <c:pt idx="3">
                  <c:v>0.24949539471121582</c:v>
                </c:pt>
                <c:pt idx="5">
                  <c:v>0.31842310880445862</c:v>
                </c:pt>
                <c:pt idx="7">
                  <c:v>0.37420521959683017</c:v>
                </c:pt>
                <c:pt idx="9">
                  <c:v>0.44095553767259127</c:v>
                </c:pt>
                <c:pt idx="11">
                  <c:v>0.50483620305267451</c:v>
                </c:pt>
                <c:pt idx="13">
                  <c:v>0.58908505378847298</c:v>
                </c:pt>
                <c:pt idx="15">
                  <c:v>0.63603749239385154</c:v>
                </c:pt>
                <c:pt idx="16">
                  <c:v>0.69139267321078623</c:v>
                </c:pt>
                <c:pt idx="18">
                  <c:v>0.80452740492671238</c:v>
                </c:pt>
                <c:pt idx="20">
                  <c:v>0.90403270270405689</c:v>
                </c:pt>
                <c:pt idx="22">
                  <c:v>1.3101999366994579</c:v>
                </c:pt>
              </c:numCache>
            </c:numRef>
          </c:yVal>
          <c:smooth val="0"/>
          <c:extLst>
            <c:ext xmlns:c16="http://schemas.microsoft.com/office/drawing/2014/chart" uri="{C3380CC4-5D6E-409C-BE32-E72D297353CC}">
              <c16:uniqueId val="{00000000-2867-43D4-9D4E-95FC45BC6843}"/>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'GT3.2'!$BA$11</c:f>
              <c:strCache>
                <c:ptCount val="1"/>
                <c:pt idx="0">
                  <c:v>Ratio O2/CO2</c:v>
                </c:pt>
              </c:strCache>
            </c:strRef>
          </c:tx>
          <c:spPr>
            <a:solidFill>
              <a:schemeClr val="accent1"/>
            </a:solidFill>
            <a:ln>
              <a:noFill/>
            </a:ln>
            <a:effectLst/>
          </c:spPr>
          <c:invertIfNegative val="0"/>
          <c:val>
            <c:numRef>
              <c:f>'GT3.2'!$BA$12:$BA$36</c:f>
              <c:numCache>
                <c:formatCode>0.00E+00</c:formatCode>
                <c:ptCount val="25"/>
                <c:pt idx="1">
                  <c:v>0</c:v>
                </c:pt>
                <c:pt idx="2">
                  <c:v>3.6006713168454954</c:v>
                </c:pt>
                <c:pt idx="3">
                  <c:v>0</c:v>
                </c:pt>
                <c:pt idx="4">
                  <c:v>1.4672527499720673</c:v>
                </c:pt>
                <c:pt idx="5">
                  <c:v>0</c:v>
                </c:pt>
                <c:pt idx="6">
                  <c:v>1.2077753628022383</c:v>
                </c:pt>
                <c:pt idx="7">
                  <c:v>0</c:v>
                </c:pt>
                <c:pt idx="8">
                  <c:v>1.3405393321472576</c:v>
                </c:pt>
                <c:pt idx="9">
                  <c:v>0</c:v>
                </c:pt>
                <c:pt idx="10">
                  <c:v>1.5864150704359683</c:v>
                </c:pt>
                <c:pt idx="11">
                  <c:v>0</c:v>
                </c:pt>
                <c:pt idx="12">
                  <c:v>1.3128458501094169</c:v>
                </c:pt>
                <c:pt idx="13">
                  <c:v>0</c:v>
                </c:pt>
                <c:pt idx="14">
                  <c:v>1.2604745994954769</c:v>
                </c:pt>
                <c:pt idx="15">
                  <c:v>0</c:v>
                </c:pt>
                <c:pt idx="16">
                  <c:v>1.236555264778139</c:v>
                </c:pt>
                <c:pt idx="17">
                  <c:v>1.0589393088780787</c:v>
                </c:pt>
                <c:pt idx="18">
                  <c:v>0</c:v>
                </c:pt>
                <c:pt idx="19">
                  <c:v>0.93023920230864487</c:v>
                </c:pt>
                <c:pt idx="20">
                  <c:v>0</c:v>
                </c:pt>
                <c:pt idx="21">
                  <c:v>0.83106096280584196</c:v>
                </c:pt>
                <c:pt idx="22">
                  <c:v>0</c:v>
                </c:pt>
                <c:pt idx="23">
                  <c:v>0.6993336406662457</c:v>
                </c:pt>
                <c:pt idx="24">
                  <c:v>0</c:v>
                </c:pt>
              </c:numCache>
            </c:numRef>
          </c:val>
          <c:extLst>
            <c:ext xmlns:c16="http://schemas.microsoft.com/office/drawing/2014/chart" uri="{C3380CC4-5D6E-409C-BE32-E72D297353CC}">
              <c16:uniqueId val="{00000000-A77B-4768-BD2A-5FA29A65A97C}"/>
            </c:ext>
          </c:extLst>
        </c:ser>
        <c:dLbls>
          <c:showLegendKey val="0"/>
          <c:showVal val="0"/>
          <c:showCatName val="0"/>
          <c:showSerName val="0"/>
          <c:showPercent val="0"/>
          <c:showBubbleSize val="0"/>
        </c:dLbls>
        <c:gapWidth val="219"/>
        <c:overlap val="-27"/>
        <c:axId val="1426864528"/>
        <c:axId val="1426864048"/>
      </c:barChart>
      <c:catAx>
        <c:axId val="1426864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64048"/>
        <c:crosses val="autoZero"/>
        <c:auto val="1"/>
        <c:lblAlgn val="ctr"/>
        <c:lblOffset val="100"/>
        <c:noMultiLvlLbl val="0"/>
      </c:catAx>
      <c:valAx>
        <c:axId val="142686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6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'GT4.1'!$S$11</c:f>
              <c:strCache>
                <c:ptCount val="1"/>
                <c:pt idx="0">
                  <c:v>CH4-corr</c:v>
                </c:pt>
              </c:strCache>
            </c:strRef>
          </c:tx>
          <c:spPr>
            <a:ln w="28575" cap="rnd">
              <a:solidFill>
                <a:schemeClr val="accent1"/>
              </a:solidFill>
              <a:round/>
            </a:ln>
            <a:effectLst/>
          </c:spPr>
          <c:marker>
            <c:symbol val="none"/>
          </c:marker>
          <c:cat>
            <c:numRef>
              <c:f>'GT4.1'!$Q$13:$Q$36</c:f>
              <c:numCache>
                <c:formatCode>0.00</c:formatCode>
                <c:ptCount val="24"/>
                <c:pt idx="0">
                  <c:v>0</c:v>
                </c:pt>
                <c:pt idx="1">
                  <c:v>1.0222222222218988</c:v>
                </c:pt>
                <c:pt idx="2">
                  <c:v>1.0993055555518367</c:v>
                </c:pt>
                <c:pt idx="3">
                  <c:v>5.8187499999985448</c:v>
                </c:pt>
                <c:pt idx="4">
                  <c:v>5.866666666661331</c:v>
                </c:pt>
                <c:pt idx="5">
                  <c:v>7.7534722222189885</c:v>
                </c:pt>
                <c:pt idx="6">
                  <c:v>7.7986111111094942</c:v>
                </c:pt>
                <c:pt idx="7">
                  <c:v>9.7847222222189885</c:v>
                </c:pt>
                <c:pt idx="8">
                  <c:v>9.7854166666656965</c:v>
                </c:pt>
                <c:pt idx="9">
                  <c:v>12.952777777776646</c:v>
                </c:pt>
                <c:pt idx="10">
                  <c:v>12.995138888887595</c:v>
                </c:pt>
                <c:pt idx="11">
                  <c:v>15.78402777777228</c:v>
                </c:pt>
                <c:pt idx="12">
                  <c:v>15.822916666664241</c:v>
                </c:pt>
                <c:pt idx="13">
                  <c:v>19.747916666667152</c:v>
                </c:pt>
                <c:pt idx="14">
                  <c:v>19.786805555551837</c:v>
                </c:pt>
                <c:pt idx="15">
                  <c:v>21.777083333334303</c:v>
                </c:pt>
                <c:pt idx="16">
                  <c:v>21.811805555553292</c:v>
                </c:pt>
                <c:pt idx="17">
                  <c:v>23.756944444445253</c:v>
                </c:pt>
                <c:pt idx="18">
                  <c:v>23.794444444443798</c:v>
                </c:pt>
                <c:pt idx="19">
                  <c:v>26.784722222218988</c:v>
                </c:pt>
                <c:pt idx="20">
                  <c:v>26.818055555551837</c:v>
                </c:pt>
                <c:pt idx="21">
                  <c:v>28.747916666667152</c:v>
                </c:pt>
                <c:pt idx="22">
                  <c:v>33.969444444439432</c:v>
                </c:pt>
                <c:pt idx="23">
                  <c:v>34.008333333331393</c:v>
                </c:pt>
              </c:numCache>
            </c:numRef>
          </c:cat>
          <c:val>
            <c:numRef>
              <c:f>'GT4.1'!$S$13:$S$36</c:f>
              <c:numCache>
                <c:formatCode>General</c:formatCode>
                <c:ptCount val="24"/>
                <c:pt idx="0">
                  <c:v>0</c:v>
                </c:pt>
                <c:pt idx="1">
                  <c:v>0.94377917596914962</c:v>
                </c:pt>
                <c:pt idx="2">
                  <c:v>0</c:v>
                </c:pt>
                <c:pt idx="3">
                  <c:v>0.10077597500755821</c:v>
                </c:pt>
                <c:pt idx="4">
                  <c:v>0</c:v>
                </c:pt>
                <c:pt idx="5">
                  <c:v>1.0188487009679063E-2</c:v>
                </c:pt>
                <c:pt idx="6">
                  <c:v>0</c:v>
                </c:pt>
                <c:pt idx="7">
                  <c:v>0</c:v>
                </c:pt>
                <c:pt idx="8">
                  <c:v>0</c:v>
                </c:pt>
                <c:pt idx="9">
                  <c:v>3.0540568054565818E-2</c:v>
                </c:pt>
                <c:pt idx="10">
                  <c:v>0</c:v>
                </c:pt>
                <c:pt idx="11">
                  <c:v>0</c:v>
                </c:pt>
                <c:pt idx="12">
                  <c:v>0</c:v>
                </c:pt>
                <c:pt idx="13">
                  <c:v>0</c:v>
                </c:pt>
                <c:pt idx="14">
                  <c:v>0</c:v>
                </c:pt>
                <c:pt idx="15">
                  <c:v>0</c:v>
                </c:pt>
                <c:pt idx="16">
                  <c:v>0</c:v>
                </c:pt>
                <c:pt idx="17">
                  <c:v>0</c:v>
                </c:pt>
                <c:pt idx="18">
                  <c:v>0</c:v>
                </c:pt>
                <c:pt idx="19">
                  <c:v>0</c:v>
                </c:pt>
                <c:pt idx="20">
                  <c:v>0</c:v>
                </c:pt>
                <c:pt idx="21">
                  <c:v>0</c:v>
                </c:pt>
                <c:pt idx="22">
                  <c:v>0.50933786078098475</c:v>
                </c:pt>
                <c:pt idx="23">
                  <c:v>0</c:v>
                </c:pt>
              </c:numCache>
            </c:numRef>
          </c:val>
          <c:smooth val="0"/>
          <c:extLst>
            <c:ext xmlns:c16="http://schemas.microsoft.com/office/drawing/2014/chart" uri="{C3380CC4-5D6E-409C-BE32-E72D297353CC}">
              <c16:uniqueId val="{00000000-4685-4877-A6CE-6C0C1936F7FA}"/>
            </c:ext>
          </c:extLst>
        </c:ser>
        <c:ser>
          <c:idx val="1"/>
          <c:order val="1"/>
          <c:tx>
            <c:strRef>
              <c:f>'GT4.1'!$T$11</c:f>
              <c:strCache>
                <c:ptCount val="1"/>
                <c:pt idx="0">
                  <c:v>CO2-corr</c:v>
                </c:pt>
              </c:strCache>
            </c:strRef>
          </c:tx>
          <c:spPr>
            <a:ln w="28575" cap="rnd">
              <a:solidFill>
                <a:schemeClr val="accent2"/>
              </a:solidFill>
              <a:round/>
            </a:ln>
            <a:effectLst/>
          </c:spPr>
          <c:marker>
            <c:symbol val="none"/>
          </c:marker>
          <c:cat>
            <c:numRef>
              <c:f>'GT4.1'!$Q$13:$Q$36</c:f>
              <c:numCache>
                <c:formatCode>0.00</c:formatCode>
                <c:ptCount val="24"/>
                <c:pt idx="0">
                  <c:v>0</c:v>
                </c:pt>
                <c:pt idx="1">
                  <c:v>1.0222222222218988</c:v>
                </c:pt>
                <c:pt idx="2">
                  <c:v>1.0993055555518367</c:v>
                </c:pt>
                <c:pt idx="3">
                  <c:v>5.8187499999985448</c:v>
                </c:pt>
                <c:pt idx="4">
                  <c:v>5.866666666661331</c:v>
                </c:pt>
                <c:pt idx="5">
                  <c:v>7.7534722222189885</c:v>
                </c:pt>
                <c:pt idx="6">
                  <c:v>7.7986111111094942</c:v>
                </c:pt>
                <c:pt idx="7">
                  <c:v>9.7847222222189885</c:v>
                </c:pt>
                <c:pt idx="8">
                  <c:v>9.7854166666656965</c:v>
                </c:pt>
                <c:pt idx="9">
                  <c:v>12.952777777776646</c:v>
                </c:pt>
                <c:pt idx="10">
                  <c:v>12.995138888887595</c:v>
                </c:pt>
                <c:pt idx="11">
                  <c:v>15.78402777777228</c:v>
                </c:pt>
                <c:pt idx="12">
                  <c:v>15.822916666664241</c:v>
                </c:pt>
                <c:pt idx="13">
                  <c:v>19.747916666667152</c:v>
                </c:pt>
                <c:pt idx="14">
                  <c:v>19.786805555551837</c:v>
                </c:pt>
                <c:pt idx="15">
                  <c:v>21.777083333334303</c:v>
                </c:pt>
                <c:pt idx="16">
                  <c:v>21.811805555553292</c:v>
                </c:pt>
                <c:pt idx="17">
                  <c:v>23.756944444445253</c:v>
                </c:pt>
                <c:pt idx="18">
                  <c:v>23.794444444443798</c:v>
                </c:pt>
                <c:pt idx="19">
                  <c:v>26.784722222218988</c:v>
                </c:pt>
                <c:pt idx="20">
                  <c:v>26.818055555551837</c:v>
                </c:pt>
                <c:pt idx="21">
                  <c:v>28.747916666667152</c:v>
                </c:pt>
                <c:pt idx="22">
                  <c:v>33.969444444439432</c:v>
                </c:pt>
                <c:pt idx="23">
                  <c:v>34.008333333331393</c:v>
                </c:pt>
              </c:numCache>
            </c:numRef>
          </c:cat>
          <c:val>
            <c:numRef>
              <c:f>'GT4.1'!$T$13:$T$36</c:f>
              <c:numCache>
                <c:formatCode>General</c:formatCode>
                <c:ptCount val="24"/>
                <c:pt idx="0">
                  <c:v>0.03</c:v>
                </c:pt>
                <c:pt idx="1">
                  <c:v>7.1544550436371024</c:v>
                </c:pt>
                <c:pt idx="2">
                  <c:v>0.83059885151763746</c:v>
                </c:pt>
                <c:pt idx="3">
                  <c:v>9.9365111357452385</c:v>
                </c:pt>
                <c:pt idx="4">
                  <c:v>0.88341037493579877</c:v>
                </c:pt>
                <c:pt idx="5">
                  <c:v>4.3606724401426389</c:v>
                </c:pt>
                <c:pt idx="6">
                  <c:v>0.39873223596769247</c:v>
                </c:pt>
                <c:pt idx="7">
                  <c:v>3.053741838272225</c:v>
                </c:pt>
                <c:pt idx="8">
                  <c:v>0.5216187741442353</c:v>
                </c:pt>
                <c:pt idx="9">
                  <c:v>4.0008144151481222</c:v>
                </c:pt>
                <c:pt idx="10">
                  <c:v>0.48200184596451645</c:v>
                </c:pt>
                <c:pt idx="11">
                  <c:v>5.8222676200204289</c:v>
                </c:pt>
                <c:pt idx="12">
                  <c:v>0.71273628757359775</c:v>
                </c:pt>
                <c:pt idx="13">
                  <c:v>8.8777390948187591</c:v>
                </c:pt>
                <c:pt idx="14">
                  <c:v>0.5420054200542006</c:v>
                </c:pt>
                <c:pt idx="15">
                  <c:v>4.0887253398752943</c:v>
                </c:pt>
                <c:pt idx="16">
                  <c:v>0.4065040650406504</c:v>
                </c:pt>
                <c:pt idx="17">
                  <c:v>2.5596036742697903</c:v>
                </c:pt>
                <c:pt idx="18">
                  <c:v>0.32211138819617624</c:v>
                </c:pt>
                <c:pt idx="19">
                  <c:v>2.6411290322580645</c:v>
                </c:pt>
                <c:pt idx="20">
                  <c:v>0.34041675263049309</c:v>
                </c:pt>
                <c:pt idx="21">
                  <c:v>1.9170932450065241</c:v>
                </c:pt>
                <c:pt idx="22">
                  <c:v>4.3743133925896336</c:v>
                </c:pt>
                <c:pt idx="23">
                  <c:v>0.29142381348875934</c:v>
                </c:pt>
              </c:numCache>
            </c:numRef>
          </c:val>
          <c:smooth val="0"/>
          <c:extLst>
            <c:ext xmlns:c16="http://schemas.microsoft.com/office/drawing/2014/chart" uri="{C3380CC4-5D6E-409C-BE32-E72D297353CC}">
              <c16:uniqueId val="{00000001-4685-4877-A6CE-6C0C1936F7FA}"/>
            </c:ext>
          </c:extLst>
        </c:ser>
        <c:ser>
          <c:idx val="2"/>
          <c:order val="2"/>
          <c:tx>
            <c:strRef>
              <c:f>'GT4.1'!$U$11</c:f>
              <c:strCache>
                <c:ptCount val="1"/>
                <c:pt idx="0">
                  <c:v>O2-corr</c:v>
                </c:pt>
              </c:strCache>
            </c:strRef>
          </c:tx>
          <c:spPr>
            <a:ln w="28575" cap="rnd">
              <a:solidFill>
                <a:schemeClr val="accent3"/>
              </a:solidFill>
              <a:round/>
            </a:ln>
            <a:effectLst/>
          </c:spPr>
          <c:marker>
            <c:symbol val="none"/>
          </c:marker>
          <c:cat>
            <c:numRef>
              <c:f>'GT4.1'!$Q$13:$Q$36</c:f>
              <c:numCache>
                <c:formatCode>0.00</c:formatCode>
                <c:ptCount val="24"/>
                <c:pt idx="0">
                  <c:v>0</c:v>
                </c:pt>
                <c:pt idx="1">
                  <c:v>1.0222222222218988</c:v>
                </c:pt>
                <c:pt idx="2">
                  <c:v>1.0993055555518367</c:v>
                </c:pt>
                <c:pt idx="3">
                  <c:v>5.8187499999985448</c:v>
                </c:pt>
                <c:pt idx="4">
                  <c:v>5.866666666661331</c:v>
                </c:pt>
                <c:pt idx="5">
                  <c:v>7.7534722222189885</c:v>
                </c:pt>
                <c:pt idx="6">
                  <c:v>7.7986111111094942</c:v>
                </c:pt>
                <c:pt idx="7">
                  <c:v>9.7847222222189885</c:v>
                </c:pt>
                <c:pt idx="8">
                  <c:v>9.7854166666656965</c:v>
                </c:pt>
                <c:pt idx="9">
                  <c:v>12.952777777776646</c:v>
                </c:pt>
                <c:pt idx="10">
                  <c:v>12.995138888887595</c:v>
                </c:pt>
                <c:pt idx="11">
                  <c:v>15.78402777777228</c:v>
                </c:pt>
                <c:pt idx="12">
                  <c:v>15.822916666664241</c:v>
                </c:pt>
                <c:pt idx="13">
                  <c:v>19.747916666667152</c:v>
                </c:pt>
                <c:pt idx="14">
                  <c:v>19.786805555551837</c:v>
                </c:pt>
                <c:pt idx="15">
                  <c:v>21.777083333334303</c:v>
                </c:pt>
                <c:pt idx="16">
                  <c:v>21.811805555553292</c:v>
                </c:pt>
                <c:pt idx="17">
                  <c:v>23.756944444445253</c:v>
                </c:pt>
                <c:pt idx="18">
                  <c:v>23.794444444443798</c:v>
                </c:pt>
                <c:pt idx="19">
                  <c:v>26.784722222218988</c:v>
                </c:pt>
                <c:pt idx="20">
                  <c:v>26.818055555551837</c:v>
                </c:pt>
                <c:pt idx="21">
                  <c:v>28.747916666667152</c:v>
                </c:pt>
                <c:pt idx="22">
                  <c:v>33.969444444439432</c:v>
                </c:pt>
                <c:pt idx="23">
                  <c:v>34.008333333331393</c:v>
                </c:pt>
              </c:numCache>
            </c:numRef>
          </c:cat>
          <c:val>
            <c:numRef>
              <c:f>'GT4.1'!$U$13:$U$36</c:f>
              <c:numCache>
                <c:formatCode>General</c:formatCode>
                <c:ptCount val="24"/>
                <c:pt idx="0">
                  <c:v>21.9</c:v>
                </c:pt>
                <c:pt idx="1">
                  <c:v>14.105946823624926</c:v>
                </c:pt>
                <c:pt idx="2">
                  <c:v>21.011074651353571</c:v>
                </c:pt>
                <c:pt idx="3">
                  <c:v>8.0620780006046573</c:v>
                </c:pt>
                <c:pt idx="4">
                  <c:v>20.996404725218287</c:v>
                </c:pt>
                <c:pt idx="5">
                  <c:v>16.912888436067245</c:v>
                </c:pt>
                <c:pt idx="6">
                  <c:v>21.153256313260403</c:v>
                </c:pt>
                <c:pt idx="7">
                  <c:v>17.51883475640382</c:v>
                </c:pt>
                <c:pt idx="8">
                  <c:v>21.087859193918238</c:v>
                </c:pt>
                <c:pt idx="9">
                  <c:v>15.015779293494861</c:v>
                </c:pt>
                <c:pt idx="10">
                  <c:v>21.115782996615732</c:v>
                </c:pt>
                <c:pt idx="11">
                  <c:v>11.746680286006129</c:v>
                </c:pt>
                <c:pt idx="12">
                  <c:v>20.968908170643527</c:v>
                </c:pt>
                <c:pt idx="13">
                  <c:v>4.9354904771656773</c:v>
                </c:pt>
                <c:pt idx="14">
                  <c:v>21.044402751719829</c:v>
                </c:pt>
                <c:pt idx="15">
                  <c:v>16.017581518961464</c:v>
                </c:pt>
                <c:pt idx="16">
                  <c:v>21.138211382113823</c:v>
                </c:pt>
                <c:pt idx="17">
                  <c:v>18.041077510579004</c:v>
                </c:pt>
                <c:pt idx="18">
                  <c:v>21.155444721529509</c:v>
                </c:pt>
                <c:pt idx="19">
                  <c:v>17.16733870967742</c:v>
                </c:pt>
                <c:pt idx="20">
                  <c:v>21.147101299773055</c:v>
                </c:pt>
                <c:pt idx="21">
                  <c:v>18.759409816320389</c:v>
                </c:pt>
                <c:pt idx="22">
                  <c:v>13.74213522420853</c:v>
                </c:pt>
                <c:pt idx="23">
                  <c:v>21.149042464612819</c:v>
                </c:pt>
              </c:numCache>
            </c:numRef>
          </c:val>
          <c:smooth val="0"/>
          <c:extLst>
            <c:ext xmlns:c16="http://schemas.microsoft.com/office/drawing/2014/chart" uri="{C3380CC4-5D6E-409C-BE32-E72D297353CC}">
              <c16:uniqueId val="{00000002-4685-4877-A6CE-6C0C1936F7FA}"/>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'GT4.1'!$AK$11</c:f>
              <c:strCache>
                <c:ptCount val="1"/>
                <c:pt idx="0">
                  <c:v>O2 consumed </c:v>
                </c:pt>
              </c:strCache>
            </c:strRef>
          </c:tx>
          <c:spPr>
            <a:solidFill>
              <a:schemeClr val="accent1"/>
            </a:solidFill>
            <a:ln>
              <a:noFill/>
            </a:ln>
            <a:effectLst/>
          </c:spPr>
          <c:invertIfNegative val="0"/>
          <c:val>
            <c:numRef>
              <c:f>'GT4.1'!$AK$13:$AK$36</c:f>
              <c:numCache>
                <c:formatCode>General</c:formatCode>
                <c:ptCount val="24"/>
                <c:pt idx="0" formatCode="0.00E+00">
                  <c:v>0</c:v>
                </c:pt>
                <c:pt idx="1">
                  <c:v>4.7121093102756072E-3</c:v>
                </c:pt>
                <c:pt idx="3">
                  <c:v>5.9562109860957944E-3</c:v>
                </c:pt>
                <c:pt idx="5">
                  <c:v>1.8787558068837128E-3</c:v>
                </c:pt>
                <c:pt idx="7">
                  <c:v>1.6801840275867475E-3</c:v>
                </c:pt>
                <c:pt idx="9">
                  <c:v>2.8482170608918889E-3</c:v>
                </c:pt>
                <c:pt idx="11">
                  <c:v>4.3695306072976184E-3</c:v>
                </c:pt>
                <c:pt idx="13">
                  <c:v>7.2478239328385196E-3</c:v>
                </c:pt>
                <c:pt idx="15">
                  <c:v>2.341091981794453E-3</c:v>
                </c:pt>
                <c:pt idx="17">
                  <c:v>1.451573877268084E-3</c:v>
                </c:pt>
                <c:pt idx="19">
                  <c:v>1.8871936274619944E-3</c:v>
                </c:pt>
                <c:pt idx="21">
                  <c:v>1.1082029750286645E-3</c:v>
                </c:pt>
                <c:pt idx="22">
                  <c:v>2.3188802530722001E-3</c:v>
                </c:pt>
              </c:numCache>
            </c:numRef>
          </c:val>
          <c:extLst>
            <c:ext xmlns:c16="http://schemas.microsoft.com/office/drawing/2014/chart" uri="{C3380CC4-5D6E-409C-BE32-E72D297353CC}">
              <c16:uniqueId val="{00000000-6FEA-4EC0-BE5E-C10B639986C7}"/>
            </c:ext>
          </c:extLst>
        </c:ser>
        <c:ser>
          <c:idx val="1"/>
          <c:order val="1"/>
          <c:tx>
            <c:strRef>
              <c:f>'GT4.1'!$AL$11</c:f>
              <c:strCache>
                <c:ptCount val="1"/>
                <c:pt idx="0">
                  <c:v>CO2 produced </c:v>
                </c:pt>
              </c:strCache>
            </c:strRef>
          </c:tx>
          <c:spPr>
            <a:solidFill>
              <a:schemeClr val="accent2"/>
            </a:solidFill>
            <a:ln>
              <a:noFill/>
            </a:ln>
            <a:effectLst/>
          </c:spPr>
          <c:invertIfNegative val="0"/>
          <c:val>
            <c:numRef>
              <c:f>'GT4.1'!$AL$13:$AL$36</c:f>
              <c:numCache>
                <c:formatCode>General</c:formatCode>
                <c:ptCount val="24"/>
                <c:pt idx="0" formatCode="0.00E+00">
                  <c:v>0</c:v>
                </c:pt>
                <c:pt idx="1">
                  <c:v>3.1634496505113584E-3</c:v>
                </c:pt>
                <c:pt idx="3">
                  <c:v>3.8402307190425044E-3</c:v>
                </c:pt>
                <c:pt idx="5">
                  <c:v>1.4999610937273295E-3</c:v>
                </c:pt>
                <c:pt idx="7">
                  <c:v>1.1624059076377664E-3</c:v>
                </c:pt>
                <c:pt idx="9">
                  <c:v>1.4883058772468727E-3</c:v>
                </c:pt>
                <c:pt idx="11">
                  <c:v>2.2265311195043026E-3</c:v>
                </c:pt>
                <c:pt idx="13">
                  <c:v>3.3082955939803026E-3</c:v>
                </c:pt>
                <c:pt idx="15">
                  <c:v>1.5407364614289552E-3</c:v>
                </c:pt>
                <c:pt idx="17">
                  <c:v>9.3171706380071881E-4</c:v>
                </c:pt>
                <c:pt idx="19">
                  <c:v>1.0042988036277321E-3</c:v>
                </c:pt>
                <c:pt idx="21">
                  <c:v>6.8779396339933158E-4</c:v>
                </c:pt>
                <c:pt idx="22">
                  <c:v>1.0288474258858993E-3</c:v>
                </c:pt>
              </c:numCache>
            </c:numRef>
          </c:val>
          <c:extLst>
            <c:ext xmlns:c16="http://schemas.microsoft.com/office/drawing/2014/chart" uri="{C3380CC4-5D6E-409C-BE32-E72D297353CC}">
              <c16:uniqueId val="{00000001-6FEA-4EC0-BE5E-C10B639986C7}"/>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'GT4.1'!$AP$11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'GT4.1'!$Q$13:$Q$36</c:f>
              <c:numCache>
                <c:formatCode>0.00</c:formatCode>
                <c:ptCount val="24"/>
                <c:pt idx="0">
                  <c:v>0</c:v>
                </c:pt>
                <c:pt idx="1">
                  <c:v>1.0222222222218988</c:v>
                </c:pt>
                <c:pt idx="2">
                  <c:v>1.0993055555518367</c:v>
                </c:pt>
                <c:pt idx="3">
                  <c:v>5.8187499999985448</c:v>
                </c:pt>
                <c:pt idx="4">
                  <c:v>5.866666666661331</c:v>
                </c:pt>
                <c:pt idx="5">
                  <c:v>7.7534722222189885</c:v>
                </c:pt>
                <c:pt idx="6">
                  <c:v>7.7986111111094942</c:v>
                </c:pt>
                <c:pt idx="7">
                  <c:v>9.7847222222189885</c:v>
                </c:pt>
                <c:pt idx="8">
                  <c:v>9.7854166666656965</c:v>
                </c:pt>
                <c:pt idx="9">
                  <c:v>12.952777777776646</c:v>
                </c:pt>
                <c:pt idx="10">
                  <c:v>12.995138888887595</c:v>
                </c:pt>
                <c:pt idx="11">
                  <c:v>15.78402777777228</c:v>
                </c:pt>
                <c:pt idx="12">
                  <c:v>15.822916666664241</c:v>
                </c:pt>
                <c:pt idx="13">
                  <c:v>19.747916666667152</c:v>
                </c:pt>
                <c:pt idx="14">
                  <c:v>19.786805555551837</c:v>
                </c:pt>
                <c:pt idx="15">
                  <c:v>21.777083333334303</c:v>
                </c:pt>
                <c:pt idx="16">
                  <c:v>21.811805555553292</c:v>
                </c:pt>
                <c:pt idx="17">
                  <c:v>23.756944444445253</c:v>
                </c:pt>
                <c:pt idx="18">
                  <c:v>23.794444444443798</c:v>
                </c:pt>
                <c:pt idx="19">
                  <c:v>26.784722222218988</c:v>
                </c:pt>
                <c:pt idx="20">
                  <c:v>26.818055555551837</c:v>
                </c:pt>
                <c:pt idx="21">
                  <c:v>28.747916666667152</c:v>
                </c:pt>
                <c:pt idx="22">
                  <c:v>33.969444444439432</c:v>
                </c:pt>
                <c:pt idx="23">
                  <c:v>34.008333333331393</c:v>
                </c:pt>
              </c:numCache>
            </c:numRef>
          </c:xVal>
          <c:yVal>
            <c:numRef>
              <c:f>'GT4.1'!$AP$13:$AP$36</c:f>
              <c:numCache>
                <c:formatCode>0.00E+00</c:formatCode>
                <c:ptCount val="24"/>
                <c:pt idx="0">
                  <c:v>0</c:v>
                </c:pt>
                <c:pt idx="1">
                  <c:v>0.27988735464088055</c:v>
                </c:pt>
                <c:pt idx="3">
                  <c:v>0.58322635804756617</c:v>
                </c:pt>
                <c:pt idx="5">
                  <c:v>0.7007492922737969</c:v>
                </c:pt>
                <c:pt idx="7">
                  <c:v>0.79155765112835197</c:v>
                </c:pt>
                <c:pt idx="9">
                  <c:v>0.90885033873936572</c:v>
                </c:pt>
                <c:pt idx="11">
                  <c:v>1.0827892662450467</c:v>
                </c:pt>
                <c:pt idx="13">
                  <c:v>1.3412367599485324</c:v>
                </c:pt>
                <c:pt idx="15">
                  <c:v>1.4616006952747607</c:v>
                </c:pt>
                <c:pt idx="17">
                  <c:v>1.5343874016435088</c:v>
                </c:pt>
                <c:pt idx="19">
                  <c:v>1.6128442690405098</c:v>
                </c:pt>
                <c:pt idx="21">
                  <c:v>1.66657544903192</c:v>
                </c:pt>
                <c:pt idx="22">
                  <c:v>1.763908954742156</c:v>
                </c:pt>
              </c:numCache>
            </c:numRef>
          </c:yVal>
          <c:smooth val="0"/>
          <c:extLst>
            <c:ext xmlns:c16="http://schemas.microsoft.com/office/drawing/2014/chart" uri="{C3380CC4-5D6E-409C-BE32-E72D297353CC}">
              <c16:uniqueId val="{00000000-1A00-4E26-9142-552BC1DE63DD}"/>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'GT4.1'!$BA$11</c:f>
              <c:strCache>
                <c:ptCount val="1"/>
                <c:pt idx="0">
                  <c:v>Ratio O2/CO2</c:v>
                </c:pt>
              </c:strCache>
            </c:strRef>
          </c:tx>
          <c:spPr>
            <a:solidFill>
              <a:schemeClr val="accent1"/>
            </a:solidFill>
            <a:ln>
              <a:noFill/>
            </a:ln>
            <a:effectLst/>
          </c:spPr>
          <c:invertIfNegative val="0"/>
          <c:val>
            <c:numRef>
              <c:f>'GT4.1'!$BA$12:$BA$36</c:f>
              <c:numCache>
                <c:formatCode>0.00E+00</c:formatCode>
                <c:ptCount val="25"/>
                <c:pt idx="1">
                  <c:v>0</c:v>
                </c:pt>
                <c:pt idx="2">
                  <c:v>0.6459047448419899</c:v>
                </c:pt>
                <c:pt idx="3">
                  <c:v>0</c:v>
                </c:pt>
                <c:pt idx="4">
                  <c:v>0.67436066988185428</c:v>
                </c:pt>
                <c:pt idx="5">
                  <c:v>0</c:v>
                </c:pt>
                <c:pt idx="6">
                  <c:v>0.54459019634695627</c:v>
                </c:pt>
                <c:pt idx="7">
                  <c:v>0</c:v>
                </c:pt>
                <c:pt idx="8">
                  <c:v>0.62846127298767729</c:v>
                </c:pt>
                <c:pt idx="9">
                  <c:v>0</c:v>
                </c:pt>
                <c:pt idx="10">
                  <c:v>0.83207095843018808</c:v>
                </c:pt>
                <c:pt idx="11">
                  <c:v>0</c:v>
                </c:pt>
                <c:pt idx="12">
                  <c:v>0.85326806890776585</c:v>
                </c:pt>
                <c:pt idx="13">
                  <c:v>0</c:v>
                </c:pt>
                <c:pt idx="14">
                  <c:v>0.95253908664283748</c:v>
                </c:pt>
                <c:pt idx="15">
                  <c:v>0</c:v>
                </c:pt>
                <c:pt idx="16">
                  <c:v>0.66064719395326865</c:v>
                </c:pt>
                <c:pt idx="17">
                  <c:v>0</c:v>
                </c:pt>
                <c:pt idx="18">
                  <c:v>0.67738343496488096</c:v>
                </c:pt>
                <c:pt idx="19">
                  <c:v>0</c:v>
                </c:pt>
                <c:pt idx="20">
                  <c:v>0.81702057495631097</c:v>
                </c:pt>
                <c:pt idx="21">
                  <c:v>0</c:v>
                </c:pt>
                <c:pt idx="22">
                  <c:v>0.70055208396911284</c:v>
                </c:pt>
                <c:pt idx="23">
                  <c:v>0.97995655965294604</c:v>
                </c:pt>
                <c:pt idx="24">
                  <c:v>0</c:v>
                </c:pt>
              </c:numCache>
            </c:numRef>
          </c:val>
          <c:extLst>
            <c:ext xmlns:c16="http://schemas.microsoft.com/office/drawing/2014/chart" uri="{C3380CC4-5D6E-409C-BE32-E72D297353CC}">
              <c16:uniqueId val="{00000000-87B2-4FEA-A86B-1A5C391DEF72}"/>
            </c:ext>
          </c:extLst>
        </c:ser>
        <c:dLbls>
          <c:showLegendKey val="0"/>
          <c:showVal val="0"/>
          <c:showCatName val="0"/>
          <c:showSerName val="0"/>
          <c:showPercent val="0"/>
          <c:showBubbleSize val="0"/>
        </c:dLbls>
        <c:gapWidth val="219"/>
        <c:overlap val="-27"/>
        <c:axId val="555064751"/>
        <c:axId val="555065711"/>
      </c:barChart>
      <c:catAx>
        <c:axId val="5550647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65711"/>
        <c:crosses val="autoZero"/>
        <c:auto val="1"/>
        <c:lblAlgn val="ctr"/>
        <c:lblOffset val="100"/>
        <c:noMultiLvlLbl val="0"/>
      </c:catAx>
      <c:valAx>
        <c:axId val="5550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6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'GT4.2'!$S$11</c:f>
              <c:strCache>
                <c:ptCount val="1"/>
                <c:pt idx="0">
                  <c:v>CH4-corr</c:v>
                </c:pt>
              </c:strCache>
            </c:strRef>
          </c:tx>
          <c:spPr>
            <a:ln w="28575" cap="rnd">
              <a:solidFill>
                <a:schemeClr val="accent1"/>
              </a:solidFill>
              <a:round/>
            </a:ln>
            <a:effectLst/>
          </c:spPr>
          <c:marker>
            <c:symbol val="none"/>
          </c:marker>
          <c:cat>
            <c:numRef>
              <c:f>'GT4.2'!$Q$13:$Q$36</c:f>
              <c:numCache>
                <c:formatCode>0.00</c:formatCode>
                <c:ptCount val="24"/>
                <c:pt idx="0">
                  <c:v>0</c:v>
                </c:pt>
                <c:pt idx="1">
                  <c:v>1.0243055555547471</c:v>
                </c:pt>
                <c:pt idx="2">
                  <c:v>1.109722222223354</c:v>
                </c:pt>
                <c:pt idx="3">
                  <c:v>5.820138888891961</c:v>
                </c:pt>
                <c:pt idx="4">
                  <c:v>5.8715277777810115</c:v>
                </c:pt>
                <c:pt idx="5">
                  <c:v>7.7541666666656965</c:v>
                </c:pt>
                <c:pt idx="6">
                  <c:v>7.8006944444496185</c:v>
                </c:pt>
                <c:pt idx="7">
                  <c:v>9.7854166666656965</c:v>
                </c:pt>
                <c:pt idx="8">
                  <c:v>9.7861111111124046</c:v>
                </c:pt>
                <c:pt idx="9">
                  <c:v>12.954166666670062</c:v>
                </c:pt>
                <c:pt idx="10">
                  <c:v>12.995833333334303</c:v>
                </c:pt>
                <c:pt idx="11">
                  <c:v>15.788888888891961</c:v>
                </c:pt>
                <c:pt idx="12">
                  <c:v>15.825000000004366</c:v>
                </c:pt>
                <c:pt idx="13">
                  <c:v>19.753472222226264</c:v>
                </c:pt>
                <c:pt idx="14">
                  <c:v>19.787500000005821</c:v>
                </c:pt>
                <c:pt idx="15">
                  <c:v>21.779166666667152</c:v>
                </c:pt>
                <c:pt idx="16">
                  <c:v>21.813888888893416</c:v>
                </c:pt>
                <c:pt idx="17">
                  <c:v>23.758333333338669</c:v>
                </c:pt>
                <c:pt idx="18">
                  <c:v>23.795833333337214</c:v>
                </c:pt>
                <c:pt idx="19">
                  <c:v>26.786111111112405</c:v>
                </c:pt>
                <c:pt idx="20">
                  <c:v>26.820833333338669</c:v>
                </c:pt>
                <c:pt idx="21">
                  <c:v>28.74861111111386</c:v>
                </c:pt>
                <c:pt idx="22">
                  <c:v>33.96875</c:v>
                </c:pt>
                <c:pt idx="23">
                  <c:v>34.009722222224809</c:v>
                </c:pt>
              </c:numCache>
            </c:numRef>
          </c:cat>
          <c:val>
            <c:numRef>
              <c:f>'GT4.2'!$S$13:$S$36</c:f>
              <c:numCache>
                <c:formatCode>General</c:formatCode>
                <c:ptCount val="24"/>
                <c:pt idx="0">
                  <c:v>0</c:v>
                </c:pt>
                <c:pt idx="1">
                  <c:v>0.76335877862595425</c:v>
                </c:pt>
                <c:pt idx="2">
                  <c:v>0</c:v>
                </c:pt>
                <c:pt idx="3">
                  <c:v>0.10083694665725523</c:v>
                </c:pt>
                <c:pt idx="4">
                  <c:v>0</c:v>
                </c:pt>
                <c:pt idx="5">
                  <c:v>0</c:v>
                </c:pt>
                <c:pt idx="6">
                  <c:v>0</c:v>
                </c:pt>
                <c:pt idx="7">
                  <c:v>0</c:v>
                </c:pt>
                <c:pt idx="8">
                  <c:v>2.4791339558714157E-2</c:v>
                </c:pt>
                <c:pt idx="9">
                  <c:v>0</c:v>
                </c:pt>
                <c:pt idx="10">
                  <c:v>0</c:v>
                </c:pt>
                <c:pt idx="11">
                  <c:v>0</c:v>
                </c:pt>
                <c:pt idx="12">
                  <c:v>0</c:v>
                </c:pt>
                <c:pt idx="13">
                  <c:v>0</c:v>
                </c:pt>
                <c:pt idx="14">
                  <c:v>0.11473870866798791</c:v>
                </c:pt>
                <c:pt idx="15">
                  <c:v>0</c:v>
                </c:pt>
                <c:pt idx="16">
                  <c:v>0.1352335379174035</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CD81-46D7-AED6-73F1035CB692}"/>
            </c:ext>
          </c:extLst>
        </c:ser>
        <c:ser>
          <c:idx val="1"/>
          <c:order val="1"/>
          <c:tx>
            <c:strRef>
              <c:f>'GT4.2'!$T$11</c:f>
              <c:strCache>
                <c:ptCount val="1"/>
                <c:pt idx="0">
                  <c:v>CO2-corr</c:v>
                </c:pt>
              </c:strCache>
            </c:strRef>
          </c:tx>
          <c:spPr>
            <a:ln w="28575" cap="rnd">
              <a:solidFill>
                <a:schemeClr val="accent2"/>
              </a:solidFill>
              <a:round/>
            </a:ln>
            <a:effectLst/>
          </c:spPr>
          <c:marker>
            <c:symbol val="none"/>
          </c:marker>
          <c:cat>
            <c:numRef>
              <c:f>'GT4.2'!$Q$13:$Q$36</c:f>
              <c:numCache>
                <c:formatCode>0.00</c:formatCode>
                <c:ptCount val="24"/>
                <c:pt idx="0">
                  <c:v>0</c:v>
                </c:pt>
                <c:pt idx="1">
                  <c:v>1.0243055555547471</c:v>
                </c:pt>
                <c:pt idx="2">
                  <c:v>1.109722222223354</c:v>
                </c:pt>
                <c:pt idx="3">
                  <c:v>5.820138888891961</c:v>
                </c:pt>
                <c:pt idx="4">
                  <c:v>5.8715277777810115</c:v>
                </c:pt>
                <c:pt idx="5">
                  <c:v>7.7541666666656965</c:v>
                </c:pt>
                <c:pt idx="6">
                  <c:v>7.8006944444496185</c:v>
                </c:pt>
                <c:pt idx="7">
                  <c:v>9.7854166666656965</c:v>
                </c:pt>
                <c:pt idx="8">
                  <c:v>9.7861111111124046</c:v>
                </c:pt>
                <c:pt idx="9">
                  <c:v>12.954166666670062</c:v>
                </c:pt>
                <c:pt idx="10">
                  <c:v>12.995833333334303</c:v>
                </c:pt>
                <c:pt idx="11">
                  <c:v>15.788888888891961</c:v>
                </c:pt>
                <c:pt idx="12">
                  <c:v>15.825000000004366</c:v>
                </c:pt>
                <c:pt idx="13">
                  <c:v>19.753472222226264</c:v>
                </c:pt>
                <c:pt idx="14">
                  <c:v>19.787500000005821</c:v>
                </c:pt>
                <c:pt idx="15">
                  <c:v>21.779166666667152</c:v>
                </c:pt>
                <c:pt idx="16">
                  <c:v>21.813888888893416</c:v>
                </c:pt>
                <c:pt idx="17">
                  <c:v>23.758333333338669</c:v>
                </c:pt>
                <c:pt idx="18">
                  <c:v>23.795833333337214</c:v>
                </c:pt>
                <c:pt idx="19">
                  <c:v>26.786111111112405</c:v>
                </c:pt>
                <c:pt idx="20">
                  <c:v>26.820833333338669</c:v>
                </c:pt>
                <c:pt idx="21">
                  <c:v>28.74861111111386</c:v>
                </c:pt>
                <c:pt idx="22">
                  <c:v>33.96875</c:v>
                </c:pt>
                <c:pt idx="23">
                  <c:v>34.009722222224809</c:v>
                </c:pt>
              </c:numCache>
            </c:numRef>
          </c:cat>
          <c:val>
            <c:numRef>
              <c:f>'GT4.2'!$T$13:$T$36</c:f>
              <c:numCache>
                <c:formatCode>General</c:formatCode>
                <c:ptCount val="24"/>
                <c:pt idx="0">
                  <c:v>0.03</c:v>
                </c:pt>
                <c:pt idx="1">
                  <c:v>7.0432569974554706</c:v>
                </c:pt>
                <c:pt idx="2">
                  <c:v>0.77900779007790077</c:v>
                </c:pt>
                <c:pt idx="3">
                  <c:v>9.2870827871332082</c:v>
                </c:pt>
                <c:pt idx="4">
                  <c:v>0.8</c:v>
                </c:pt>
                <c:pt idx="5">
                  <c:v>4.1743025860313576</c:v>
                </c:pt>
                <c:pt idx="6">
                  <c:v>0.38922462357881799</c:v>
                </c:pt>
                <c:pt idx="7">
                  <c:v>2.935835351089588</c:v>
                </c:pt>
                <c:pt idx="8">
                  <c:v>0.46690356168911673</c:v>
                </c:pt>
                <c:pt idx="9">
                  <c:v>3.917777551643431</c:v>
                </c:pt>
                <c:pt idx="10">
                  <c:v>0.44070923439581844</c:v>
                </c:pt>
                <c:pt idx="11">
                  <c:v>5.9748748850985605</c:v>
                </c:pt>
                <c:pt idx="12">
                  <c:v>0.44467425025853152</c:v>
                </c:pt>
                <c:pt idx="13">
                  <c:v>8.7604655911782725</c:v>
                </c:pt>
                <c:pt idx="14">
                  <c:v>0.50067800146031094</c:v>
                </c:pt>
                <c:pt idx="15">
                  <c:v>4.1508270831192844</c:v>
                </c:pt>
                <c:pt idx="16">
                  <c:v>0.34328513471340888</c:v>
                </c:pt>
                <c:pt idx="17">
                  <c:v>2.5346575625905237</c:v>
                </c:pt>
                <c:pt idx="18">
                  <c:v>0.30195751770095791</c:v>
                </c:pt>
                <c:pt idx="19">
                  <c:v>2.5285728734702131</c:v>
                </c:pt>
                <c:pt idx="20">
                  <c:v>0.20624935547076415</c:v>
                </c:pt>
                <c:pt idx="21">
                  <c:v>1.7243117878390641</c:v>
                </c:pt>
                <c:pt idx="22">
                  <c:v>3.8860630722278739</c:v>
                </c:pt>
                <c:pt idx="23">
                  <c:v>0.45780876079492244</c:v>
                </c:pt>
              </c:numCache>
            </c:numRef>
          </c:val>
          <c:smooth val="0"/>
          <c:extLst>
            <c:ext xmlns:c16="http://schemas.microsoft.com/office/drawing/2014/chart" uri="{C3380CC4-5D6E-409C-BE32-E72D297353CC}">
              <c16:uniqueId val="{00000001-CD81-46D7-AED6-73F1035CB692}"/>
            </c:ext>
          </c:extLst>
        </c:ser>
        <c:ser>
          <c:idx val="2"/>
          <c:order val="2"/>
          <c:tx>
            <c:strRef>
              <c:f>'GT4.2'!$U$11</c:f>
              <c:strCache>
                <c:ptCount val="1"/>
                <c:pt idx="0">
                  <c:v>O2-corr</c:v>
                </c:pt>
              </c:strCache>
            </c:strRef>
          </c:tx>
          <c:spPr>
            <a:ln w="28575" cap="rnd">
              <a:solidFill>
                <a:schemeClr val="accent3"/>
              </a:solidFill>
              <a:round/>
            </a:ln>
            <a:effectLst/>
          </c:spPr>
          <c:marker>
            <c:symbol val="none"/>
          </c:marker>
          <c:cat>
            <c:numRef>
              <c:f>'GT4.2'!$Q$13:$Q$36</c:f>
              <c:numCache>
                <c:formatCode>0.00</c:formatCode>
                <c:ptCount val="24"/>
                <c:pt idx="0">
                  <c:v>0</c:v>
                </c:pt>
                <c:pt idx="1">
                  <c:v>1.0243055555547471</c:v>
                </c:pt>
                <c:pt idx="2">
                  <c:v>1.109722222223354</c:v>
                </c:pt>
                <c:pt idx="3">
                  <c:v>5.820138888891961</c:v>
                </c:pt>
                <c:pt idx="4">
                  <c:v>5.8715277777810115</c:v>
                </c:pt>
                <c:pt idx="5">
                  <c:v>7.7541666666656965</c:v>
                </c:pt>
                <c:pt idx="6">
                  <c:v>7.8006944444496185</c:v>
                </c:pt>
                <c:pt idx="7">
                  <c:v>9.7854166666656965</c:v>
                </c:pt>
                <c:pt idx="8">
                  <c:v>9.7861111111124046</c:v>
                </c:pt>
                <c:pt idx="9">
                  <c:v>12.954166666670062</c:v>
                </c:pt>
                <c:pt idx="10">
                  <c:v>12.995833333334303</c:v>
                </c:pt>
                <c:pt idx="11">
                  <c:v>15.788888888891961</c:v>
                </c:pt>
                <c:pt idx="12">
                  <c:v>15.825000000004366</c:v>
                </c:pt>
                <c:pt idx="13">
                  <c:v>19.753472222226264</c:v>
                </c:pt>
                <c:pt idx="14">
                  <c:v>19.787500000005821</c:v>
                </c:pt>
                <c:pt idx="15">
                  <c:v>21.779166666667152</c:v>
                </c:pt>
                <c:pt idx="16">
                  <c:v>21.813888888893416</c:v>
                </c:pt>
                <c:pt idx="17">
                  <c:v>23.758333333338669</c:v>
                </c:pt>
                <c:pt idx="18">
                  <c:v>23.795833333337214</c:v>
                </c:pt>
                <c:pt idx="19">
                  <c:v>26.786111111112405</c:v>
                </c:pt>
                <c:pt idx="20">
                  <c:v>26.820833333338669</c:v>
                </c:pt>
                <c:pt idx="21">
                  <c:v>28.74861111111386</c:v>
                </c:pt>
                <c:pt idx="22">
                  <c:v>33.96875</c:v>
                </c:pt>
                <c:pt idx="23">
                  <c:v>34.009722222224809</c:v>
                </c:pt>
              </c:numCache>
            </c:numRef>
          </c:cat>
          <c:val>
            <c:numRef>
              <c:f>'GT4.2'!$U$13:$U$36</c:f>
              <c:numCache>
                <c:formatCode>General</c:formatCode>
                <c:ptCount val="24"/>
                <c:pt idx="0">
                  <c:v>21.9</c:v>
                </c:pt>
                <c:pt idx="1">
                  <c:v>14.910941475826972</c:v>
                </c:pt>
                <c:pt idx="2">
                  <c:v>21.033210332103319</c:v>
                </c:pt>
                <c:pt idx="3">
                  <c:v>9.4484219017848137</c:v>
                </c:pt>
                <c:pt idx="4">
                  <c:v>21.025641025641026</c:v>
                </c:pt>
                <c:pt idx="5">
                  <c:v>17.409896151496643</c:v>
                </c:pt>
                <c:pt idx="6">
                  <c:v>21.171770972037283</c:v>
                </c:pt>
                <c:pt idx="7">
                  <c:v>17.81678773204197</c:v>
                </c:pt>
                <c:pt idx="8">
                  <c:v>21.107759689281881</c:v>
                </c:pt>
                <c:pt idx="9">
                  <c:v>15.091075608018722</c:v>
                </c:pt>
                <c:pt idx="10">
                  <c:v>21.123296095111204</c:v>
                </c:pt>
                <c:pt idx="11">
                  <c:v>11.510570932489021</c:v>
                </c:pt>
                <c:pt idx="12">
                  <c:v>21.096173733195446</c:v>
                </c:pt>
                <c:pt idx="13">
                  <c:v>5.003063099857056</c:v>
                </c:pt>
                <c:pt idx="14">
                  <c:v>21.049337644727238</c:v>
                </c:pt>
                <c:pt idx="15">
                  <c:v>15.956025891297646</c:v>
                </c:pt>
                <c:pt idx="16">
                  <c:v>21.117237074794549</c:v>
                </c:pt>
                <c:pt idx="17">
                  <c:v>18.063314711359403</c:v>
                </c:pt>
                <c:pt idx="18">
                  <c:v>21.168263223656808</c:v>
                </c:pt>
                <c:pt idx="19">
                  <c:v>17.568524324871042</c:v>
                </c:pt>
                <c:pt idx="20">
                  <c:v>21.17149633907394</c:v>
                </c:pt>
                <c:pt idx="21">
                  <c:v>19.098517696884141</c:v>
                </c:pt>
                <c:pt idx="22">
                  <c:v>14.537131230925738</c:v>
                </c:pt>
                <c:pt idx="23">
                  <c:v>21.121631463947558</c:v>
                </c:pt>
              </c:numCache>
            </c:numRef>
          </c:val>
          <c:smooth val="0"/>
          <c:extLst>
            <c:ext xmlns:c16="http://schemas.microsoft.com/office/drawing/2014/chart" uri="{C3380CC4-5D6E-409C-BE32-E72D297353CC}">
              <c16:uniqueId val="{00000002-CD81-46D7-AED6-73F1035CB692}"/>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'GT1.1'!$AP$11</c:f>
              <c:strCache>
                <c:ptCount val="1"/>
                <c:pt idx="0">
                  <c:v>Cgas_DM_cum </c:v>
                </c:pt>
              </c:strCache>
            </c:strRef>
          </c:tx>
          <c:spPr>
            <a:ln w="25400" cap="rnd">
              <a:noFill/>
              <a:round/>
            </a:ln>
            <a:effectLst/>
          </c:spPr>
          <c:marker>
            <c:symbol val="circle"/>
            <c:size val="5"/>
            <c:spPr>
              <a:solidFill>
                <a:schemeClr val="accent1"/>
              </a:solidFill>
              <a:ln w="9525">
                <a:solidFill>
                  <a:schemeClr val="accent1"/>
                </a:solidFill>
              </a:ln>
              <a:effectLst/>
            </c:spPr>
          </c:marker>
          <c:xVal>
            <c:numRef>
              <c:f>'GT1.1'!$Q$13:$Q$36</c:f>
              <c:numCache>
                <c:formatCode>0.00</c:formatCode>
                <c:ptCount val="24"/>
                <c:pt idx="0">
                  <c:v>0</c:v>
                </c:pt>
                <c:pt idx="1">
                  <c:v>2</c:v>
                </c:pt>
                <c:pt idx="2">
                  <c:v>6.8180555555518367</c:v>
                </c:pt>
                <c:pt idx="3">
                  <c:v>6.8631944444423425</c:v>
                </c:pt>
                <c:pt idx="4">
                  <c:v>8.7569444444379769</c:v>
                </c:pt>
                <c:pt idx="5">
                  <c:v>8.7993055555562023</c:v>
                </c:pt>
                <c:pt idx="6">
                  <c:v>10.79374999999709</c:v>
                </c:pt>
                <c:pt idx="7">
                  <c:v>10.794444444443798</c:v>
                </c:pt>
                <c:pt idx="8">
                  <c:v>13.963888888887595</c:v>
                </c:pt>
                <c:pt idx="9">
                  <c:v>14.004861111105129</c:v>
                </c:pt>
                <c:pt idx="10">
                  <c:v>16.780555555553292</c:v>
                </c:pt>
                <c:pt idx="11">
                  <c:v>16.836111111108039</c:v>
                </c:pt>
                <c:pt idx="12">
                  <c:v>20.748611111106584</c:v>
                </c:pt>
                <c:pt idx="13">
                  <c:v>20.79513888888323</c:v>
                </c:pt>
                <c:pt idx="14">
                  <c:v>22.786805555551837</c:v>
                </c:pt>
                <c:pt idx="15">
                  <c:v>22.831944444442343</c:v>
                </c:pt>
                <c:pt idx="16">
                  <c:v>24.768749999995634</c:v>
                </c:pt>
                <c:pt idx="17">
                  <c:v>24.811111111106584</c:v>
                </c:pt>
                <c:pt idx="18">
                  <c:v>27.783333333332848</c:v>
                </c:pt>
                <c:pt idx="19">
                  <c:v>27.830555555556202</c:v>
                </c:pt>
                <c:pt idx="20">
                  <c:v>29.756944444437977</c:v>
                </c:pt>
                <c:pt idx="21">
                  <c:v>29.802083333328483</c:v>
                </c:pt>
                <c:pt idx="22">
                  <c:v>34.978472222217533</c:v>
                </c:pt>
                <c:pt idx="23">
                  <c:v>35.018055555556202</c:v>
                </c:pt>
              </c:numCache>
            </c:numRef>
          </c:xVal>
          <c:yVal>
            <c:numRef>
              <c:f>'GT1.1'!$AP$13:$AP$36</c:f>
              <c:numCache>
                <c:formatCode>0.00E+00</c:formatCode>
                <c:ptCount val="24"/>
                <c:pt idx="0">
                  <c:v>0</c:v>
                </c:pt>
                <c:pt idx="1">
                  <c:v>4.751356616764886E-2</c:v>
                </c:pt>
                <c:pt idx="2">
                  <c:v>7.5312473775710417E-2</c:v>
                </c:pt>
                <c:pt idx="4">
                  <c:v>0.12791969719768881</c:v>
                </c:pt>
                <c:pt idx="6">
                  <c:v>0.24050303843316351</c:v>
                </c:pt>
                <c:pt idx="8">
                  <c:v>0.40804456650104881</c:v>
                </c:pt>
                <c:pt idx="10">
                  <c:v>0.54536820113541851</c:v>
                </c:pt>
                <c:pt idx="12">
                  <c:v>0.7496951808989275</c:v>
                </c:pt>
                <c:pt idx="14">
                  <c:v>0.87081298021026965</c:v>
                </c:pt>
                <c:pt idx="16">
                  <c:v>0.9747504291676653</c:v>
                </c:pt>
                <c:pt idx="18">
                  <c:v>1.0924699640757671</c:v>
                </c:pt>
                <c:pt idx="20">
                  <c:v>1.1702680238358081</c:v>
                </c:pt>
                <c:pt idx="22">
                  <c:v>1.369345290119834</c:v>
                </c:pt>
              </c:numCache>
            </c:numRef>
          </c:yVal>
          <c:smooth val="0"/>
          <c:extLst>
            <c:ext xmlns:c16="http://schemas.microsoft.com/office/drawing/2014/chart" uri="{C3380CC4-5D6E-409C-BE32-E72D297353CC}">
              <c16:uniqueId val="{00000001-796B-491E-9391-1CF116EB1AD0}"/>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'GT4.2'!$AK$11</c:f>
              <c:strCache>
                <c:ptCount val="1"/>
                <c:pt idx="0">
                  <c:v>O2 consumed </c:v>
                </c:pt>
              </c:strCache>
            </c:strRef>
          </c:tx>
          <c:spPr>
            <a:solidFill>
              <a:schemeClr val="accent1"/>
            </a:solidFill>
            <a:ln>
              <a:noFill/>
            </a:ln>
            <a:effectLst/>
          </c:spPr>
          <c:invertIfNegative val="0"/>
          <c:val>
            <c:numRef>
              <c:f>'GT4.2'!$AK$13:$AK$36</c:f>
              <c:numCache>
                <c:formatCode>General</c:formatCode>
                <c:ptCount val="24"/>
                <c:pt idx="0" formatCode="0.00E+00">
                  <c:v>0</c:v>
                </c:pt>
                <c:pt idx="1">
                  <c:v>3.7800160349990798E-3</c:v>
                </c:pt>
                <c:pt idx="3">
                  <c:v>5.312829234891096E-3</c:v>
                </c:pt>
                <c:pt idx="5">
                  <c:v>1.6299604063299738E-3</c:v>
                </c:pt>
                <c:pt idx="7">
                  <c:v>1.5596793244023292E-3</c:v>
                </c:pt>
                <c:pt idx="9">
                  <c:v>2.8222140589688558E-3</c:v>
                </c:pt>
                <c:pt idx="11">
                  <c:v>4.4803595919348238E-3</c:v>
                </c:pt>
                <c:pt idx="13">
                  <c:v>7.2726797326913275E-3</c:v>
                </c:pt>
                <c:pt idx="15">
                  <c:v>2.3592162403671384E-3</c:v>
                </c:pt>
                <c:pt idx="17">
                  <c:v>1.4219120233632775E-3</c:v>
                </c:pt>
                <c:pt idx="19">
                  <c:v>1.6987711282133028E-3</c:v>
                </c:pt>
                <c:pt idx="21">
                  <c:v>9.5983106477736009E-4</c:v>
                </c:pt>
                <c:pt idx="22">
                  <c:v>2.0799520818863652E-3</c:v>
                </c:pt>
              </c:numCache>
            </c:numRef>
          </c:val>
          <c:extLst>
            <c:ext xmlns:c16="http://schemas.microsoft.com/office/drawing/2014/chart" uri="{C3380CC4-5D6E-409C-BE32-E72D297353CC}">
              <c16:uniqueId val="{00000000-9D21-44F9-8332-809A72219F5A}"/>
            </c:ext>
          </c:extLst>
        </c:ser>
        <c:ser>
          <c:idx val="1"/>
          <c:order val="1"/>
          <c:tx>
            <c:strRef>
              <c:f>'GT4.2'!$AL$11</c:f>
              <c:strCache>
                <c:ptCount val="1"/>
                <c:pt idx="0">
                  <c:v>CO2 produced </c:v>
                </c:pt>
              </c:strCache>
            </c:strRef>
          </c:tx>
          <c:spPr>
            <a:solidFill>
              <a:schemeClr val="accent2"/>
            </a:solidFill>
            <a:ln>
              <a:noFill/>
            </a:ln>
            <a:effectLst/>
          </c:spPr>
          <c:invertIfNegative val="0"/>
          <c:val>
            <c:numRef>
              <c:f>'GT4.2'!$AL$13:$AL$36</c:f>
              <c:numCache>
                <c:formatCode>General</c:formatCode>
                <c:ptCount val="24"/>
                <c:pt idx="0" formatCode="0.00E+00">
                  <c:v>0</c:v>
                </c:pt>
                <c:pt idx="1">
                  <c:v>3.1464005723806691E-3</c:v>
                </c:pt>
                <c:pt idx="3">
                  <c:v>3.6299407205235669E-3</c:v>
                </c:pt>
                <c:pt idx="5">
                  <c:v>1.4583160422336418E-3</c:v>
                </c:pt>
                <c:pt idx="7">
                  <c:v>1.1150894891091365E-3</c:v>
                </c:pt>
                <c:pt idx="9">
                  <c:v>1.477102457288303E-3</c:v>
                </c:pt>
                <c:pt idx="11">
                  <c:v>2.3091126861871794E-3</c:v>
                </c:pt>
                <c:pt idx="13">
                  <c:v>3.3710700911367699E-3</c:v>
                </c:pt>
                <c:pt idx="15">
                  <c:v>1.5881223569213954E-3</c:v>
                </c:pt>
                <c:pt idx="17">
                  <c:v>9.4943432783985713E-4</c:v>
                </c:pt>
                <c:pt idx="19">
                  <c:v>9.6785361859049672E-4</c:v>
                </c:pt>
                <c:pt idx="21">
                  <c:v>6.6325095255541377E-4</c:v>
                </c:pt>
                <c:pt idx="22">
                  <c:v>9.1903786130682007E-4</c:v>
                </c:pt>
              </c:numCache>
            </c:numRef>
          </c:val>
          <c:extLst>
            <c:ext xmlns:c16="http://schemas.microsoft.com/office/drawing/2014/chart" uri="{C3380CC4-5D6E-409C-BE32-E72D297353CC}">
              <c16:uniqueId val="{00000001-9D21-44F9-8332-809A72219F5A}"/>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'GT4.2'!$BA$11</c:f>
              <c:strCache>
                <c:ptCount val="1"/>
                <c:pt idx="0">
                  <c:v>Ratio O2/CO2</c:v>
                </c:pt>
              </c:strCache>
            </c:strRef>
          </c:tx>
          <c:spPr>
            <a:solidFill>
              <a:schemeClr val="accent1"/>
            </a:solidFill>
            <a:ln>
              <a:noFill/>
            </a:ln>
            <a:effectLst/>
          </c:spPr>
          <c:invertIfNegative val="0"/>
          <c:val>
            <c:numRef>
              <c:f>'GT4.2'!$BA$13:$BA$36</c:f>
              <c:numCache>
                <c:formatCode>0.00E+00</c:formatCode>
                <c:ptCount val="24"/>
                <c:pt idx="0">
                  <c:v>0</c:v>
                </c:pt>
                <c:pt idx="1">
                  <c:v>0.52100447767011993</c:v>
                </c:pt>
                <c:pt idx="2">
                  <c:v>0</c:v>
                </c:pt>
                <c:pt idx="3">
                  <c:v>0.63636429110149539</c:v>
                </c:pt>
                <c:pt idx="4">
                  <c:v>0</c:v>
                </c:pt>
                <c:pt idx="5">
                  <c:v>0.48596487395518617</c:v>
                </c:pt>
                <c:pt idx="6">
                  <c:v>0</c:v>
                </c:pt>
                <c:pt idx="7">
                  <c:v>0.60814210119737366</c:v>
                </c:pt>
                <c:pt idx="8">
                  <c:v>0</c:v>
                </c:pt>
                <c:pt idx="9">
                  <c:v>0.83072792159185571</c:v>
                </c:pt>
                <c:pt idx="10">
                  <c:v>0</c:v>
                </c:pt>
                <c:pt idx="11">
                  <c:v>0.8436206889658856</c:v>
                </c:pt>
                <c:pt idx="12">
                  <c:v>0</c:v>
                </c:pt>
                <c:pt idx="13">
                  <c:v>0.93800716966305686</c:v>
                </c:pt>
                <c:pt idx="14">
                  <c:v>0</c:v>
                </c:pt>
                <c:pt idx="15">
                  <c:v>0.64589699938276124</c:v>
                </c:pt>
                <c:pt idx="16">
                  <c:v>0</c:v>
                </c:pt>
                <c:pt idx="17">
                  <c:v>0.65115933937632864</c:v>
                </c:pt>
                <c:pt idx="18">
                  <c:v>0</c:v>
                </c:pt>
                <c:pt idx="19">
                  <c:v>0.76314079571883275</c:v>
                </c:pt>
                <c:pt idx="20">
                  <c:v>0</c:v>
                </c:pt>
                <c:pt idx="21">
                  <c:v>0.62921113080781887</c:v>
                </c:pt>
                <c:pt idx="22">
                  <c:v>0.98400975523296574</c:v>
                </c:pt>
                <c:pt idx="23">
                  <c:v>0</c:v>
                </c:pt>
              </c:numCache>
            </c:numRef>
          </c:val>
          <c:extLst>
            <c:ext xmlns:c16="http://schemas.microsoft.com/office/drawing/2014/chart" uri="{C3380CC4-5D6E-409C-BE32-E72D297353CC}">
              <c16:uniqueId val="{00000000-DA42-4EDE-B0F0-9AB9F643DA5E}"/>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'GT4.2'!$AP$11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'GT4.2'!$Q$13:$Q$36</c:f>
              <c:numCache>
                <c:formatCode>0.00</c:formatCode>
                <c:ptCount val="24"/>
                <c:pt idx="0">
                  <c:v>0</c:v>
                </c:pt>
                <c:pt idx="1">
                  <c:v>1.0243055555547471</c:v>
                </c:pt>
                <c:pt idx="2">
                  <c:v>1.109722222223354</c:v>
                </c:pt>
                <c:pt idx="3">
                  <c:v>5.820138888891961</c:v>
                </c:pt>
                <c:pt idx="4">
                  <c:v>5.8715277777810115</c:v>
                </c:pt>
                <c:pt idx="5">
                  <c:v>7.7541666666656965</c:v>
                </c:pt>
                <c:pt idx="6">
                  <c:v>7.8006944444496185</c:v>
                </c:pt>
                <c:pt idx="7">
                  <c:v>9.7854166666656965</c:v>
                </c:pt>
                <c:pt idx="8">
                  <c:v>9.7861111111124046</c:v>
                </c:pt>
                <c:pt idx="9">
                  <c:v>12.954166666670062</c:v>
                </c:pt>
                <c:pt idx="10">
                  <c:v>12.995833333334303</c:v>
                </c:pt>
                <c:pt idx="11">
                  <c:v>15.788888888891961</c:v>
                </c:pt>
                <c:pt idx="12">
                  <c:v>15.825000000004366</c:v>
                </c:pt>
                <c:pt idx="13">
                  <c:v>19.753472222226264</c:v>
                </c:pt>
                <c:pt idx="14">
                  <c:v>19.787500000005821</c:v>
                </c:pt>
                <c:pt idx="15">
                  <c:v>21.779166666667152</c:v>
                </c:pt>
                <c:pt idx="16">
                  <c:v>21.813888888893416</c:v>
                </c:pt>
                <c:pt idx="17">
                  <c:v>23.758333333338669</c:v>
                </c:pt>
                <c:pt idx="18">
                  <c:v>23.795833333337214</c:v>
                </c:pt>
                <c:pt idx="19">
                  <c:v>26.786111111112405</c:v>
                </c:pt>
                <c:pt idx="20">
                  <c:v>26.820833333338669</c:v>
                </c:pt>
                <c:pt idx="21">
                  <c:v>28.74861111111386</c:v>
                </c:pt>
                <c:pt idx="22">
                  <c:v>33.96875</c:v>
                </c:pt>
                <c:pt idx="23">
                  <c:v>34.009722222224809</c:v>
                </c:pt>
              </c:numCache>
            </c:numRef>
          </c:xVal>
          <c:yVal>
            <c:numRef>
              <c:f>'GT4.2'!$AP$13:$AP$36</c:f>
              <c:numCache>
                <c:formatCode>0.00E+00</c:formatCode>
                <c:ptCount val="24"/>
                <c:pt idx="0">
                  <c:v>0</c:v>
                </c:pt>
                <c:pt idx="1">
                  <c:v>0.2725617219494556</c:v>
                </c:pt>
                <c:pt idx="3">
                  <c:v>0.55950945623988158</c:v>
                </c:pt>
                <c:pt idx="5">
                  <c:v>0.6734346226695882</c:v>
                </c:pt>
                <c:pt idx="7">
                  <c:v>0.76054657368138545</c:v>
                </c:pt>
                <c:pt idx="9">
                  <c:v>0.8750856048773219</c:v>
                </c:pt>
                <c:pt idx="11">
                  <c:v>1.0554758902889079</c:v>
                </c:pt>
                <c:pt idx="13">
                  <c:v>1.3188273930199141</c:v>
                </c:pt>
                <c:pt idx="15">
                  <c:v>1.4389261685797317</c:v>
                </c:pt>
                <c:pt idx="17">
                  <c:v>1.5084638655882618</c:v>
                </c:pt>
                <c:pt idx="19">
                  <c:v>1.5840735972131232</c:v>
                </c:pt>
                <c:pt idx="21">
                  <c:v>1.6358874516632214</c:v>
                </c:pt>
                <c:pt idx="22">
                  <c:v>1.7076836455418911</c:v>
                </c:pt>
              </c:numCache>
            </c:numRef>
          </c:yVal>
          <c:smooth val="0"/>
          <c:extLst>
            <c:ext xmlns:c16="http://schemas.microsoft.com/office/drawing/2014/chart" uri="{C3380CC4-5D6E-409C-BE32-E72D297353CC}">
              <c16:uniqueId val="{00000000-2DE2-4B7A-B040-37535875884E}"/>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'GT5.1'!$S$11</c:f>
              <c:strCache>
                <c:ptCount val="1"/>
                <c:pt idx="0">
                  <c:v>CH4-corr</c:v>
                </c:pt>
              </c:strCache>
            </c:strRef>
          </c:tx>
          <c:spPr>
            <a:ln w="28575" cap="rnd">
              <a:solidFill>
                <a:schemeClr val="accent1"/>
              </a:solidFill>
              <a:round/>
            </a:ln>
            <a:effectLst/>
          </c:spPr>
          <c:marker>
            <c:symbol val="none"/>
          </c:marker>
          <c:cat>
            <c:numRef>
              <c:f>'GT5.1'!$Q$13:$Q$32</c:f>
              <c:numCache>
                <c:formatCode>0.00</c:formatCode>
                <c:ptCount val="20"/>
                <c:pt idx="0">
                  <c:v>0</c:v>
                </c:pt>
                <c:pt idx="1">
                  <c:v>2.0131944444437977</c:v>
                </c:pt>
                <c:pt idx="2">
                  <c:v>2.0993055555591127</c:v>
                </c:pt>
                <c:pt idx="3">
                  <c:v>6.820138888891961</c:v>
                </c:pt>
                <c:pt idx="4">
                  <c:v>6.8715277777810115</c:v>
                </c:pt>
                <c:pt idx="5">
                  <c:v>8.7541666666729725</c:v>
                </c:pt>
                <c:pt idx="6">
                  <c:v>10.789583333338669</c:v>
                </c:pt>
                <c:pt idx="7">
                  <c:v>10.790277777778101</c:v>
                </c:pt>
                <c:pt idx="8">
                  <c:v>13.95625000000291</c:v>
                </c:pt>
                <c:pt idx="9">
                  <c:v>13.996527777781012</c:v>
                </c:pt>
                <c:pt idx="10">
                  <c:v>16.787500000005821</c:v>
                </c:pt>
                <c:pt idx="11">
                  <c:v>16.824305555557657</c:v>
                </c:pt>
                <c:pt idx="12">
                  <c:v>20.752083333332848</c:v>
                </c:pt>
                <c:pt idx="13">
                  <c:v>22.779166666667152</c:v>
                </c:pt>
                <c:pt idx="14">
                  <c:v>24.757638888891961</c:v>
                </c:pt>
                <c:pt idx="15">
                  <c:v>24.79861111111677</c:v>
                </c:pt>
                <c:pt idx="16">
                  <c:v>27.785416666672972</c:v>
                </c:pt>
                <c:pt idx="17">
                  <c:v>29.749305555560568</c:v>
                </c:pt>
                <c:pt idx="18">
                  <c:v>34.971527777779556</c:v>
                </c:pt>
                <c:pt idx="19">
                  <c:v>35.009027777778101</c:v>
                </c:pt>
              </c:numCache>
            </c:numRef>
          </c:cat>
          <c:val>
            <c:numRef>
              <c:f>'GT5.1'!$S$13:$S$32</c:f>
              <c:numCache>
                <c:formatCode>General</c:formatCode>
                <c:ptCount val="20"/>
                <c:pt idx="0">
                  <c:v>0</c:v>
                </c:pt>
                <c:pt idx="1">
                  <c:v>0.14255167498218105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5.073051948051948E-2</c:v>
                </c:pt>
                <c:pt idx="19">
                  <c:v>0</c:v>
                </c:pt>
              </c:numCache>
            </c:numRef>
          </c:val>
          <c:smooth val="0"/>
          <c:extLst>
            <c:ext xmlns:c16="http://schemas.microsoft.com/office/drawing/2014/chart" uri="{C3380CC4-5D6E-409C-BE32-E72D297353CC}">
              <c16:uniqueId val="{00000000-F737-4BCF-98EC-BE057D385043}"/>
            </c:ext>
          </c:extLst>
        </c:ser>
        <c:ser>
          <c:idx val="1"/>
          <c:order val="1"/>
          <c:tx>
            <c:strRef>
              <c:f>'GT5.1'!$T$11</c:f>
              <c:strCache>
                <c:ptCount val="1"/>
                <c:pt idx="0">
                  <c:v>CO2-corr</c:v>
                </c:pt>
              </c:strCache>
            </c:strRef>
          </c:tx>
          <c:spPr>
            <a:ln w="28575" cap="rnd">
              <a:solidFill>
                <a:schemeClr val="accent2"/>
              </a:solidFill>
              <a:round/>
            </a:ln>
            <a:effectLst/>
          </c:spPr>
          <c:marker>
            <c:symbol val="none"/>
          </c:marker>
          <c:cat>
            <c:numRef>
              <c:f>'GT5.1'!$Q$13:$Q$32</c:f>
              <c:numCache>
                <c:formatCode>0.00</c:formatCode>
                <c:ptCount val="20"/>
                <c:pt idx="0">
                  <c:v>0</c:v>
                </c:pt>
                <c:pt idx="1">
                  <c:v>2.0131944444437977</c:v>
                </c:pt>
                <c:pt idx="2">
                  <c:v>2.0993055555591127</c:v>
                </c:pt>
                <c:pt idx="3">
                  <c:v>6.820138888891961</c:v>
                </c:pt>
                <c:pt idx="4">
                  <c:v>6.8715277777810115</c:v>
                </c:pt>
                <c:pt idx="5">
                  <c:v>8.7541666666729725</c:v>
                </c:pt>
                <c:pt idx="6">
                  <c:v>10.789583333338669</c:v>
                </c:pt>
                <c:pt idx="7">
                  <c:v>10.790277777778101</c:v>
                </c:pt>
                <c:pt idx="8">
                  <c:v>13.95625000000291</c:v>
                </c:pt>
                <c:pt idx="9">
                  <c:v>13.996527777781012</c:v>
                </c:pt>
                <c:pt idx="10">
                  <c:v>16.787500000005821</c:v>
                </c:pt>
                <c:pt idx="11">
                  <c:v>16.824305555557657</c:v>
                </c:pt>
                <c:pt idx="12">
                  <c:v>20.752083333332848</c:v>
                </c:pt>
                <c:pt idx="13">
                  <c:v>22.779166666667152</c:v>
                </c:pt>
                <c:pt idx="14">
                  <c:v>24.757638888891961</c:v>
                </c:pt>
                <c:pt idx="15">
                  <c:v>24.79861111111677</c:v>
                </c:pt>
                <c:pt idx="16">
                  <c:v>27.785416666672972</c:v>
                </c:pt>
                <c:pt idx="17">
                  <c:v>29.749305555560568</c:v>
                </c:pt>
                <c:pt idx="18">
                  <c:v>34.971527777779556</c:v>
                </c:pt>
                <c:pt idx="19">
                  <c:v>35.009027777778101</c:v>
                </c:pt>
              </c:numCache>
            </c:numRef>
          </c:cat>
          <c:val>
            <c:numRef>
              <c:f>'GT5.1'!$T$13:$T$32</c:f>
              <c:numCache>
                <c:formatCode>General</c:formatCode>
                <c:ptCount val="20"/>
                <c:pt idx="0">
                  <c:v>0.03</c:v>
                </c:pt>
                <c:pt idx="1">
                  <c:v>3.3295998370837996</c:v>
                </c:pt>
                <c:pt idx="2">
                  <c:v>0.38914490527393752</c:v>
                </c:pt>
                <c:pt idx="3">
                  <c:v>3.5743298131600323</c:v>
                </c:pt>
                <c:pt idx="4">
                  <c:v>0.35971223021582732</c:v>
                </c:pt>
                <c:pt idx="5">
                  <c:v>1.733102253032929</c:v>
                </c:pt>
                <c:pt idx="6">
                  <c:v>2.7076177005455651</c:v>
                </c:pt>
                <c:pt idx="7">
                  <c:v>0.30121518813040038</c:v>
                </c:pt>
                <c:pt idx="8">
                  <c:v>3.4105994077402224</c:v>
                </c:pt>
                <c:pt idx="9">
                  <c:v>0.30769230769230771</c:v>
                </c:pt>
                <c:pt idx="10">
                  <c:v>3.0490317264112075</c:v>
                </c:pt>
                <c:pt idx="11">
                  <c:v>0.22854768335757325</c:v>
                </c:pt>
                <c:pt idx="12">
                  <c:v>2.1954236239950529</c:v>
                </c:pt>
                <c:pt idx="13">
                  <c:v>2.5730753396459449</c:v>
                </c:pt>
                <c:pt idx="14">
                  <c:v>3.1737880032867709</c:v>
                </c:pt>
                <c:pt idx="15">
                  <c:v>0.17677030258916501</c:v>
                </c:pt>
                <c:pt idx="16">
                  <c:v>1.7378048780487805</c:v>
                </c:pt>
                <c:pt idx="17">
                  <c:v>2.2939933594929065</c:v>
                </c:pt>
                <c:pt idx="18">
                  <c:v>3.8453733766233764</c:v>
                </c:pt>
                <c:pt idx="19">
                  <c:v>0.3433922996878252</c:v>
                </c:pt>
              </c:numCache>
            </c:numRef>
          </c:val>
          <c:smooth val="0"/>
          <c:extLst>
            <c:ext xmlns:c16="http://schemas.microsoft.com/office/drawing/2014/chart" uri="{C3380CC4-5D6E-409C-BE32-E72D297353CC}">
              <c16:uniqueId val="{00000001-F737-4BCF-98EC-BE057D385043}"/>
            </c:ext>
          </c:extLst>
        </c:ser>
        <c:ser>
          <c:idx val="2"/>
          <c:order val="2"/>
          <c:tx>
            <c:strRef>
              <c:f>'GT5.1'!$U$11</c:f>
              <c:strCache>
                <c:ptCount val="1"/>
                <c:pt idx="0">
                  <c:v>O2-corr</c:v>
                </c:pt>
              </c:strCache>
            </c:strRef>
          </c:tx>
          <c:spPr>
            <a:ln w="28575" cap="rnd">
              <a:solidFill>
                <a:schemeClr val="accent3"/>
              </a:solidFill>
              <a:round/>
            </a:ln>
            <a:effectLst/>
          </c:spPr>
          <c:marker>
            <c:symbol val="none"/>
          </c:marker>
          <c:cat>
            <c:numRef>
              <c:f>'GT5.1'!$Q$13:$Q$32</c:f>
              <c:numCache>
                <c:formatCode>0.00</c:formatCode>
                <c:ptCount val="20"/>
                <c:pt idx="0">
                  <c:v>0</c:v>
                </c:pt>
                <c:pt idx="1">
                  <c:v>2.0131944444437977</c:v>
                </c:pt>
                <c:pt idx="2">
                  <c:v>2.0993055555591127</c:v>
                </c:pt>
                <c:pt idx="3">
                  <c:v>6.820138888891961</c:v>
                </c:pt>
                <c:pt idx="4">
                  <c:v>6.8715277777810115</c:v>
                </c:pt>
                <c:pt idx="5">
                  <c:v>8.7541666666729725</c:v>
                </c:pt>
                <c:pt idx="6">
                  <c:v>10.789583333338669</c:v>
                </c:pt>
                <c:pt idx="7">
                  <c:v>10.790277777778101</c:v>
                </c:pt>
                <c:pt idx="8">
                  <c:v>13.95625000000291</c:v>
                </c:pt>
                <c:pt idx="9">
                  <c:v>13.996527777781012</c:v>
                </c:pt>
                <c:pt idx="10">
                  <c:v>16.787500000005821</c:v>
                </c:pt>
                <c:pt idx="11">
                  <c:v>16.824305555557657</c:v>
                </c:pt>
                <c:pt idx="12">
                  <c:v>20.752083333332848</c:v>
                </c:pt>
                <c:pt idx="13">
                  <c:v>22.779166666667152</c:v>
                </c:pt>
                <c:pt idx="14">
                  <c:v>24.757638888891961</c:v>
                </c:pt>
                <c:pt idx="15">
                  <c:v>24.79861111111677</c:v>
                </c:pt>
                <c:pt idx="16">
                  <c:v>27.785416666672972</c:v>
                </c:pt>
                <c:pt idx="17">
                  <c:v>29.749305555560568</c:v>
                </c:pt>
                <c:pt idx="18">
                  <c:v>34.971527777779556</c:v>
                </c:pt>
                <c:pt idx="19">
                  <c:v>35.009027777778101</c:v>
                </c:pt>
              </c:numCache>
            </c:numRef>
          </c:cat>
          <c:val>
            <c:numRef>
              <c:f>'GT5.1'!$U$13:$U$32</c:f>
              <c:numCache>
                <c:formatCode>General</c:formatCode>
                <c:ptCount val="20"/>
                <c:pt idx="0">
                  <c:v>21.9</c:v>
                </c:pt>
                <c:pt idx="1">
                  <c:v>13.939517360757559</c:v>
                </c:pt>
                <c:pt idx="2">
                  <c:v>21.095750128008191</c:v>
                </c:pt>
                <c:pt idx="3">
                  <c:v>13.667749796913078</c:v>
                </c:pt>
                <c:pt idx="4">
                  <c:v>21.140801644398767</c:v>
                </c:pt>
                <c:pt idx="5">
                  <c:v>18.880619838923437</c:v>
                </c:pt>
                <c:pt idx="6">
                  <c:v>16.306324510002021</c:v>
                </c:pt>
                <c:pt idx="7">
                  <c:v>21.148748666047023</c:v>
                </c:pt>
                <c:pt idx="8">
                  <c:v>14.745226181966711</c:v>
                </c:pt>
                <c:pt idx="9">
                  <c:v>21.117948717948718</c:v>
                </c:pt>
                <c:pt idx="10">
                  <c:v>15.72929542645241</c:v>
                </c:pt>
                <c:pt idx="11">
                  <c:v>21.192603365884064</c:v>
                </c:pt>
                <c:pt idx="12">
                  <c:v>17.985982271696557</c:v>
                </c:pt>
                <c:pt idx="13">
                  <c:v>16.776451214491562</c:v>
                </c:pt>
                <c:pt idx="14">
                  <c:v>15.488907148726376</c:v>
                </c:pt>
                <c:pt idx="15">
                  <c:v>21.222834563793281</c:v>
                </c:pt>
                <c:pt idx="16">
                  <c:v>19.166666666666664</c:v>
                </c:pt>
                <c:pt idx="17">
                  <c:v>18.080289767582251</c:v>
                </c:pt>
                <c:pt idx="18">
                  <c:v>15.158279220779221</c:v>
                </c:pt>
                <c:pt idx="19">
                  <c:v>21.123829344432885</c:v>
                </c:pt>
              </c:numCache>
            </c:numRef>
          </c:val>
          <c:smooth val="0"/>
          <c:extLst>
            <c:ext xmlns:c16="http://schemas.microsoft.com/office/drawing/2014/chart" uri="{C3380CC4-5D6E-409C-BE32-E72D297353CC}">
              <c16:uniqueId val="{00000002-F737-4BCF-98EC-BE057D385043}"/>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'GT5.1'!$AK$11</c:f>
              <c:strCache>
                <c:ptCount val="1"/>
                <c:pt idx="0">
                  <c:v>O2 consumed </c:v>
                </c:pt>
              </c:strCache>
            </c:strRef>
          </c:tx>
          <c:spPr>
            <a:solidFill>
              <a:schemeClr val="accent1"/>
            </a:solidFill>
            <a:ln>
              <a:noFill/>
            </a:ln>
            <a:effectLst/>
          </c:spPr>
          <c:invertIfNegative val="0"/>
          <c:val>
            <c:numRef>
              <c:f>'GT5.1'!$AK$13:$AK$32</c:f>
              <c:numCache>
                <c:formatCode>General</c:formatCode>
                <c:ptCount val="20"/>
                <c:pt idx="0" formatCode="0.00E+00">
                  <c:v>0</c:v>
                </c:pt>
                <c:pt idx="1">
                  <c:v>4.7226211324371643E-3</c:v>
                </c:pt>
                <c:pt idx="3">
                  <c:v>3.5996473116672E-3</c:v>
                </c:pt>
                <c:pt idx="5">
                  <c:v>1.0713909056587357E-3</c:v>
                </c:pt>
                <c:pt idx="6">
                  <c:v>1.2345018385701038E-3</c:v>
                </c:pt>
                <c:pt idx="8">
                  <c:v>3.0019645507553773E-3</c:v>
                </c:pt>
                <c:pt idx="10">
                  <c:v>2.575365694058169E-3</c:v>
                </c:pt>
                <c:pt idx="12">
                  <c:v>1.4827191527113301E-3</c:v>
                </c:pt>
                <c:pt idx="13">
                  <c:v>5.8812750250451708E-4</c:v>
                </c:pt>
                <c:pt idx="14">
                  <c:v>6.07735561254652E-4</c:v>
                </c:pt>
                <c:pt idx="16">
                  <c:v>9.5363222560990862E-4</c:v>
                </c:pt>
                <c:pt idx="17">
                  <c:v>5.1621615309356203E-4</c:v>
                </c:pt>
                <c:pt idx="18">
                  <c:v>1.3367926244345968E-3</c:v>
                </c:pt>
              </c:numCache>
            </c:numRef>
          </c:val>
          <c:extLst>
            <c:ext xmlns:c16="http://schemas.microsoft.com/office/drawing/2014/chart" uri="{C3380CC4-5D6E-409C-BE32-E72D297353CC}">
              <c16:uniqueId val="{00000000-B493-4472-BEF6-844A4FAF0026}"/>
            </c:ext>
          </c:extLst>
        </c:ser>
        <c:ser>
          <c:idx val="1"/>
          <c:order val="1"/>
          <c:tx>
            <c:strRef>
              <c:f>'GT5.1'!$AL$11</c:f>
              <c:strCache>
                <c:ptCount val="1"/>
                <c:pt idx="0">
                  <c:v>CO2 produced </c:v>
                </c:pt>
              </c:strCache>
            </c:strRef>
          </c:tx>
          <c:spPr>
            <a:solidFill>
              <a:schemeClr val="accent2"/>
            </a:solidFill>
            <a:ln>
              <a:noFill/>
            </a:ln>
            <a:effectLst/>
          </c:spPr>
          <c:invertIfNegative val="0"/>
          <c:val>
            <c:numRef>
              <c:f>'GT5.1'!$AL$13:$AL$32</c:f>
              <c:numCache>
                <c:formatCode>General</c:formatCode>
                <c:ptCount val="20"/>
                <c:pt idx="0" formatCode="0.00E+00">
                  <c:v>0</c:v>
                </c:pt>
                <c:pt idx="1">
                  <c:v>1.3794382332067824E-3</c:v>
                </c:pt>
                <c:pt idx="3">
                  <c:v>1.3251910083211509E-3</c:v>
                </c:pt>
                <c:pt idx="5">
                  <c:v>5.8646304001356328E-4</c:v>
                </c:pt>
                <c:pt idx="6">
                  <c:v>3.9310001418533711E-4</c:v>
                </c:pt>
                <c:pt idx="8">
                  <c:v>1.3169478671901484E-3</c:v>
                </c:pt>
                <c:pt idx="10">
                  <c:v>1.1576536457191327E-3</c:v>
                </c:pt>
                <c:pt idx="12">
                  <c:v>8.5575195413226416E-4</c:v>
                </c:pt>
                <c:pt idx="13">
                  <c:v>1.5437342656701432E-4</c:v>
                </c:pt>
                <c:pt idx="14">
                  <c:v>2.4663841345331323E-4</c:v>
                </c:pt>
                <c:pt idx="16">
                  <c:v>6.7967967083420143E-4</c:v>
                </c:pt>
                <c:pt idx="17">
                  <c:v>2.3605021238966067E-4</c:v>
                </c:pt>
                <c:pt idx="18">
                  <c:v>6.4878196090160088E-4</c:v>
                </c:pt>
              </c:numCache>
            </c:numRef>
          </c:val>
          <c:extLst>
            <c:ext xmlns:c16="http://schemas.microsoft.com/office/drawing/2014/chart" uri="{C3380CC4-5D6E-409C-BE32-E72D297353CC}">
              <c16:uniqueId val="{00000001-B493-4472-BEF6-844A4FAF002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'GT5.1'!$BA$11</c:f>
              <c:strCache>
                <c:ptCount val="1"/>
                <c:pt idx="0">
                  <c:v>Ratio O2/CO2</c:v>
                </c:pt>
              </c:strCache>
            </c:strRef>
          </c:tx>
          <c:spPr>
            <a:solidFill>
              <a:schemeClr val="accent1"/>
            </a:solidFill>
            <a:ln>
              <a:noFill/>
            </a:ln>
            <a:effectLst/>
          </c:spPr>
          <c:invertIfNegative val="0"/>
          <c:val>
            <c:numRef>
              <c:f>'GT5.1'!$BA$13:$BA$32</c:f>
              <c:numCache>
                <c:formatCode>0.00E+00</c:formatCode>
                <c:ptCount val="20"/>
                <c:pt idx="0">
                  <c:v>0</c:v>
                </c:pt>
                <c:pt idx="1">
                  <c:v>1.4797699438253937</c:v>
                </c:pt>
                <c:pt idx="2">
                  <c:v>0</c:v>
                </c:pt>
                <c:pt idx="3">
                  <c:v>1.1810300510179192</c:v>
                </c:pt>
                <c:pt idx="4">
                  <c:v>0</c:v>
                </c:pt>
                <c:pt idx="5">
                  <c:v>0.79430406613542404</c:v>
                </c:pt>
                <c:pt idx="6">
                  <c:v>1.365425970803092</c:v>
                </c:pt>
                <c:pt idx="7">
                  <c:v>0</c:v>
                </c:pt>
                <c:pt idx="8">
                  <c:v>0.99109766654809195</c:v>
                </c:pt>
                <c:pt idx="9">
                  <c:v>0</c:v>
                </c:pt>
                <c:pt idx="10">
                  <c:v>0.9672522304567619</c:v>
                </c:pt>
                <c:pt idx="11">
                  <c:v>0</c:v>
                </c:pt>
                <c:pt idx="12">
                  <c:v>0.75333904190638379</c:v>
                </c:pt>
                <c:pt idx="13">
                  <c:v>1.6564503462604532</c:v>
                </c:pt>
                <c:pt idx="14">
                  <c:v>1.0713550200481976</c:v>
                </c:pt>
                <c:pt idx="15">
                  <c:v>0</c:v>
                </c:pt>
                <c:pt idx="16">
                  <c:v>0.61003691416513628</c:v>
                </c:pt>
                <c:pt idx="17">
                  <c:v>0.95083831110157035</c:v>
                </c:pt>
                <c:pt idx="18">
                  <c:v>0.89586950190838155</c:v>
                </c:pt>
                <c:pt idx="19">
                  <c:v>0</c:v>
                </c:pt>
              </c:numCache>
            </c:numRef>
          </c:val>
          <c:extLst>
            <c:ext xmlns:c16="http://schemas.microsoft.com/office/drawing/2014/chart" uri="{C3380CC4-5D6E-409C-BE32-E72D297353CC}">
              <c16:uniqueId val="{00000000-9CC1-4EEB-A954-7A1ABB500ECF}"/>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'GT5.1'!$AP$11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'GT5.1'!$Q$13:$Q$32</c:f>
              <c:numCache>
                <c:formatCode>0.00</c:formatCode>
                <c:ptCount val="20"/>
                <c:pt idx="0">
                  <c:v>0</c:v>
                </c:pt>
                <c:pt idx="1">
                  <c:v>2.0131944444437977</c:v>
                </c:pt>
                <c:pt idx="2">
                  <c:v>2.0993055555591127</c:v>
                </c:pt>
                <c:pt idx="3">
                  <c:v>6.820138888891961</c:v>
                </c:pt>
                <c:pt idx="4">
                  <c:v>6.8715277777810115</c:v>
                </c:pt>
                <c:pt idx="5">
                  <c:v>8.7541666666729725</c:v>
                </c:pt>
                <c:pt idx="6">
                  <c:v>10.789583333338669</c:v>
                </c:pt>
                <c:pt idx="7">
                  <c:v>10.790277777778101</c:v>
                </c:pt>
                <c:pt idx="8">
                  <c:v>13.95625000000291</c:v>
                </c:pt>
                <c:pt idx="9">
                  <c:v>13.996527777781012</c:v>
                </c:pt>
                <c:pt idx="10">
                  <c:v>16.787500000005821</c:v>
                </c:pt>
                <c:pt idx="11">
                  <c:v>16.824305555557657</c:v>
                </c:pt>
                <c:pt idx="12">
                  <c:v>20.752083333332848</c:v>
                </c:pt>
                <c:pt idx="13">
                  <c:v>22.779166666667152</c:v>
                </c:pt>
                <c:pt idx="14">
                  <c:v>24.757638888891961</c:v>
                </c:pt>
                <c:pt idx="15">
                  <c:v>24.79861111111677</c:v>
                </c:pt>
                <c:pt idx="16">
                  <c:v>27.785416666672972</c:v>
                </c:pt>
                <c:pt idx="17">
                  <c:v>29.749305555560568</c:v>
                </c:pt>
                <c:pt idx="18">
                  <c:v>34.971527777779556</c:v>
                </c:pt>
                <c:pt idx="19">
                  <c:v>35.009027777778101</c:v>
                </c:pt>
              </c:numCache>
            </c:numRef>
          </c:xVal>
          <c:yVal>
            <c:numRef>
              <c:f>'GT5.1'!$AP$13:$AP$32</c:f>
              <c:numCache>
                <c:formatCode>0.00E+00</c:formatCode>
                <c:ptCount val="20"/>
                <c:pt idx="0">
                  <c:v>0</c:v>
                </c:pt>
                <c:pt idx="1">
                  <c:v>0.11242523737451741</c:v>
                </c:pt>
                <c:pt idx="3">
                  <c:v>0.21595053765366645</c:v>
                </c:pt>
                <c:pt idx="5">
                  <c:v>0.26176564048698808</c:v>
                </c:pt>
                <c:pt idx="6">
                  <c:v>0.29247502257058011</c:v>
                </c:pt>
                <c:pt idx="8">
                  <c:v>0.39535636008853325</c:v>
                </c:pt>
                <c:pt idx="10">
                  <c:v>0.48579346729782158</c:v>
                </c:pt>
                <c:pt idx="12">
                  <c:v>0.55264570026629467</c:v>
                </c:pt>
                <c:pt idx="13">
                  <c:v>0.56470551295753679</c:v>
                </c:pt>
                <c:pt idx="14">
                  <c:v>0.58397316241546249</c:v>
                </c:pt>
                <c:pt idx="16">
                  <c:v>0.63707044542969471</c:v>
                </c:pt>
                <c:pt idx="17">
                  <c:v>0.65551093360472046</c:v>
                </c:pt>
                <c:pt idx="18">
                  <c:v>0.70788185605668064</c:v>
                </c:pt>
              </c:numCache>
            </c:numRef>
          </c:yVal>
          <c:smooth val="0"/>
          <c:extLst>
            <c:ext xmlns:c16="http://schemas.microsoft.com/office/drawing/2014/chart" uri="{C3380CC4-5D6E-409C-BE32-E72D297353CC}">
              <c16:uniqueId val="{00000000-599C-4E8C-82AC-0FA466B3657B}"/>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'GT5.2'!$S$11</c:f>
              <c:strCache>
                <c:ptCount val="1"/>
                <c:pt idx="0">
                  <c:v>CH4-corr</c:v>
                </c:pt>
              </c:strCache>
            </c:strRef>
          </c:tx>
          <c:spPr>
            <a:ln w="28575" cap="rnd">
              <a:solidFill>
                <a:schemeClr val="accent1"/>
              </a:solidFill>
              <a:round/>
            </a:ln>
            <a:effectLst/>
          </c:spPr>
          <c:marker>
            <c:symbol val="none"/>
          </c:marker>
          <c:cat>
            <c:numRef>
              <c:f>'GT5.2'!$Q$13:$Q$32</c:f>
              <c:numCache>
                <c:formatCode>0.00</c:formatCode>
                <c:ptCount val="20"/>
                <c:pt idx="0">
                  <c:v>0</c:v>
                </c:pt>
                <c:pt idx="1">
                  <c:v>2.0145833333372138</c:v>
                </c:pt>
                <c:pt idx="2">
                  <c:v>2.1041666666642413</c:v>
                </c:pt>
                <c:pt idx="3">
                  <c:v>6.8215277777781012</c:v>
                </c:pt>
                <c:pt idx="4">
                  <c:v>6.8722222222204437</c:v>
                </c:pt>
                <c:pt idx="5">
                  <c:v>8.7555555555591127</c:v>
                </c:pt>
                <c:pt idx="6">
                  <c:v>10.790277777778101</c:v>
                </c:pt>
                <c:pt idx="7">
                  <c:v>10.790972222224809</c:v>
                </c:pt>
                <c:pt idx="8">
                  <c:v>13.956944444442343</c:v>
                </c:pt>
                <c:pt idx="9">
                  <c:v>16.788888888891961</c:v>
                </c:pt>
                <c:pt idx="10">
                  <c:v>16.837500000001455</c:v>
                </c:pt>
                <c:pt idx="11">
                  <c:v>20.752083333332848</c:v>
                </c:pt>
                <c:pt idx="12">
                  <c:v>22.78263888888614</c:v>
                </c:pt>
                <c:pt idx="13">
                  <c:v>22.813194444446708</c:v>
                </c:pt>
                <c:pt idx="14">
                  <c:v>24.763194444443798</c:v>
                </c:pt>
                <c:pt idx="15">
                  <c:v>27.790277777778101</c:v>
                </c:pt>
                <c:pt idx="16">
                  <c:v>27.820138888891961</c:v>
                </c:pt>
                <c:pt idx="17">
                  <c:v>29.75</c:v>
                </c:pt>
                <c:pt idx="18">
                  <c:v>34.972916666665697</c:v>
                </c:pt>
                <c:pt idx="19">
                  <c:v>35.009722222224809</c:v>
                </c:pt>
              </c:numCache>
            </c:numRef>
          </c:cat>
          <c:val>
            <c:numRef>
              <c:f>'GT5.2'!$S$13:$S$32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AAF-41B0-9B71-08117421D91D}"/>
            </c:ext>
          </c:extLst>
        </c:ser>
        <c:ser>
          <c:idx val="1"/>
          <c:order val="1"/>
          <c:tx>
            <c:strRef>
              <c:f>'GT5.2'!$T$11</c:f>
              <c:strCache>
                <c:ptCount val="1"/>
                <c:pt idx="0">
                  <c:v>CO2-corr</c:v>
                </c:pt>
              </c:strCache>
            </c:strRef>
          </c:tx>
          <c:spPr>
            <a:ln w="28575" cap="rnd">
              <a:solidFill>
                <a:schemeClr val="accent2"/>
              </a:solidFill>
              <a:round/>
            </a:ln>
            <a:effectLst/>
          </c:spPr>
          <c:marker>
            <c:symbol val="none"/>
          </c:marker>
          <c:cat>
            <c:numRef>
              <c:f>'GT5.2'!$Q$13:$Q$32</c:f>
              <c:numCache>
                <c:formatCode>0.00</c:formatCode>
                <c:ptCount val="20"/>
                <c:pt idx="0">
                  <c:v>0</c:v>
                </c:pt>
                <c:pt idx="1">
                  <c:v>2.0145833333372138</c:v>
                </c:pt>
                <c:pt idx="2">
                  <c:v>2.1041666666642413</c:v>
                </c:pt>
                <c:pt idx="3">
                  <c:v>6.8215277777781012</c:v>
                </c:pt>
                <c:pt idx="4">
                  <c:v>6.8722222222204437</c:v>
                </c:pt>
                <c:pt idx="5">
                  <c:v>8.7555555555591127</c:v>
                </c:pt>
                <c:pt idx="6">
                  <c:v>10.790277777778101</c:v>
                </c:pt>
                <c:pt idx="7">
                  <c:v>10.790972222224809</c:v>
                </c:pt>
                <c:pt idx="8">
                  <c:v>13.956944444442343</c:v>
                </c:pt>
                <c:pt idx="9">
                  <c:v>16.788888888891961</c:v>
                </c:pt>
                <c:pt idx="10">
                  <c:v>16.837500000001455</c:v>
                </c:pt>
                <c:pt idx="11">
                  <c:v>20.752083333332848</c:v>
                </c:pt>
                <c:pt idx="12">
                  <c:v>22.78263888888614</c:v>
                </c:pt>
                <c:pt idx="13">
                  <c:v>22.813194444446708</c:v>
                </c:pt>
                <c:pt idx="14">
                  <c:v>24.763194444443798</c:v>
                </c:pt>
                <c:pt idx="15">
                  <c:v>27.790277777778101</c:v>
                </c:pt>
                <c:pt idx="16">
                  <c:v>27.820138888891961</c:v>
                </c:pt>
                <c:pt idx="17">
                  <c:v>29.75</c:v>
                </c:pt>
                <c:pt idx="18">
                  <c:v>34.972916666665697</c:v>
                </c:pt>
                <c:pt idx="19">
                  <c:v>35.009722222224809</c:v>
                </c:pt>
              </c:numCache>
            </c:numRef>
          </c:cat>
          <c:val>
            <c:numRef>
              <c:f>'GT5.2'!$T$13:$T$32</c:f>
              <c:numCache>
                <c:formatCode>General</c:formatCode>
                <c:ptCount val="20"/>
                <c:pt idx="0">
                  <c:v>0.03</c:v>
                </c:pt>
                <c:pt idx="1">
                  <c:v>3.0610155610155609</c:v>
                </c:pt>
                <c:pt idx="2">
                  <c:v>0.2669130479416898</c:v>
                </c:pt>
                <c:pt idx="3">
                  <c:v>2.8451968182745255</c:v>
                </c:pt>
                <c:pt idx="4">
                  <c:v>0.30832476875642345</c:v>
                </c:pt>
                <c:pt idx="5">
                  <c:v>1.6155419222903886</c:v>
                </c:pt>
                <c:pt idx="6">
                  <c:v>2.3154701718907988</c:v>
                </c:pt>
                <c:pt idx="7">
                  <c:v>0.28101025773640209</c:v>
                </c:pt>
                <c:pt idx="8">
                  <c:v>1.8723143032535297</c:v>
                </c:pt>
                <c:pt idx="9">
                  <c:v>2.8164686603850879</c:v>
                </c:pt>
                <c:pt idx="10">
                  <c:v>0.3001759652209916</c:v>
                </c:pt>
                <c:pt idx="11">
                  <c:v>2.2579647386328485</c:v>
                </c:pt>
                <c:pt idx="12">
                  <c:v>2.9227127714315118</c:v>
                </c:pt>
                <c:pt idx="13">
                  <c:v>0.25054807391168182</c:v>
                </c:pt>
                <c:pt idx="14">
                  <c:v>1.6189290161892902</c:v>
                </c:pt>
                <c:pt idx="15">
                  <c:v>2.8011773064041408</c:v>
                </c:pt>
                <c:pt idx="16">
                  <c:v>0.20652622883106153</c:v>
                </c:pt>
                <c:pt idx="17">
                  <c:v>1.5088607594936709</c:v>
                </c:pt>
                <c:pt idx="18">
                  <c:v>3.6984496909514641</c:v>
                </c:pt>
                <c:pt idx="19">
                  <c:v>0.35379812695109264</c:v>
                </c:pt>
              </c:numCache>
            </c:numRef>
          </c:val>
          <c:smooth val="0"/>
          <c:extLst>
            <c:ext xmlns:c16="http://schemas.microsoft.com/office/drawing/2014/chart" uri="{C3380CC4-5D6E-409C-BE32-E72D297353CC}">
              <c16:uniqueId val="{00000001-FAAF-41B0-9B71-08117421D91D}"/>
            </c:ext>
          </c:extLst>
        </c:ser>
        <c:ser>
          <c:idx val="2"/>
          <c:order val="2"/>
          <c:tx>
            <c:strRef>
              <c:f>'GT5.2'!$U$11</c:f>
              <c:strCache>
                <c:ptCount val="1"/>
                <c:pt idx="0">
                  <c:v>O2-corr</c:v>
                </c:pt>
              </c:strCache>
            </c:strRef>
          </c:tx>
          <c:spPr>
            <a:ln w="28575" cap="rnd">
              <a:solidFill>
                <a:schemeClr val="accent3"/>
              </a:solidFill>
              <a:round/>
            </a:ln>
            <a:effectLst/>
          </c:spPr>
          <c:marker>
            <c:symbol val="none"/>
          </c:marker>
          <c:cat>
            <c:numRef>
              <c:f>'GT5.2'!$Q$13:$Q$32</c:f>
              <c:numCache>
                <c:formatCode>0.00</c:formatCode>
                <c:ptCount val="20"/>
                <c:pt idx="0">
                  <c:v>0</c:v>
                </c:pt>
                <c:pt idx="1">
                  <c:v>2.0145833333372138</c:v>
                </c:pt>
                <c:pt idx="2">
                  <c:v>2.1041666666642413</c:v>
                </c:pt>
                <c:pt idx="3">
                  <c:v>6.8215277777781012</c:v>
                </c:pt>
                <c:pt idx="4">
                  <c:v>6.8722222222204437</c:v>
                </c:pt>
                <c:pt idx="5">
                  <c:v>8.7555555555591127</c:v>
                </c:pt>
                <c:pt idx="6">
                  <c:v>10.790277777778101</c:v>
                </c:pt>
                <c:pt idx="7">
                  <c:v>10.790972222224809</c:v>
                </c:pt>
                <c:pt idx="8">
                  <c:v>13.956944444442343</c:v>
                </c:pt>
                <c:pt idx="9">
                  <c:v>16.788888888891961</c:v>
                </c:pt>
                <c:pt idx="10">
                  <c:v>16.837500000001455</c:v>
                </c:pt>
                <c:pt idx="11">
                  <c:v>20.752083333332848</c:v>
                </c:pt>
                <c:pt idx="12">
                  <c:v>22.78263888888614</c:v>
                </c:pt>
                <c:pt idx="13">
                  <c:v>22.813194444446708</c:v>
                </c:pt>
                <c:pt idx="14">
                  <c:v>24.763194444443798</c:v>
                </c:pt>
                <c:pt idx="15">
                  <c:v>27.790277777778101</c:v>
                </c:pt>
                <c:pt idx="16">
                  <c:v>27.820138888891961</c:v>
                </c:pt>
                <c:pt idx="17">
                  <c:v>29.75</c:v>
                </c:pt>
                <c:pt idx="18">
                  <c:v>34.972916666665697</c:v>
                </c:pt>
                <c:pt idx="19">
                  <c:v>35.009722222224809</c:v>
                </c:pt>
              </c:numCache>
            </c:numRef>
          </c:cat>
          <c:val>
            <c:numRef>
              <c:f>'GT5.2'!$U$13:$U$32</c:f>
              <c:numCache>
                <c:formatCode>General</c:formatCode>
                <c:ptCount val="20"/>
                <c:pt idx="0">
                  <c:v>21.9</c:v>
                </c:pt>
                <c:pt idx="1">
                  <c:v>17.843980343980341</c:v>
                </c:pt>
                <c:pt idx="2">
                  <c:v>21.168257879067859</c:v>
                </c:pt>
                <c:pt idx="3">
                  <c:v>16.000407913522334</c:v>
                </c:pt>
                <c:pt idx="4">
                  <c:v>21.151079136690647</c:v>
                </c:pt>
                <c:pt idx="5">
                  <c:v>19.253578732106337</c:v>
                </c:pt>
                <c:pt idx="6">
                  <c:v>17.522750252780583</c:v>
                </c:pt>
                <c:pt idx="7">
                  <c:v>21.167140763727271</c:v>
                </c:pt>
                <c:pt idx="8">
                  <c:v>18.405975035809284</c:v>
                </c:pt>
                <c:pt idx="9">
                  <c:v>16.366243342892258</c:v>
                </c:pt>
                <c:pt idx="10">
                  <c:v>21.167580995756133</c:v>
                </c:pt>
                <c:pt idx="11">
                  <c:v>18.094648932879675</c:v>
                </c:pt>
                <c:pt idx="12">
                  <c:v>16.661521045590206</c:v>
                </c:pt>
                <c:pt idx="13">
                  <c:v>21.223509760935379</c:v>
                </c:pt>
                <c:pt idx="14">
                  <c:v>19.613947696139476</c:v>
                </c:pt>
                <c:pt idx="15">
                  <c:v>17.466761392469298</c:v>
                </c:pt>
                <c:pt idx="16">
                  <c:v>21.158612143742253</c:v>
                </c:pt>
                <c:pt idx="17">
                  <c:v>19.726582278481011</c:v>
                </c:pt>
                <c:pt idx="18">
                  <c:v>16.27317864018644</c:v>
                </c:pt>
                <c:pt idx="19">
                  <c:v>21.134235171696147</c:v>
                </c:pt>
              </c:numCache>
            </c:numRef>
          </c:val>
          <c:smooth val="0"/>
          <c:extLst>
            <c:ext xmlns:c16="http://schemas.microsoft.com/office/drawing/2014/chart" uri="{C3380CC4-5D6E-409C-BE32-E72D297353CC}">
              <c16:uniqueId val="{00000002-FAAF-41B0-9B71-08117421D91D}"/>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'GT5.2'!$AK$11</c:f>
              <c:strCache>
                <c:ptCount val="1"/>
                <c:pt idx="0">
                  <c:v>O2 consumed </c:v>
                </c:pt>
              </c:strCache>
            </c:strRef>
          </c:tx>
          <c:spPr>
            <a:solidFill>
              <a:schemeClr val="accent1"/>
            </a:solidFill>
            <a:ln>
              <a:noFill/>
            </a:ln>
            <a:effectLst/>
          </c:spPr>
          <c:invertIfNegative val="0"/>
          <c:val>
            <c:numRef>
              <c:f>'GT5.2'!$AK$13:$AK$32</c:f>
              <c:numCache>
                <c:formatCode>General</c:formatCode>
                <c:ptCount val="20"/>
                <c:pt idx="0" formatCode="0.00E+00">
                  <c:v>0</c:v>
                </c:pt>
                <c:pt idx="1">
                  <c:v>2.8478927937341031E-3</c:v>
                </c:pt>
                <c:pt idx="3">
                  <c:v>2.5420562532975878E-3</c:v>
                </c:pt>
                <c:pt idx="5">
                  <c:v>9.0977471774498532E-4</c:v>
                </c:pt>
                <c:pt idx="6">
                  <c:v>8.3437565775563039E-4</c:v>
                </c:pt>
                <c:pt idx="8">
                  <c:v>1.3135113791667534E-3</c:v>
                </c:pt>
                <c:pt idx="9">
                  <c:v>1.0096672789281572E-3</c:v>
                </c:pt>
                <c:pt idx="11">
                  <c:v>1.4558199899276456E-3</c:v>
                </c:pt>
                <c:pt idx="12">
                  <c:v>6.9703765511895145E-4</c:v>
                </c:pt>
                <c:pt idx="14">
                  <c:v>7.6168740694375174E-4</c:v>
                </c:pt>
                <c:pt idx="15">
                  <c:v>1.0308226396008964E-3</c:v>
                </c:pt>
                <c:pt idx="17">
                  <c:v>6.5740268950728077E-4</c:v>
                </c:pt>
                <c:pt idx="18">
                  <c:v>1.6199436599609058E-3</c:v>
                </c:pt>
              </c:numCache>
            </c:numRef>
          </c:val>
          <c:extLst>
            <c:ext xmlns:c16="http://schemas.microsoft.com/office/drawing/2014/chart" uri="{C3380CC4-5D6E-409C-BE32-E72D297353CC}">
              <c16:uniqueId val="{00000000-5039-4122-8F34-9CB7550F9D39}"/>
            </c:ext>
          </c:extLst>
        </c:ser>
        <c:ser>
          <c:idx val="1"/>
          <c:order val="1"/>
          <c:tx>
            <c:strRef>
              <c:f>'GT5.2'!$AL$11</c:f>
              <c:strCache>
                <c:ptCount val="1"/>
                <c:pt idx="0">
                  <c:v>CO2 produced </c:v>
                </c:pt>
              </c:strCache>
            </c:strRef>
          </c:tx>
          <c:spPr>
            <a:solidFill>
              <a:schemeClr val="accent2"/>
            </a:solidFill>
            <a:ln>
              <a:noFill/>
            </a:ln>
            <a:effectLst/>
          </c:spPr>
          <c:invertIfNegative val="0"/>
          <c:val>
            <c:numRef>
              <c:f>'GT5.2'!$AL$13:$AL$32</c:f>
              <c:numCache>
                <c:formatCode>General</c:formatCode>
                <c:ptCount val="20"/>
                <c:pt idx="0" formatCode="0.00E+00">
                  <c:v>0</c:v>
                </c:pt>
                <c:pt idx="1">
                  <c:v>1.3176113180836785E-3</c:v>
                </c:pt>
                <c:pt idx="3">
                  <c:v>1.0991942738897162E-3</c:v>
                </c:pt>
                <c:pt idx="5">
                  <c:v>5.6046473807023177E-4</c:v>
                </c:pt>
                <c:pt idx="6">
                  <c:v>2.8737130080754936E-4</c:v>
                </c:pt>
                <c:pt idx="8">
                  <c:v>6.8745430509127743E-4</c:v>
                </c:pt>
                <c:pt idx="9">
                  <c:v>3.8540988285997184E-4</c:v>
                </c:pt>
                <c:pt idx="11">
                  <c:v>8.4924250196823613E-4</c:v>
                </c:pt>
                <c:pt idx="12">
                  <c:v>2.750234235120812E-4</c:v>
                </c:pt>
                <c:pt idx="14">
                  <c:v>5.912943942541697E-4</c:v>
                </c:pt>
                <c:pt idx="15">
                  <c:v>4.9364105498353103E-4</c:v>
                </c:pt>
                <c:pt idx="17">
                  <c:v>5.6872436045884382E-4</c:v>
                </c:pt>
                <c:pt idx="18">
                  <c:v>9.281860855464767E-4</c:v>
                </c:pt>
              </c:numCache>
            </c:numRef>
          </c:val>
          <c:extLst>
            <c:ext xmlns:c16="http://schemas.microsoft.com/office/drawing/2014/chart" uri="{C3380CC4-5D6E-409C-BE32-E72D297353CC}">
              <c16:uniqueId val="{00000001-5039-4122-8F34-9CB7550F9D39}"/>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'GT5.2'!$BA$11</c:f>
              <c:strCache>
                <c:ptCount val="1"/>
                <c:pt idx="0">
                  <c:v>Ratio O2/CO2</c:v>
                </c:pt>
              </c:strCache>
            </c:strRef>
          </c:tx>
          <c:spPr>
            <a:solidFill>
              <a:schemeClr val="accent1"/>
            </a:solidFill>
            <a:ln>
              <a:noFill/>
            </a:ln>
            <a:effectLst/>
          </c:spPr>
          <c:invertIfNegative val="0"/>
          <c:val>
            <c:numRef>
              <c:f>'GT5.2'!$BA$13:$BA$32</c:f>
              <c:numCache>
                <c:formatCode>0.00E+00</c:formatCode>
                <c:ptCount val="20"/>
                <c:pt idx="0">
                  <c:v>0</c:v>
                </c:pt>
                <c:pt idx="1">
                  <c:v>0.93393274853128849</c:v>
                </c:pt>
                <c:pt idx="2">
                  <c:v>0</c:v>
                </c:pt>
                <c:pt idx="3">
                  <c:v>1.0055187583688221</c:v>
                </c:pt>
                <c:pt idx="4">
                  <c:v>0</c:v>
                </c:pt>
                <c:pt idx="5">
                  <c:v>0.70577301185011387</c:v>
                </c:pt>
                <c:pt idx="6">
                  <c:v>1.2624021019422311</c:v>
                </c:pt>
                <c:pt idx="7">
                  <c:v>0</c:v>
                </c:pt>
                <c:pt idx="8">
                  <c:v>0.83074833762834888</c:v>
                </c:pt>
                <c:pt idx="9">
                  <c:v>1.1390293437522718</c:v>
                </c:pt>
                <c:pt idx="10">
                  <c:v>0</c:v>
                </c:pt>
                <c:pt idx="11">
                  <c:v>0.74534172589514747</c:v>
                </c:pt>
                <c:pt idx="12">
                  <c:v>1.1019605155703416</c:v>
                </c:pt>
                <c:pt idx="13">
                  <c:v>0</c:v>
                </c:pt>
                <c:pt idx="14">
                  <c:v>0.56008312928860138</c:v>
                </c:pt>
                <c:pt idx="15">
                  <c:v>0.90792955573647749</c:v>
                </c:pt>
                <c:pt idx="16">
                  <c:v>0</c:v>
                </c:pt>
                <c:pt idx="17">
                  <c:v>0.50258453743092979</c:v>
                </c:pt>
                <c:pt idx="18">
                  <c:v>0.75882972408426252</c:v>
                </c:pt>
                <c:pt idx="19">
                  <c:v>0</c:v>
                </c:pt>
              </c:numCache>
            </c:numRef>
          </c:val>
          <c:extLst>
            <c:ext xmlns:c16="http://schemas.microsoft.com/office/drawing/2014/chart" uri="{C3380CC4-5D6E-409C-BE32-E72D297353CC}">
              <c16:uniqueId val="{00000000-9AE3-48FC-B41B-7779B1FD4DBF}"/>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'GT1.1'!$BA$11</c:f>
              <c:strCache>
                <c:ptCount val="1"/>
                <c:pt idx="0">
                  <c:v>Ratio O2/CO2</c:v>
                </c:pt>
              </c:strCache>
            </c:strRef>
          </c:tx>
          <c:spPr>
            <a:solidFill>
              <a:schemeClr val="accent1"/>
            </a:solidFill>
            <a:ln>
              <a:noFill/>
            </a:ln>
            <a:effectLst/>
          </c:spPr>
          <c:invertIfNegative val="0"/>
          <c:val>
            <c:numRef>
              <c:f>'GT1.1'!$BA$12:$BA$36</c:f>
              <c:numCache>
                <c:formatCode>0.00E+00</c:formatCode>
                <c:ptCount val="25"/>
                <c:pt idx="1">
                  <c:v>0</c:v>
                </c:pt>
                <c:pt idx="2">
                  <c:v>6.7193145309414488</c:v>
                </c:pt>
                <c:pt idx="3">
                  <c:v>0.3476748765794424</c:v>
                </c:pt>
                <c:pt idx="4">
                  <c:v>0</c:v>
                </c:pt>
                <c:pt idx="5">
                  <c:v>3.691717362855337</c:v>
                </c:pt>
                <c:pt idx="6">
                  <c:v>0</c:v>
                </c:pt>
                <c:pt idx="7">
                  <c:v>1.4091190972053049</c:v>
                </c:pt>
                <c:pt idx="8">
                  <c:v>0</c:v>
                </c:pt>
                <c:pt idx="9">
                  <c:v>1.0444088518229213</c:v>
                </c:pt>
                <c:pt idx="10">
                  <c:v>0</c:v>
                </c:pt>
                <c:pt idx="11">
                  <c:v>1.0101087721640132</c:v>
                </c:pt>
                <c:pt idx="12">
                  <c:v>0</c:v>
                </c:pt>
                <c:pt idx="13">
                  <c:v>0.99973007177401685</c:v>
                </c:pt>
                <c:pt idx="14">
                  <c:v>0</c:v>
                </c:pt>
                <c:pt idx="15">
                  <c:v>0.92194786343538271</c:v>
                </c:pt>
                <c:pt idx="16">
                  <c:v>0</c:v>
                </c:pt>
                <c:pt idx="17">
                  <c:v>0.95416765109099677</c:v>
                </c:pt>
                <c:pt idx="18">
                  <c:v>0</c:v>
                </c:pt>
                <c:pt idx="19">
                  <c:v>0.96744141563314123</c:v>
                </c:pt>
                <c:pt idx="20">
                  <c:v>0</c:v>
                </c:pt>
                <c:pt idx="21">
                  <c:v>0.8611289172540828</c:v>
                </c:pt>
                <c:pt idx="22">
                  <c:v>0</c:v>
                </c:pt>
                <c:pt idx="23">
                  <c:v>0.7934410215215334</c:v>
                </c:pt>
                <c:pt idx="24">
                  <c:v>0</c:v>
                </c:pt>
              </c:numCache>
            </c:numRef>
          </c:val>
          <c:extLst>
            <c:ext xmlns:c16="http://schemas.microsoft.com/office/drawing/2014/chart" uri="{C3380CC4-5D6E-409C-BE32-E72D297353CC}">
              <c16:uniqueId val="{00000000-B4F2-41D2-8441-A682A04F7EBA}"/>
            </c:ext>
          </c:extLst>
        </c:ser>
        <c:dLbls>
          <c:showLegendKey val="0"/>
          <c:showVal val="0"/>
          <c:showCatName val="0"/>
          <c:showSerName val="0"/>
          <c:showPercent val="0"/>
          <c:showBubbleSize val="0"/>
        </c:dLbls>
        <c:gapWidth val="219"/>
        <c:overlap val="-27"/>
        <c:axId val="1977240432"/>
        <c:axId val="1977240912"/>
      </c:barChart>
      <c:catAx>
        <c:axId val="1977240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40912"/>
        <c:crosses val="autoZero"/>
        <c:auto val="1"/>
        <c:lblAlgn val="ctr"/>
        <c:lblOffset val="100"/>
        <c:noMultiLvlLbl val="0"/>
      </c:catAx>
      <c:valAx>
        <c:axId val="19772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'GT5.2'!$AP$11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'GT5.2'!$Q$13:$Q$32</c:f>
              <c:numCache>
                <c:formatCode>0.00</c:formatCode>
                <c:ptCount val="20"/>
                <c:pt idx="0">
                  <c:v>0</c:v>
                </c:pt>
                <c:pt idx="1">
                  <c:v>2.0145833333372138</c:v>
                </c:pt>
                <c:pt idx="2">
                  <c:v>2.1041666666642413</c:v>
                </c:pt>
                <c:pt idx="3">
                  <c:v>6.8215277777781012</c:v>
                </c:pt>
                <c:pt idx="4">
                  <c:v>6.8722222222204437</c:v>
                </c:pt>
                <c:pt idx="5">
                  <c:v>8.7555555555591127</c:v>
                </c:pt>
                <c:pt idx="6">
                  <c:v>10.790277777778101</c:v>
                </c:pt>
                <c:pt idx="7">
                  <c:v>10.790972222224809</c:v>
                </c:pt>
                <c:pt idx="8">
                  <c:v>13.956944444442343</c:v>
                </c:pt>
                <c:pt idx="9">
                  <c:v>16.788888888891961</c:v>
                </c:pt>
                <c:pt idx="10">
                  <c:v>16.837500000001455</c:v>
                </c:pt>
                <c:pt idx="11">
                  <c:v>20.752083333332848</c:v>
                </c:pt>
                <c:pt idx="12">
                  <c:v>22.78263888888614</c:v>
                </c:pt>
                <c:pt idx="13">
                  <c:v>22.813194444446708</c:v>
                </c:pt>
                <c:pt idx="14">
                  <c:v>24.763194444443798</c:v>
                </c:pt>
                <c:pt idx="15">
                  <c:v>27.790277777778101</c:v>
                </c:pt>
                <c:pt idx="16">
                  <c:v>27.820138888891961</c:v>
                </c:pt>
                <c:pt idx="17">
                  <c:v>29.75</c:v>
                </c:pt>
                <c:pt idx="18">
                  <c:v>34.972916666665697</c:v>
                </c:pt>
                <c:pt idx="19">
                  <c:v>35.009722222224809</c:v>
                </c:pt>
              </c:numCache>
            </c:numRef>
          </c:xVal>
          <c:yVal>
            <c:numRef>
              <c:f>'GT5.2'!$AP$13:$AP$32</c:f>
              <c:numCache>
                <c:formatCode>0.00E+00</c:formatCode>
                <c:ptCount val="20"/>
                <c:pt idx="0">
                  <c:v>0</c:v>
                </c:pt>
                <c:pt idx="1">
                  <c:v>0.10293316699200021</c:v>
                </c:pt>
                <c:pt idx="3">
                  <c:v>0.1888033672537098</c:v>
                </c:pt>
                <c:pt idx="5">
                  <c:v>0.23258745569097009</c:v>
                </c:pt>
                <c:pt idx="6">
                  <c:v>0.25503720068690161</c:v>
                </c:pt>
                <c:pt idx="8">
                  <c:v>0.30874184621791084</c:v>
                </c:pt>
                <c:pt idx="9">
                  <c:v>0.33885046724166656</c:v>
                </c:pt>
                <c:pt idx="11">
                  <c:v>0.40519417503474803</c:v>
                </c:pt>
                <c:pt idx="12">
                  <c:v>0.42667929100980889</c:v>
                </c:pt>
                <c:pt idx="14">
                  <c:v>0.47287182426287616</c:v>
                </c:pt>
                <c:pt idx="15">
                  <c:v>0.51143557705503317</c:v>
                </c:pt>
                <c:pt idx="17">
                  <c:v>0.55586491578648056</c:v>
                </c:pt>
                <c:pt idx="18">
                  <c:v>0.62837577846042958</c:v>
                </c:pt>
              </c:numCache>
            </c:numRef>
          </c:yVal>
          <c:smooth val="0"/>
          <c:extLst>
            <c:ext xmlns:c16="http://schemas.microsoft.com/office/drawing/2014/chart" uri="{C3380CC4-5D6E-409C-BE32-E72D297353CC}">
              <c16:uniqueId val="{00000000-70EA-4979-BA06-14A98C2B4815}"/>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'GT6.1'!$S$11</c:f>
              <c:strCache>
                <c:ptCount val="1"/>
                <c:pt idx="0">
                  <c:v>CH4-corr</c:v>
                </c:pt>
              </c:strCache>
            </c:strRef>
          </c:tx>
          <c:spPr>
            <a:ln w="28575" cap="rnd">
              <a:solidFill>
                <a:schemeClr val="accent1"/>
              </a:solidFill>
              <a:round/>
            </a:ln>
            <a:effectLst/>
          </c:spPr>
          <c:marker>
            <c:symbol val="none"/>
          </c:marker>
          <c:cat>
            <c:numRef>
              <c:f>'GT6.1'!$Q$13:$Q$35</c:f>
              <c:numCache>
                <c:formatCode>0.00</c:formatCode>
                <c:ptCount val="23"/>
                <c:pt idx="0">
                  <c:v>0</c:v>
                </c:pt>
                <c:pt idx="1">
                  <c:v>1.0229166666686069</c:v>
                </c:pt>
                <c:pt idx="2">
                  <c:v>5.8236111111109494</c:v>
                </c:pt>
                <c:pt idx="3">
                  <c:v>5.8729166666671517</c:v>
                </c:pt>
                <c:pt idx="4">
                  <c:v>7.7604166666715173</c:v>
                </c:pt>
                <c:pt idx="5">
                  <c:v>7.7986111111167702</c:v>
                </c:pt>
                <c:pt idx="6">
                  <c:v>9.7909722222248092</c:v>
                </c:pt>
                <c:pt idx="7">
                  <c:v>9.7916666666715173</c:v>
                </c:pt>
                <c:pt idx="8">
                  <c:v>12.957638888889051</c:v>
                </c:pt>
                <c:pt idx="9">
                  <c:v>12.995833333334303</c:v>
                </c:pt>
                <c:pt idx="10">
                  <c:v>15.789583333338669</c:v>
                </c:pt>
                <c:pt idx="11">
                  <c:v>15.824305555557657</c:v>
                </c:pt>
                <c:pt idx="12">
                  <c:v>19.752777777779556</c:v>
                </c:pt>
                <c:pt idx="13">
                  <c:v>19.786805555559113</c:v>
                </c:pt>
                <c:pt idx="14">
                  <c:v>21.783333333340124</c:v>
                </c:pt>
                <c:pt idx="15">
                  <c:v>21.8125</c:v>
                </c:pt>
                <c:pt idx="16">
                  <c:v>23.763888888890506</c:v>
                </c:pt>
                <c:pt idx="17">
                  <c:v>23.79861111111677</c:v>
                </c:pt>
                <c:pt idx="18">
                  <c:v>26.790277777778101</c:v>
                </c:pt>
                <c:pt idx="19">
                  <c:v>26.820833333338669</c:v>
                </c:pt>
                <c:pt idx="20">
                  <c:v>28.749305555560568</c:v>
                </c:pt>
                <c:pt idx="21">
                  <c:v>33.972222222226264</c:v>
                </c:pt>
                <c:pt idx="22">
                  <c:v>34.009027777778101</c:v>
                </c:pt>
              </c:numCache>
            </c:numRef>
          </c:cat>
          <c:val>
            <c:numRef>
              <c:f>'GT6.1'!$S$13:$S$35</c:f>
              <c:numCache>
                <c:formatCode>General</c:formatCode>
                <c:ptCount val="23"/>
                <c:pt idx="0">
                  <c:v>0</c:v>
                </c:pt>
                <c:pt idx="1">
                  <c:v>0.15139281388776743</c:v>
                </c:pt>
                <c:pt idx="2">
                  <c:v>0.24992502249325202</c:v>
                </c:pt>
                <c:pt idx="3">
                  <c:v>0</c:v>
                </c:pt>
                <c:pt idx="4">
                  <c:v>3.015075376884422E-2</c:v>
                </c:pt>
                <c:pt idx="5">
                  <c:v>0</c:v>
                </c:pt>
                <c:pt idx="6">
                  <c:v>9.8561009264734878E-3</c:v>
                </c:pt>
                <c:pt idx="7">
                  <c:v>0</c:v>
                </c:pt>
                <c:pt idx="8">
                  <c:v>1.0124531740407007E-2</c:v>
                </c:pt>
                <c:pt idx="9">
                  <c:v>0</c:v>
                </c:pt>
                <c:pt idx="10">
                  <c:v>0</c:v>
                </c:pt>
                <c:pt idx="11">
                  <c:v>0</c:v>
                </c:pt>
                <c:pt idx="12">
                  <c:v>0</c:v>
                </c:pt>
                <c:pt idx="13">
                  <c:v>0</c:v>
                </c:pt>
                <c:pt idx="14">
                  <c:v>0</c:v>
                </c:pt>
                <c:pt idx="15">
                  <c:v>0</c:v>
                </c:pt>
                <c:pt idx="16">
                  <c:v>0</c:v>
                </c:pt>
                <c:pt idx="17">
                  <c:v>0</c:v>
                </c:pt>
                <c:pt idx="18">
                  <c:v>0</c:v>
                </c:pt>
                <c:pt idx="19">
                  <c:v>0</c:v>
                </c:pt>
                <c:pt idx="20">
                  <c:v>0</c:v>
                </c:pt>
                <c:pt idx="21">
                  <c:v>8.0750984152619359E-2</c:v>
                </c:pt>
                <c:pt idx="22">
                  <c:v>0</c:v>
                </c:pt>
              </c:numCache>
            </c:numRef>
          </c:val>
          <c:smooth val="0"/>
          <c:extLst>
            <c:ext xmlns:c16="http://schemas.microsoft.com/office/drawing/2014/chart" uri="{C3380CC4-5D6E-409C-BE32-E72D297353CC}">
              <c16:uniqueId val="{00000000-7686-416C-844A-3A3A97DECFBC}"/>
            </c:ext>
          </c:extLst>
        </c:ser>
        <c:ser>
          <c:idx val="1"/>
          <c:order val="1"/>
          <c:tx>
            <c:strRef>
              <c:f>'GT6.1'!$T$11</c:f>
              <c:strCache>
                <c:ptCount val="1"/>
                <c:pt idx="0">
                  <c:v>CO2-corr</c:v>
                </c:pt>
              </c:strCache>
            </c:strRef>
          </c:tx>
          <c:spPr>
            <a:ln w="28575" cap="rnd">
              <a:solidFill>
                <a:schemeClr val="accent2"/>
              </a:solidFill>
              <a:round/>
            </a:ln>
            <a:effectLst/>
          </c:spPr>
          <c:marker>
            <c:symbol val="none"/>
          </c:marker>
          <c:cat>
            <c:numRef>
              <c:f>'GT6.1'!$Q$13:$Q$35</c:f>
              <c:numCache>
                <c:formatCode>0.00</c:formatCode>
                <c:ptCount val="23"/>
                <c:pt idx="0">
                  <c:v>0</c:v>
                </c:pt>
                <c:pt idx="1">
                  <c:v>1.0229166666686069</c:v>
                </c:pt>
                <c:pt idx="2">
                  <c:v>5.8236111111109494</c:v>
                </c:pt>
                <c:pt idx="3">
                  <c:v>5.8729166666671517</c:v>
                </c:pt>
                <c:pt idx="4">
                  <c:v>7.7604166666715173</c:v>
                </c:pt>
                <c:pt idx="5">
                  <c:v>7.7986111111167702</c:v>
                </c:pt>
                <c:pt idx="6">
                  <c:v>9.7909722222248092</c:v>
                </c:pt>
                <c:pt idx="7">
                  <c:v>9.7916666666715173</c:v>
                </c:pt>
                <c:pt idx="8">
                  <c:v>12.957638888889051</c:v>
                </c:pt>
                <c:pt idx="9">
                  <c:v>12.995833333334303</c:v>
                </c:pt>
                <c:pt idx="10">
                  <c:v>15.789583333338669</c:v>
                </c:pt>
                <c:pt idx="11">
                  <c:v>15.824305555557657</c:v>
                </c:pt>
                <c:pt idx="12">
                  <c:v>19.752777777779556</c:v>
                </c:pt>
                <c:pt idx="13">
                  <c:v>19.786805555559113</c:v>
                </c:pt>
                <c:pt idx="14">
                  <c:v>21.783333333340124</c:v>
                </c:pt>
                <c:pt idx="15">
                  <c:v>21.8125</c:v>
                </c:pt>
                <c:pt idx="16">
                  <c:v>23.763888888890506</c:v>
                </c:pt>
                <c:pt idx="17">
                  <c:v>23.79861111111677</c:v>
                </c:pt>
                <c:pt idx="18">
                  <c:v>26.790277777778101</c:v>
                </c:pt>
                <c:pt idx="19">
                  <c:v>26.820833333338669</c:v>
                </c:pt>
                <c:pt idx="20">
                  <c:v>28.749305555560568</c:v>
                </c:pt>
                <c:pt idx="21">
                  <c:v>33.972222222226264</c:v>
                </c:pt>
                <c:pt idx="22">
                  <c:v>34.009027777778101</c:v>
                </c:pt>
              </c:numCache>
            </c:numRef>
          </c:cat>
          <c:val>
            <c:numRef>
              <c:f>'GT6.1'!$T$13:$T$35</c:f>
              <c:numCache>
                <c:formatCode>General</c:formatCode>
                <c:ptCount val="23"/>
                <c:pt idx="0">
                  <c:v>0.03</c:v>
                </c:pt>
                <c:pt idx="1">
                  <c:v>2.4626564392410168</c:v>
                </c:pt>
                <c:pt idx="2">
                  <c:v>5.5583325002499251</c:v>
                </c:pt>
                <c:pt idx="3">
                  <c:v>0.96499332717380137</c:v>
                </c:pt>
                <c:pt idx="4">
                  <c:v>6.6231155778894468</c:v>
                </c:pt>
                <c:pt idx="5">
                  <c:v>0.61481709191515521</c:v>
                </c:pt>
                <c:pt idx="6">
                  <c:v>6.7218608318549187</c:v>
                </c:pt>
                <c:pt idx="7">
                  <c:v>0.58846516332206977</c:v>
                </c:pt>
                <c:pt idx="8">
                  <c:v>5.2343829097904226</c:v>
                </c:pt>
                <c:pt idx="9">
                  <c:v>0.59426229508196715</c:v>
                </c:pt>
                <c:pt idx="10">
                  <c:v>4.4681287149005948</c:v>
                </c:pt>
                <c:pt idx="11">
                  <c:v>0.51958848591915197</c:v>
                </c:pt>
                <c:pt idx="12">
                  <c:v>5.0621213676968884</c:v>
                </c:pt>
                <c:pt idx="13">
                  <c:v>0.56261721191914982</c:v>
                </c:pt>
                <c:pt idx="14">
                  <c:v>2.876060417959859</c:v>
                </c:pt>
                <c:pt idx="15">
                  <c:v>0.47921658506094389</c:v>
                </c:pt>
                <c:pt idx="16">
                  <c:v>2.387596899224806</c:v>
                </c:pt>
                <c:pt idx="17">
                  <c:v>0.30205186959691699</c:v>
                </c:pt>
                <c:pt idx="18">
                  <c:v>2.9184462070368111</c:v>
                </c:pt>
                <c:pt idx="19">
                  <c:v>0.46439628482972134</c:v>
                </c:pt>
                <c:pt idx="20">
                  <c:v>2.0782643957826439</c:v>
                </c:pt>
                <c:pt idx="21">
                  <c:v>6.1269809225799943</c:v>
                </c:pt>
                <c:pt idx="22">
                  <c:v>0.78879086663207054</c:v>
                </c:pt>
              </c:numCache>
            </c:numRef>
          </c:val>
          <c:smooth val="0"/>
          <c:extLst>
            <c:ext xmlns:c16="http://schemas.microsoft.com/office/drawing/2014/chart" uri="{C3380CC4-5D6E-409C-BE32-E72D297353CC}">
              <c16:uniqueId val="{00000001-7686-416C-844A-3A3A97DECFBC}"/>
            </c:ext>
          </c:extLst>
        </c:ser>
        <c:ser>
          <c:idx val="2"/>
          <c:order val="2"/>
          <c:tx>
            <c:strRef>
              <c:f>'GT6.1'!$U$11</c:f>
              <c:strCache>
                <c:ptCount val="1"/>
                <c:pt idx="0">
                  <c:v>O2-corr</c:v>
                </c:pt>
              </c:strCache>
            </c:strRef>
          </c:tx>
          <c:spPr>
            <a:ln w="28575" cap="rnd">
              <a:solidFill>
                <a:schemeClr val="accent3"/>
              </a:solidFill>
              <a:round/>
            </a:ln>
            <a:effectLst/>
          </c:spPr>
          <c:marker>
            <c:symbol val="none"/>
          </c:marker>
          <c:cat>
            <c:numRef>
              <c:f>'GT6.1'!$Q$13:$Q$35</c:f>
              <c:numCache>
                <c:formatCode>0.00</c:formatCode>
                <c:ptCount val="23"/>
                <c:pt idx="0">
                  <c:v>0</c:v>
                </c:pt>
                <c:pt idx="1">
                  <c:v>1.0229166666686069</c:v>
                </c:pt>
                <c:pt idx="2">
                  <c:v>5.8236111111109494</c:v>
                </c:pt>
                <c:pt idx="3">
                  <c:v>5.8729166666671517</c:v>
                </c:pt>
                <c:pt idx="4">
                  <c:v>7.7604166666715173</c:v>
                </c:pt>
                <c:pt idx="5">
                  <c:v>7.7986111111167702</c:v>
                </c:pt>
                <c:pt idx="6">
                  <c:v>9.7909722222248092</c:v>
                </c:pt>
                <c:pt idx="7">
                  <c:v>9.7916666666715173</c:v>
                </c:pt>
                <c:pt idx="8">
                  <c:v>12.957638888889051</c:v>
                </c:pt>
                <c:pt idx="9">
                  <c:v>12.995833333334303</c:v>
                </c:pt>
                <c:pt idx="10">
                  <c:v>15.789583333338669</c:v>
                </c:pt>
                <c:pt idx="11">
                  <c:v>15.824305555557657</c:v>
                </c:pt>
                <c:pt idx="12">
                  <c:v>19.752777777779556</c:v>
                </c:pt>
                <c:pt idx="13">
                  <c:v>19.786805555559113</c:v>
                </c:pt>
                <c:pt idx="14">
                  <c:v>21.783333333340124</c:v>
                </c:pt>
                <c:pt idx="15">
                  <c:v>21.8125</c:v>
                </c:pt>
                <c:pt idx="16">
                  <c:v>23.763888888890506</c:v>
                </c:pt>
                <c:pt idx="17">
                  <c:v>23.79861111111677</c:v>
                </c:pt>
                <c:pt idx="18">
                  <c:v>26.790277777778101</c:v>
                </c:pt>
                <c:pt idx="19">
                  <c:v>26.820833333338669</c:v>
                </c:pt>
                <c:pt idx="20">
                  <c:v>28.749305555560568</c:v>
                </c:pt>
                <c:pt idx="21">
                  <c:v>33.972222222226264</c:v>
                </c:pt>
                <c:pt idx="22">
                  <c:v>34.009027777778101</c:v>
                </c:pt>
              </c:numCache>
            </c:numRef>
          </c:cat>
          <c:val>
            <c:numRef>
              <c:f>'GT6.1'!$U$13:$U$35</c:f>
              <c:numCache>
                <c:formatCode>General</c:formatCode>
                <c:ptCount val="23"/>
                <c:pt idx="0">
                  <c:v>21.9</c:v>
                </c:pt>
                <c:pt idx="1">
                  <c:v>8.0238191360516744</c:v>
                </c:pt>
                <c:pt idx="2">
                  <c:v>1.4995501349595122</c:v>
                </c:pt>
                <c:pt idx="3">
                  <c:v>20.459911713376449</c:v>
                </c:pt>
                <c:pt idx="4">
                  <c:v>8.6331658291457281</c:v>
                </c:pt>
                <c:pt idx="5">
                  <c:v>21.036991495030229</c:v>
                </c:pt>
                <c:pt idx="6">
                  <c:v>9.1168933569879762</c:v>
                </c:pt>
                <c:pt idx="7">
                  <c:v>21.012343976277499</c:v>
                </c:pt>
                <c:pt idx="8">
                  <c:v>11.714083223650906</c:v>
                </c:pt>
                <c:pt idx="9">
                  <c:v>21.065573770491806</c:v>
                </c:pt>
                <c:pt idx="10">
                  <c:v>13.804058208649314</c:v>
                </c:pt>
                <c:pt idx="11">
                  <c:v>21.095292528317572</c:v>
                </c:pt>
                <c:pt idx="12">
                  <c:v>12.670705411233186</c:v>
                </c:pt>
                <c:pt idx="13">
                  <c:v>21.056470097937069</c:v>
                </c:pt>
                <c:pt idx="14">
                  <c:v>17.163252638112972</c:v>
                </c:pt>
                <c:pt idx="15">
                  <c:v>21.106365246379834</c:v>
                </c:pt>
                <c:pt idx="16">
                  <c:v>17.571059431524549</c:v>
                </c:pt>
                <c:pt idx="17">
                  <c:v>21.174877616914905</c:v>
                </c:pt>
                <c:pt idx="18">
                  <c:v>16.188732967256456</c:v>
                </c:pt>
                <c:pt idx="19">
                  <c:v>21.104231166150669</c:v>
                </c:pt>
                <c:pt idx="20">
                  <c:v>18.126520681265209</c:v>
                </c:pt>
                <c:pt idx="21">
                  <c:v>10.558191177954981</c:v>
                </c:pt>
                <c:pt idx="22">
                  <c:v>21.017125064867667</c:v>
                </c:pt>
              </c:numCache>
            </c:numRef>
          </c:val>
          <c:smooth val="0"/>
          <c:extLst>
            <c:ext xmlns:c16="http://schemas.microsoft.com/office/drawing/2014/chart" uri="{C3380CC4-5D6E-409C-BE32-E72D297353CC}">
              <c16:uniqueId val="{00000002-7686-416C-844A-3A3A97DECFBC}"/>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'GT6.1'!$AK$11</c:f>
              <c:strCache>
                <c:ptCount val="1"/>
                <c:pt idx="0">
                  <c:v>O2 consumed </c:v>
                </c:pt>
              </c:strCache>
            </c:strRef>
          </c:tx>
          <c:spPr>
            <a:solidFill>
              <a:schemeClr val="accent1"/>
            </a:solidFill>
            <a:ln>
              <a:noFill/>
            </a:ln>
            <a:effectLst/>
          </c:spPr>
          <c:invertIfNegative val="0"/>
          <c:val>
            <c:numRef>
              <c:f>'GT6.1'!$AK$13:$AK$35</c:f>
              <c:numCache>
                <c:formatCode>General</c:formatCode>
                <c:ptCount val="23"/>
                <c:pt idx="0" formatCode="0.00E+00">
                  <c:v>0</c:v>
                </c:pt>
                <c:pt idx="1">
                  <c:v>7.0573541686666276E-3</c:v>
                </c:pt>
                <c:pt idx="2">
                  <c:v>2.6029863246166936E-3</c:v>
                </c:pt>
                <c:pt idx="4">
                  <c:v>5.4018152149557293E-3</c:v>
                </c:pt>
                <c:pt idx="6">
                  <c:v>5.5315153046996707E-3</c:v>
                </c:pt>
                <c:pt idx="8">
                  <c:v>4.3404774196221978E-3</c:v>
                </c:pt>
                <c:pt idx="10">
                  <c:v>3.4682386256804573E-3</c:v>
                </c:pt>
                <c:pt idx="12">
                  <c:v>3.9636420712373752E-3</c:v>
                </c:pt>
                <c:pt idx="14">
                  <c:v>1.8927266153930472E-3</c:v>
                </c:pt>
                <c:pt idx="16">
                  <c:v>1.7277523300159746E-3</c:v>
                </c:pt>
                <c:pt idx="18">
                  <c:v>2.4023719145194163E-3</c:v>
                </c:pt>
                <c:pt idx="20">
                  <c:v>1.4412817154472405E-3</c:v>
                </c:pt>
                <c:pt idx="21">
                  <c:v>3.4452543900915008E-3</c:v>
                </c:pt>
              </c:numCache>
            </c:numRef>
          </c:val>
          <c:extLst>
            <c:ext xmlns:c16="http://schemas.microsoft.com/office/drawing/2014/chart" uri="{C3380CC4-5D6E-409C-BE32-E72D297353CC}">
              <c16:uniqueId val="{00000000-9A4A-420D-9543-3EC1143ADF7E}"/>
            </c:ext>
          </c:extLst>
        </c:ser>
        <c:ser>
          <c:idx val="1"/>
          <c:order val="1"/>
          <c:tx>
            <c:strRef>
              <c:f>'GT6.1'!$AL$11</c:f>
              <c:strCache>
                <c:ptCount val="1"/>
                <c:pt idx="0">
                  <c:v>CO2 produced </c:v>
                </c:pt>
              </c:strCache>
            </c:strRef>
          </c:tx>
          <c:spPr>
            <a:solidFill>
              <a:schemeClr val="accent2"/>
            </a:solidFill>
            <a:ln>
              <a:noFill/>
            </a:ln>
            <a:effectLst/>
          </c:spPr>
          <c:invertIfNegative val="0"/>
          <c:val>
            <c:numRef>
              <c:f>'GT6.1'!$AL$13:$AL$35</c:f>
              <c:numCache>
                <c:formatCode>General</c:formatCode>
                <c:ptCount val="23"/>
                <c:pt idx="0" formatCode="0.00E+00">
                  <c:v>0</c:v>
                </c:pt>
                <c:pt idx="1">
                  <c:v>9.5918160794920511E-4</c:v>
                </c:pt>
                <c:pt idx="2">
                  <c:v>1.123098142626504E-3</c:v>
                </c:pt>
                <c:pt idx="4">
                  <c:v>2.234966088349004E-3</c:v>
                </c:pt>
                <c:pt idx="6">
                  <c:v>2.5011243186273888E-3</c:v>
                </c:pt>
                <c:pt idx="8">
                  <c:v>1.9287460679591241E-3</c:v>
                </c:pt>
                <c:pt idx="10">
                  <c:v>1.6095103072663384E-3</c:v>
                </c:pt>
                <c:pt idx="12">
                  <c:v>1.9074057840821348E-3</c:v>
                </c:pt>
                <c:pt idx="14">
                  <c:v>9.9531118433961153E-4</c:v>
                </c:pt>
                <c:pt idx="16">
                  <c:v>8.1188086314636565E-4</c:v>
                </c:pt>
                <c:pt idx="18">
                  <c:v>1.1143561825504799E-3</c:v>
                </c:pt>
                <c:pt idx="20">
                  <c:v>6.933937429854833E-4</c:v>
                </c:pt>
                <c:pt idx="21">
                  <c:v>1.6364597186080245E-3</c:v>
                </c:pt>
              </c:numCache>
            </c:numRef>
          </c:val>
          <c:extLst>
            <c:ext xmlns:c16="http://schemas.microsoft.com/office/drawing/2014/chart" uri="{C3380CC4-5D6E-409C-BE32-E72D297353CC}">
              <c16:uniqueId val="{00000001-9A4A-420D-9543-3EC1143ADF7E}"/>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'GT6.1'!$BA$11</c:f>
              <c:strCache>
                <c:ptCount val="1"/>
                <c:pt idx="0">
                  <c:v>Ratio O2/CO2</c:v>
                </c:pt>
              </c:strCache>
            </c:strRef>
          </c:tx>
          <c:spPr>
            <a:solidFill>
              <a:schemeClr val="accent1"/>
            </a:solidFill>
            <a:ln>
              <a:noFill/>
            </a:ln>
            <a:effectLst/>
          </c:spPr>
          <c:invertIfNegative val="0"/>
          <c:val>
            <c:numRef>
              <c:f>'GT6.1'!$BA$13:$BA$35</c:f>
              <c:numCache>
                <c:formatCode>0.00E+00</c:formatCode>
                <c:ptCount val="23"/>
                <c:pt idx="0">
                  <c:v>0</c:v>
                </c:pt>
                <c:pt idx="1">
                  <c:v>3.1728504391263823</c:v>
                </c:pt>
                <c:pt idx="2">
                  <c:v>1.0077055601838221</c:v>
                </c:pt>
                <c:pt idx="3">
                  <c:v>0</c:v>
                </c:pt>
                <c:pt idx="4">
                  <c:v>1.0508682318181453</c:v>
                </c:pt>
                <c:pt idx="5">
                  <c:v>0</c:v>
                </c:pt>
                <c:pt idx="6">
                  <c:v>0.96158640996765132</c:v>
                </c:pt>
                <c:pt idx="7">
                  <c:v>0</c:v>
                </c:pt>
                <c:pt idx="8">
                  <c:v>0.97845740639751522</c:v>
                </c:pt>
                <c:pt idx="9">
                  <c:v>0</c:v>
                </c:pt>
                <c:pt idx="10">
                  <c:v>0.93690312135422671</c:v>
                </c:pt>
                <c:pt idx="11">
                  <c:v>0</c:v>
                </c:pt>
                <c:pt idx="12">
                  <c:v>0.90350552291159791</c:v>
                </c:pt>
                <c:pt idx="13">
                  <c:v>0</c:v>
                </c:pt>
                <c:pt idx="14">
                  <c:v>0.82681525773411824</c:v>
                </c:pt>
                <c:pt idx="15">
                  <c:v>0</c:v>
                </c:pt>
                <c:pt idx="16">
                  <c:v>0.92527038072366052</c:v>
                </c:pt>
                <c:pt idx="17">
                  <c:v>0</c:v>
                </c:pt>
                <c:pt idx="18">
                  <c:v>0.93733685324859295</c:v>
                </c:pt>
                <c:pt idx="19">
                  <c:v>0</c:v>
                </c:pt>
                <c:pt idx="20">
                  <c:v>0.90375026182478424</c:v>
                </c:pt>
                <c:pt idx="21">
                  <c:v>0.91536742365488155</c:v>
                </c:pt>
                <c:pt idx="22">
                  <c:v>0</c:v>
                </c:pt>
              </c:numCache>
            </c:numRef>
          </c:val>
          <c:extLst>
            <c:ext xmlns:c16="http://schemas.microsoft.com/office/drawing/2014/chart" uri="{C3380CC4-5D6E-409C-BE32-E72D297353CC}">
              <c16:uniqueId val="{00000000-2EDE-45D5-8C1D-E0593C54F14D}"/>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'GT6.1'!$AP$11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'GT6.1'!$Q$13:$Q$35</c:f>
              <c:numCache>
                <c:formatCode>0.00</c:formatCode>
                <c:ptCount val="23"/>
                <c:pt idx="0">
                  <c:v>0</c:v>
                </c:pt>
                <c:pt idx="1">
                  <c:v>1.0229166666686069</c:v>
                </c:pt>
                <c:pt idx="2">
                  <c:v>5.8236111111109494</c:v>
                </c:pt>
                <c:pt idx="3">
                  <c:v>5.8729166666671517</c:v>
                </c:pt>
                <c:pt idx="4">
                  <c:v>7.7604166666715173</c:v>
                </c:pt>
                <c:pt idx="5">
                  <c:v>7.7986111111167702</c:v>
                </c:pt>
                <c:pt idx="6">
                  <c:v>9.7909722222248092</c:v>
                </c:pt>
                <c:pt idx="7">
                  <c:v>9.7916666666715173</c:v>
                </c:pt>
                <c:pt idx="8">
                  <c:v>12.957638888889051</c:v>
                </c:pt>
                <c:pt idx="9">
                  <c:v>12.995833333334303</c:v>
                </c:pt>
                <c:pt idx="10">
                  <c:v>15.789583333338669</c:v>
                </c:pt>
                <c:pt idx="11">
                  <c:v>15.824305555557657</c:v>
                </c:pt>
                <c:pt idx="12">
                  <c:v>19.752777777779556</c:v>
                </c:pt>
                <c:pt idx="13">
                  <c:v>19.786805555559113</c:v>
                </c:pt>
                <c:pt idx="14">
                  <c:v>21.783333333340124</c:v>
                </c:pt>
                <c:pt idx="15">
                  <c:v>21.8125</c:v>
                </c:pt>
                <c:pt idx="16">
                  <c:v>23.763888888890506</c:v>
                </c:pt>
                <c:pt idx="17">
                  <c:v>23.79861111111677</c:v>
                </c:pt>
                <c:pt idx="18">
                  <c:v>26.790277777778101</c:v>
                </c:pt>
                <c:pt idx="19">
                  <c:v>26.820833333338669</c:v>
                </c:pt>
                <c:pt idx="20">
                  <c:v>28.749305555560568</c:v>
                </c:pt>
                <c:pt idx="21">
                  <c:v>33.972222222226264</c:v>
                </c:pt>
                <c:pt idx="22">
                  <c:v>34.009027777778101</c:v>
                </c:pt>
              </c:numCache>
            </c:numRef>
          </c:xVal>
          <c:yVal>
            <c:numRef>
              <c:f>'GT6.1'!$AP$13:$AP$35</c:f>
              <c:numCache>
                <c:formatCode>0.00E+00</c:formatCode>
                <c:ptCount val="23"/>
                <c:pt idx="0">
                  <c:v>0</c:v>
                </c:pt>
                <c:pt idx="1">
                  <c:v>7.9606046160169142E-2</c:v>
                </c:pt>
                <c:pt idx="2">
                  <c:v>0.17003437112719996</c:v>
                </c:pt>
                <c:pt idx="4">
                  <c:v>0.34557568764970181</c:v>
                </c:pt>
                <c:pt idx="6">
                  <c:v>0.54128372501548017</c:v>
                </c:pt>
                <c:pt idx="8">
                  <c:v>0.69228990016398884</c:v>
                </c:pt>
                <c:pt idx="10">
                  <c:v>0.81802651987832431</c:v>
                </c:pt>
                <c:pt idx="12">
                  <c:v>0.96703504416755226</c:v>
                </c:pt>
                <c:pt idx="14">
                  <c:v>1.0447897893951796</c:v>
                </c:pt>
                <c:pt idx="16">
                  <c:v>1.1082147670930009</c:v>
                </c:pt>
                <c:pt idx="18">
                  <c:v>1.1952694314335146</c:v>
                </c:pt>
                <c:pt idx="20">
                  <c:v>1.2494380720321225</c:v>
                </c:pt>
                <c:pt idx="21">
                  <c:v>1.3798866083122505</c:v>
                </c:pt>
              </c:numCache>
            </c:numRef>
          </c:yVal>
          <c:smooth val="0"/>
          <c:extLst>
            <c:ext xmlns:c16="http://schemas.microsoft.com/office/drawing/2014/chart" uri="{C3380CC4-5D6E-409C-BE32-E72D297353CC}">
              <c16:uniqueId val="{00000000-0190-40D7-AFD6-3C3E29F63E6B}"/>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'GT6.2'!$S$11</c:f>
              <c:strCache>
                <c:ptCount val="1"/>
                <c:pt idx="0">
                  <c:v>CH4-corr</c:v>
                </c:pt>
              </c:strCache>
            </c:strRef>
          </c:tx>
          <c:spPr>
            <a:ln w="28575" cap="rnd">
              <a:solidFill>
                <a:schemeClr val="accent1"/>
              </a:solidFill>
              <a:round/>
            </a:ln>
            <a:effectLst/>
          </c:spPr>
          <c:marker>
            <c:symbol val="none"/>
          </c:marker>
          <c:cat>
            <c:numRef>
              <c:f>'GT6.2'!$Q$13:$Q$37</c:f>
              <c:numCache>
                <c:formatCode>0.00</c:formatCode>
                <c:ptCount val="25"/>
                <c:pt idx="0">
                  <c:v>0</c:v>
                </c:pt>
                <c:pt idx="1">
                  <c:v>1.0256944444481633</c:v>
                </c:pt>
                <c:pt idx="2">
                  <c:v>1.0986111111124046</c:v>
                </c:pt>
                <c:pt idx="3">
                  <c:v>5.8250000000043656</c:v>
                </c:pt>
                <c:pt idx="4">
                  <c:v>5.875</c:v>
                </c:pt>
                <c:pt idx="5">
                  <c:v>7.7618055555576575</c:v>
                </c:pt>
                <c:pt idx="6">
                  <c:v>7.8000000000029104</c:v>
                </c:pt>
                <c:pt idx="7">
                  <c:v>9.7937500000043656</c:v>
                </c:pt>
                <c:pt idx="8">
                  <c:v>9.7944444444510737</c:v>
                </c:pt>
                <c:pt idx="9">
                  <c:v>12.959722222229175</c:v>
                </c:pt>
                <c:pt idx="10">
                  <c:v>12.997916666667152</c:v>
                </c:pt>
                <c:pt idx="11">
                  <c:v>15.790972222224809</c:v>
                </c:pt>
                <c:pt idx="12">
                  <c:v>15.825694444451074</c:v>
                </c:pt>
                <c:pt idx="13">
                  <c:v>19.754861111112405</c:v>
                </c:pt>
                <c:pt idx="14">
                  <c:v>19.788888888891961</c:v>
                </c:pt>
                <c:pt idx="15">
                  <c:v>21.788888888891961</c:v>
                </c:pt>
                <c:pt idx="16">
                  <c:v>21.815972222226264</c:v>
                </c:pt>
                <c:pt idx="17">
                  <c:v>23.765277777783922</c:v>
                </c:pt>
                <c:pt idx="18">
                  <c:v>23.80000000000291</c:v>
                </c:pt>
                <c:pt idx="19">
                  <c:v>26.791666666671517</c:v>
                </c:pt>
                <c:pt idx="20">
                  <c:v>26.822222222224809</c:v>
                </c:pt>
                <c:pt idx="21">
                  <c:v>28.756250000005821</c:v>
                </c:pt>
                <c:pt idx="22">
                  <c:v>28.784722222226264</c:v>
                </c:pt>
                <c:pt idx="23">
                  <c:v>33.975000000005821</c:v>
                </c:pt>
                <c:pt idx="24">
                  <c:v>34.011111111110949</c:v>
                </c:pt>
              </c:numCache>
            </c:numRef>
          </c:cat>
          <c:val>
            <c:numRef>
              <c:f>'GT6.2'!$S$13:$S$37</c:f>
              <c:numCache>
                <c:formatCode>General</c:formatCode>
                <c:ptCount val="25"/>
                <c:pt idx="0">
                  <c:v>0</c:v>
                </c:pt>
                <c:pt idx="1">
                  <c:v>0.24213075060532688</c:v>
                </c:pt>
                <c:pt idx="2">
                  <c:v>0</c:v>
                </c:pt>
                <c:pt idx="3">
                  <c:v>6.9951034276006796E-2</c:v>
                </c:pt>
                <c:pt idx="4">
                  <c:v>0</c:v>
                </c:pt>
                <c:pt idx="5">
                  <c:v>1.010611419909045E-2</c:v>
                </c:pt>
                <c:pt idx="6">
                  <c:v>0</c:v>
                </c:pt>
                <c:pt idx="7">
                  <c:v>0</c:v>
                </c:pt>
                <c:pt idx="8">
                  <c:v>3.7569621204294208E-3</c:v>
                </c:pt>
                <c:pt idx="9">
                  <c:v>1.01615689462453E-2</c:v>
                </c:pt>
                <c:pt idx="10">
                  <c:v>0</c:v>
                </c:pt>
                <c:pt idx="11">
                  <c:v>0</c:v>
                </c:pt>
                <c:pt idx="12">
                  <c:v>0</c:v>
                </c:pt>
                <c:pt idx="13">
                  <c:v>1.0295480284155254E-2</c:v>
                </c:pt>
                <c:pt idx="14">
                  <c:v>0</c:v>
                </c:pt>
                <c:pt idx="15">
                  <c:v>0</c:v>
                </c:pt>
                <c:pt idx="16">
                  <c:v>4.1740582281122825E-2</c:v>
                </c:pt>
                <c:pt idx="17">
                  <c:v>0</c:v>
                </c:pt>
                <c:pt idx="18">
                  <c:v>0</c:v>
                </c:pt>
                <c:pt idx="19">
                  <c:v>5.073051948051948E-2</c:v>
                </c:pt>
                <c:pt idx="20">
                  <c:v>0</c:v>
                </c:pt>
                <c:pt idx="21">
                  <c:v>0</c:v>
                </c:pt>
                <c:pt idx="22">
                  <c:v>0</c:v>
                </c:pt>
                <c:pt idx="23">
                  <c:v>5.0622658702035028E-2</c:v>
                </c:pt>
                <c:pt idx="24">
                  <c:v>0</c:v>
                </c:pt>
              </c:numCache>
            </c:numRef>
          </c:val>
          <c:smooth val="0"/>
          <c:extLst>
            <c:ext xmlns:c16="http://schemas.microsoft.com/office/drawing/2014/chart" uri="{C3380CC4-5D6E-409C-BE32-E72D297353CC}">
              <c16:uniqueId val="{00000000-9385-46B2-A1D1-D23C858BAF2B}"/>
            </c:ext>
          </c:extLst>
        </c:ser>
        <c:ser>
          <c:idx val="1"/>
          <c:order val="1"/>
          <c:tx>
            <c:strRef>
              <c:f>'GT6.2'!$T$11</c:f>
              <c:strCache>
                <c:ptCount val="1"/>
                <c:pt idx="0">
                  <c:v>CO2-corr</c:v>
                </c:pt>
              </c:strCache>
            </c:strRef>
          </c:tx>
          <c:spPr>
            <a:ln w="28575" cap="rnd">
              <a:solidFill>
                <a:schemeClr val="accent2"/>
              </a:solidFill>
              <a:round/>
            </a:ln>
            <a:effectLst/>
          </c:spPr>
          <c:marker>
            <c:symbol val="none"/>
          </c:marker>
          <c:cat>
            <c:numRef>
              <c:f>'GT6.2'!$Q$13:$Q$37</c:f>
              <c:numCache>
                <c:formatCode>0.00</c:formatCode>
                <c:ptCount val="25"/>
                <c:pt idx="0">
                  <c:v>0</c:v>
                </c:pt>
                <c:pt idx="1">
                  <c:v>1.0256944444481633</c:v>
                </c:pt>
                <c:pt idx="2">
                  <c:v>1.0986111111124046</c:v>
                </c:pt>
                <c:pt idx="3">
                  <c:v>5.8250000000043656</c:v>
                </c:pt>
                <c:pt idx="4">
                  <c:v>5.875</c:v>
                </c:pt>
                <c:pt idx="5">
                  <c:v>7.7618055555576575</c:v>
                </c:pt>
                <c:pt idx="6">
                  <c:v>7.8000000000029104</c:v>
                </c:pt>
                <c:pt idx="7">
                  <c:v>9.7937500000043656</c:v>
                </c:pt>
                <c:pt idx="8">
                  <c:v>9.7944444444510737</c:v>
                </c:pt>
                <c:pt idx="9">
                  <c:v>12.959722222229175</c:v>
                </c:pt>
                <c:pt idx="10">
                  <c:v>12.997916666667152</c:v>
                </c:pt>
                <c:pt idx="11">
                  <c:v>15.790972222224809</c:v>
                </c:pt>
                <c:pt idx="12">
                  <c:v>15.825694444451074</c:v>
                </c:pt>
                <c:pt idx="13">
                  <c:v>19.754861111112405</c:v>
                </c:pt>
                <c:pt idx="14">
                  <c:v>19.788888888891961</c:v>
                </c:pt>
                <c:pt idx="15">
                  <c:v>21.788888888891961</c:v>
                </c:pt>
                <c:pt idx="16">
                  <c:v>21.815972222226264</c:v>
                </c:pt>
                <c:pt idx="17">
                  <c:v>23.765277777783922</c:v>
                </c:pt>
                <c:pt idx="18">
                  <c:v>23.80000000000291</c:v>
                </c:pt>
                <c:pt idx="19">
                  <c:v>26.791666666671517</c:v>
                </c:pt>
                <c:pt idx="20">
                  <c:v>26.822222222224809</c:v>
                </c:pt>
                <c:pt idx="21">
                  <c:v>28.756250000005821</c:v>
                </c:pt>
                <c:pt idx="22">
                  <c:v>28.784722222226264</c:v>
                </c:pt>
                <c:pt idx="23">
                  <c:v>33.975000000005821</c:v>
                </c:pt>
                <c:pt idx="24">
                  <c:v>34.011111111110949</c:v>
                </c:pt>
              </c:numCache>
            </c:numRef>
          </c:cat>
          <c:val>
            <c:numRef>
              <c:f>'GT6.2'!$T$13:$T$37</c:f>
              <c:numCache>
                <c:formatCode>General</c:formatCode>
                <c:ptCount val="25"/>
                <c:pt idx="0">
                  <c:v>0.03</c:v>
                </c:pt>
                <c:pt idx="1">
                  <c:v>3.6622276029055687</c:v>
                </c:pt>
                <c:pt idx="2">
                  <c:v>0.57424118129614443</c:v>
                </c:pt>
                <c:pt idx="3">
                  <c:v>9.3034875587089036</c:v>
                </c:pt>
                <c:pt idx="4">
                  <c:v>0.80189164182173334</c:v>
                </c:pt>
                <c:pt idx="5">
                  <c:v>4.6286003031834255</c:v>
                </c:pt>
                <c:pt idx="6">
                  <c:v>0.45058883768561192</c:v>
                </c:pt>
                <c:pt idx="7">
                  <c:v>3.1866316914407853</c:v>
                </c:pt>
                <c:pt idx="8">
                  <c:v>0.51282532943861603</c:v>
                </c:pt>
                <c:pt idx="9">
                  <c:v>4.3186668021542527</c:v>
                </c:pt>
                <c:pt idx="10">
                  <c:v>0.56427618754488573</c:v>
                </c:pt>
                <c:pt idx="11">
                  <c:v>4.1983165674399512</c:v>
                </c:pt>
                <c:pt idx="12">
                  <c:v>0.49751243781094523</c:v>
                </c:pt>
                <c:pt idx="13">
                  <c:v>5.4977864717389062</c:v>
                </c:pt>
                <c:pt idx="14">
                  <c:v>0.57255881740578807</c:v>
                </c:pt>
                <c:pt idx="15">
                  <c:v>3.310845874416191</c:v>
                </c:pt>
                <c:pt idx="16">
                  <c:v>0.29218407596785978</c:v>
                </c:pt>
                <c:pt idx="17">
                  <c:v>2.8385631709331132</c:v>
                </c:pt>
                <c:pt idx="18">
                  <c:v>0.32372598162071847</c:v>
                </c:pt>
                <c:pt idx="19">
                  <c:v>3.9366883116883118</c:v>
                </c:pt>
                <c:pt idx="20">
                  <c:v>0.40293418741605536</c:v>
                </c:pt>
                <c:pt idx="21">
                  <c:v>2.8727493425045521</c:v>
                </c:pt>
                <c:pt idx="22">
                  <c:v>0.39006364196263599</c:v>
                </c:pt>
                <c:pt idx="23">
                  <c:v>6.823934393034321</c:v>
                </c:pt>
                <c:pt idx="24">
                  <c:v>0.76731646619659899</c:v>
                </c:pt>
              </c:numCache>
            </c:numRef>
          </c:val>
          <c:smooth val="0"/>
          <c:extLst>
            <c:ext xmlns:c16="http://schemas.microsoft.com/office/drawing/2014/chart" uri="{C3380CC4-5D6E-409C-BE32-E72D297353CC}">
              <c16:uniqueId val="{00000001-9385-46B2-A1D1-D23C858BAF2B}"/>
            </c:ext>
          </c:extLst>
        </c:ser>
        <c:ser>
          <c:idx val="2"/>
          <c:order val="2"/>
          <c:tx>
            <c:strRef>
              <c:f>'GT6.2'!$U$11</c:f>
              <c:strCache>
                <c:ptCount val="1"/>
                <c:pt idx="0">
                  <c:v>O2-corr</c:v>
                </c:pt>
              </c:strCache>
            </c:strRef>
          </c:tx>
          <c:spPr>
            <a:ln w="28575" cap="rnd">
              <a:solidFill>
                <a:schemeClr val="accent3"/>
              </a:solidFill>
              <a:round/>
            </a:ln>
            <a:effectLst/>
          </c:spPr>
          <c:marker>
            <c:symbol val="none"/>
          </c:marker>
          <c:cat>
            <c:numRef>
              <c:f>'GT6.2'!$Q$13:$Q$37</c:f>
              <c:numCache>
                <c:formatCode>0.00</c:formatCode>
                <c:ptCount val="25"/>
                <c:pt idx="0">
                  <c:v>0</c:v>
                </c:pt>
                <c:pt idx="1">
                  <c:v>1.0256944444481633</c:v>
                </c:pt>
                <c:pt idx="2">
                  <c:v>1.0986111111124046</c:v>
                </c:pt>
                <c:pt idx="3">
                  <c:v>5.8250000000043656</c:v>
                </c:pt>
                <c:pt idx="4">
                  <c:v>5.875</c:v>
                </c:pt>
                <c:pt idx="5">
                  <c:v>7.7618055555576575</c:v>
                </c:pt>
                <c:pt idx="6">
                  <c:v>7.8000000000029104</c:v>
                </c:pt>
                <c:pt idx="7">
                  <c:v>9.7937500000043656</c:v>
                </c:pt>
                <c:pt idx="8">
                  <c:v>9.7944444444510737</c:v>
                </c:pt>
                <c:pt idx="9">
                  <c:v>12.959722222229175</c:v>
                </c:pt>
                <c:pt idx="10">
                  <c:v>12.997916666667152</c:v>
                </c:pt>
                <c:pt idx="11">
                  <c:v>15.790972222224809</c:v>
                </c:pt>
                <c:pt idx="12">
                  <c:v>15.825694444451074</c:v>
                </c:pt>
                <c:pt idx="13">
                  <c:v>19.754861111112405</c:v>
                </c:pt>
                <c:pt idx="14">
                  <c:v>19.788888888891961</c:v>
                </c:pt>
                <c:pt idx="15">
                  <c:v>21.788888888891961</c:v>
                </c:pt>
                <c:pt idx="16">
                  <c:v>21.815972222226264</c:v>
                </c:pt>
                <c:pt idx="17">
                  <c:v>23.765277777783922</c:v>
                </c:pt>
                <c:pt idx="18">
                  <c:v>23.80000000000291</c:v>
                </c:pt>
                <c:pt idx="19">
                  <c:v>26.791666666671517</c:v>
                </c:pt>
                <c:pt idx="20">
                  <c:v>26.822222222224809</c:v>
                </c:pt>
                <c:pt idx="21">
                  <c:v>28.756250000005821</c:v>
                </c:pt>
                <c:pt idx="22">
                  <c:v>28.784722222226264</c:v>
                </c:pt>
                <c:pt idx="23">
                  <c:v>33.975000000005821</c:v>
                </c:pt>
                <c:pt idx="24">
                  <c:v>34.011111111110949</c:v>
                </c:pt>
              </c:numCache>
            </c:numRef>
          </c:cat>
          <c:val>
            <c:numRef>
              <c:f>'GT6.2'!$U$13:$U$37</c:f>
              <c:numCache>
                <c:formatCode>General</c:formatCode>
                <c:ptCount val="25"/>
                <c:pt idx="0">
                  <c:v>21.9</c:v>
                </c:pt>
                <c:pt idx="1">
                  <c:v>10.058514931396289</c:v>
                </c:pt>
                <c:pt idx="2">
                  <c:v>20.980311730926989</c:v>
                </c:pt>
                <c:pt idx="3">
                  <c:v>2.3183771360047962</c:v>
                </c:pt>
                <c:pt idx="4">
                  <c:v>20.849182687365069</c:v>
                </c:pt>
                <c:pt idx="5">
                  <c:v>13.663466397170287</c:v>
                </c:pt>
                <c:pt idx="6">
                  <c:v>21.105990783410139</c:v>
                </c:pt>
                <c:pt idx="7">
                  <c:v>15.913727776158556</c:v>
                </c:pt>
                <c:pt idx="8">
                  <c:v>21.069043571368191</c:v>
                </c:pt>
                <c:pt idx="9">
                  <c:v>13.758764353216137</c:v>
                </c:pt>
                <c:pt idx="10">
                  <c:v>21.042372011901097</c:v>
                </c:pt>
                <c:pt idx="11">
                  <c:v>14.658181071648533</c:v>
                </c:pt>
                <c:pt idx="12">
                  <c:v>21.102819237147596</c:v>
                </c:pt>
                <c:pt idx="13">
                  <c:v>12.601667867806032</c:v>
                </c:pt>
                <c:pt idx="14">
                  <c:v>21.08057464084947</c:v>
                </c:pt>
                <c:pt idx="15">
                  <c:v>16.751427088738975</c:v>
                </c:pt>
                <c:pt idx="16">
                  <c:v>21.152040070958989</c:v>
                </c:pt>
                <c:pt idx="17">
                  <c:v>17.196531791907514</c:v>
                </c:pt>
                <c:pt idx="18">
                  <c:v>21.16750208855472</c:v>
                </c:pt>
                <c:pt idx="19">
                  <c:v>15.320616883116882</c:v>
                </c:pt>
                <c:pt idx="20">
                  <c:v>21.148879016427315</c:v>
                </c:pt>
                <c:pt idx="21">
                  <c:v>17.378110459235284</c:v>
                </c:pt>
                <c:pt idx="22">
                  <c:v>21.135290494764934</c:v>
                </c:pt>
                <c:pt idx="23">
                  <c:v>11.167358509668926</c:v>
                </c:pt>
                <c:pt idx="24">
                  <c:v>20.99751140605558</c:v>
                </c:pt>
              </c:numCache>
            </c:numRef>
          </c:val>
          <c:smooth val="0"/>
          <c:extLst>
            <c:ext xmlns:c16="http://schemas.microsoft.com/office/drawing/2014/chart" uri="{C3380CC4-5D6E-409C-BE32-E72D297353CC}">
              <c16:uniqueId val="{00000002-9385-46B2-A1D1-D23C858BAF2B}"/>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'GT6.2'!$AK$11</c:f>
              <c:strCache>
                <c:ptCount val="1"/>
                <c:pt idx="0">
                  <c:v>O2 consumed </c:v>
                </c:pt>
              </c:strCache>
            </c:strRef>
          </c:tx>
          <c:spPr>
            <a:solidFill>
              <a:schemeClr val="accent1"/>
            </a:solidFill>
            <a:ln>
              <a:noFill/>
            </a:ln>
            <a:effectLst/>
          </c:spPr>
          <c:invertIfNegative val="0"/>
          <c:val>
            <c:numRef>
              <c:f>'GT6.2'!$AK$13:$AK$37</c:f>
              <c:numCache>
                <c:formatCode>General</c:formatCode>
                <c:ptCount val="25"/>
                <c:pt idx="0" formatCode="0.00E+00">
                  <c:v>0</c:v>
                </c:pt>
                <c:pt idx="1">
                  <c:v>6.2484911753266101E-3</c:v>
                </c:pt>
                <c:pt idx="3">
                  <c:v>8.4218567128520379E-3</c:v>
                </c:pt>
                <c:pt idx="5">
                  <c:v>3.3842378754611576E-3</c:v>
                </c:pt>
                <c:pt idx="7">
                  <c:v>2.4889020194115699E-3</c:v>
                </c:pt>
                <c:pt idx="9">
                  <c:v>3.4502615075583144E-3</c:v>
                </c:pt>
                <c:pt idx="11">
                  <c:v>3.0504619226154935E-3</c:v>
                </c:pt>
                <c:pt idx="13">
                  <c:v>3.9627578200704186E-3</c:v>
                </c:pt>
                <c:pt idx="15">
                  <c:v>2.1006731354579651E-3</c:v>
                </c:pt>
                <c:pt idx="17">
                  <c:v>1.9111957029965283E-3</c:v>
                </c:pt>
                <c:pt idx="19">
                  <c:v>2.7689431385264822E-3</c:v>
                </c:pt>
                <c:pt idx="21">
                  <c:v>1.8101232708312232E-3</c:v>
                </c:pt>
                <c:pt idx="23">
                  <c:v>4.6961884500206046E-3</c:v>
                </c:pt>
              </c:numCache>
            </c:numRef>
          </c:val>
          <c:extLst>
            <c:ext xmlns:c16="http://schemas.microsoft.com/office/drawing/2014/chart" uri="{C3380CC4-5D6E-409C-BE32-E72D297353CC}">
              <c16:uniqueId val="{00000000-DBD7-4C35-9CE5-3385EE1733A1}"/>
            </c:ext>
          </c:extLst>
        </c:ser>
        <c:ser>
          <c:idx val="1"/>
          <c:order val="1"/>
          <c:tx>
            <c:strRef>
              <c:f>'GT6.2'!$AL$11</c:f>
              <c:strCache>
                <c:ptCount val="1"/>
                <c:pt idx="0">
                  <c:v>CO2 produced </c:v>
                </c:pt>
              </c:strCache>
            </c:strRef>
          </c:tx>
          <c:spPr>
            <a:solidFill>
              <a:schemeClr val="accent2"/>
            </a:solidFill>
            <a:ln>
              <a:noFill/>
            </a:ln>
            <a:effectLst/>
          </c:spPr>
          <c:invertIfNegative val="0"/>
          <c:val>
            <c:numRef>
              <c:f>'GT6.2'!$AL$13:$AL$37</c:f>
              <c:numCache>
                <c:formatCode>General</c:formatCode>
                <c:ptCount val="25"/>
                <c:pt idx="0" formatCode="0.00E+00">
                  <c:v>0</c:v>
                </c:pt>
                <c:pt idx="1">
                  <c:v>1.4612853158024973E-3</c:v>
                </c:pt>
                <c:pt idx="3">
                  <c:v>3.4085802953920737E-3</c:v>
                </c:pt>
                <c:pt idx="5">
                  <c:v>1.5792983858006016E-3</c:v>
                </c:pt>
                <c:pt idx="7">
                  <c:v>1.1655123951341737E-3</c:v>
                </c:pt>
                <c:pt idx="9">
                  <c:v>1.6035758335031197E-3</c:v>
                </c:pt>
                <c:pt idx="11">
                  <c:v>1.5227738952359453E-3</c:v>
                </c:pt>
                <c:pt idx="13">
                  <c:v>2.1104472115005802E-3</c:v>
                </c:pt>
                <c:pt idx="15">
                  <c:v>1.1741051973493976E-3</c:v>
                </c:pt>
                <c:pt idx="17">
                  <c:v>1.0839216580501264E-3</c:v>
                </c:pt>
                <c:pt idx="19">
                  <c:v>1.5403143070317755E-3</c:v>
                </c:pt>
                <c:pt idx="21">
                  <c:v>1.0597141105550426E-3</c:v>
                </c:pt>
                <c:pt idx="23">
                  <c:v>2.6986879543115104E-3</c:v>
                </c:pt>
              </c:numCache>
            </c:numRef>
          </c:val>
          <c:extLst>
            <c:ext xmlns:c16="http://schemas.microsoft.com/office/drawing/2014/chart" uri="{C3380CC4-5D6E-409C-BE32-E72D297353CC}">
              <c16:uniqueId val="{00000001-DBD7-4C35-9CE5-3385EE1733A1}"/>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'GT6.2'!$BA$11</c:f>
              <c:strCache>
                <c:ptCount val="1"/>
                <c:pt idx="0">
                  <c:v>Ratio O2/CO2</c:v>
                </c:pt>
              </c:strCache>
            </c:strRef>
          </c:tx>
          <c:spPr>
            <a:solidFill>
              <a:schemeClr val="accent1"/>
            </a:solidFill>
            <a:ln>
              <a:noFill/>
            </a:ln>
            <a:effectLst/>
          </c:spPr>
          <c:invertIfNegative val="0"/>
          <c:val>
            <c:numRef>
              <c:f>'GT6.2'!$BA$13:$BA$37</c:f>
              <c:numCache>
                <c:formatCode>0.00E+00</c:formatCode>
                <c:ptCount val="25"/>
                <c:pt idx="0">
                  <c:v>0</c:v>
                </c:pt>
                <c:pt idx="1">
                  <c:v>1.8490802206672368</c:v>
                </c:pt>
                <c:pt idx="2">
                  <c:v>0</c:v>
                </c:pt>
                <c:pt idx="3">
                  <c:v>1.0742708625976034</c:v>
                </c:pt>
                <c:pt idx="4">
                  <c:v>0</c:v>
                </c:pt>
                <c:pt idx="5">
                  <c:v>0.93170015471197754</c:v>
                </c:pt>
                <c:pt idx="6">
                  <c:v>0</c:v>
                </c:pt>
                <c:pt idx="7">
                  <c:v>0.92847535586307639</c:v>
                </c:pt>
                <c:pt idx="8">
                  <c:v>0</c:v>
                </c:pt>
                <c:pt idx="9">
                  <c:v>0.9354961140285154</c:v>
                </c:pt>
                <c:pt idx="10">
                  <c:v>0</c:v>
                </c:pt>
                <c:pt idx="11">
                  <c:v>0.87098296813698151</c:v>
                </c:pt>
                <c:pt idx="12">
                  <c:v>0</c:v>
                </c:pt>
                <c:pt idx="13">
                  <c:v>0.81639909657977694</c:v>
                </c:pt>
                <c:pt idx="14">
                  <c:v>0</c:v>
                </c:pt>
                <c:pt idx="15">
                  <c:v>0.77791285521676889</c:v>
                </c:pt>
                <c:pt idx="16">
                  <c:v>0</c:v>
                </c:pt>
                <c:pt idx="17">
                  <c:v>0.76663164772833015</c:v>
                </c:pt>
                <c:pt idx="18">
                  <c:v>0</c:v>
                </c:pt>
                <c:pt idx="19">
                  <c:v>0.78159930673428646</c:v>
                </c:pt>
                <c:pt idx="20">
                  <c:v>0</c:v>
                </c:pt>
                <c:pt idx="21">
                  <c:v>0.74267518298773216</c:v>
                </c:pt>
                <c:pt idx="22">
                  <c:v>0</c:v>
                </c:pt>
                <c:pt idx="23">
                  <c:v>0.75661042846694726</c:v>
                </c:pt>
                <c:pt idx="24">
                  <c:v>0</c:v>
                </c:pt>
              </c:numCache>
            </c:numRef>
          </c:val>
          <c:extLst>
            <c:ext xmlns:c16="http://schemas.microsoft.com/office/drawing/2014/chart" uri="{C3380CC4-5D6E-409C-BE32-E72D297353CC}">
              <c16:uniqueId val="{00000000-6B0F-4360-B740-2DA44A9C218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'GT6.2'!$AP$11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'GT6.2'!$Q$13:$Q$37</c:f>
              <c:numCache>
                <c:formatCode>0.00</c:formatCode>
                <c:ptCount val="25"/>
                <c:pt idx="0">
                  <c:v>0</c:v>
                </c:pt>
                <c:pt idx="1">
                  <c:v>1.0256944444481633</c:v>
                </c:pt>
                <c:pt idx="2">
                  <c:v>1.0986111111124046</c:v>
                </c:pt>
                <c:pt idx="3">
                  <c:v>5.8250000000043656</c:v>
                </c:pt>
                <c:pt idx="4">
                  <c:v>5.875</c:v>
                </c:pt>
                <c:pt idx="5">
                  <c:v>7.7618055555576575</c:v>
                </c:pt>
                <c:pt idx="6">
                  <c:v>7.8000000000029104</c:v>
                </c:pt>
                <c:pt idx="7">
                  <c:v>9.7937500000043656</c:v>
                </c:pt>
                <c:pt idx="8">
                  <c:v>9.7944444444510737</c:v>
                </c:pt>
                <c:pt idx="9">
                  <c:v>12.959722222229175</c:v>
                </c:pt>
                <c:pt idx="10">
                  <c:v>12.997916666667152</c:v>
                </c:pt>
                <c:pt idx="11">
                  <c:v>15.790972222224809</c:v>
                </c:pt>
                <c:pt idx="12">
                  <c:v>15.825694444451074</c:v>
                </c:pt>
                <c:pt idx="13">
                  <c:v>19.754861111112405</c:v>
                </c:pt>
                <c:pt idx="14">
                  <c:v>19.788888888891961</c:v>
                </c:pt>
                <c:pt idx="15">
                  <c:v>21.788888888891961</c:v>
                </c:pt>
                <c:pt idx="16">
                  <c:v>21.815972222226264</c:v>
                </c:pt>
                <c:pt idx="17">
                  <c:v>23.765277777783922</c:v>
                </c:pt>
                <c:pt idx="18">
                  <c:v>23.80000000000291</c:v>
                </c:pt>
                <c:pt idx="19">
                  <c:v>26.791666666671517</c:v>
                </c:pt>
                <c:pt idx="20">
                  <c:v>26.822222222224809</c:v>
                </c:pt>
                <c:pt idx="21">
                  <c:v>28.756250000005821</c:v>
                </c:pt>
                <c:pt idx="22">
                  <c:v>28.784722222226264</c:v>
                </c:pt>
                <c:pt idx="23">
                  <c:v>33.975000000005821</c:v>
                </c:pt>
                <c:pt idx="24">
                  <c:v>34.011111111110949</c:v>
                </c:pt>
              </c:numCache>
            </c:numRef>
          </c:xVal>
          <c:yVal>
            <c:numRef>
              <c:f>'GT6.2'!$AP$13:$AP$37</c:f>
              <c:numCache>
                <c:formatCode>0.00E+00</c:formatCode>
                <c:ptCount val="25"/>
                <c:pt idx="0">
                  <c:v>0</c:v>
                </c:pt>
                <c:pt idx="1">
                  <c:v>0.12177758967554278</c:v>
                </c:pt>
                <c:pt idx="3">
                  <c:v>0.3902116231180992</c:v>
                </c:pt>
                <c:pt idx="5">
                  <c:v>0.51391698442451728</c:v>
                </c:pt>
                <c:pt idx="7">
                  <c:v>0.60496802531423521</c:v>
                </c:pt>
                <c:pt idx="9">
                  <c:v>0.73044805769674381</c:v>
                </c:pt>
                <c:pt idx="11">
                  <c:v>0.84940873866398625</c:v>
                </c:pt>
                <c:pt idx="13">
                  <c:v>1.014619901936197</c:v>
                </c:pt>
                <c:pt idx="15">
                  <c:v>1.1063422214747924</c:v>
                </c:pt>
                <c:pt idx="17">
                  <c:v>1.1895930053129138</c:v>
                </c:pt>
                <c:pt idx="19">
                  <c:v>1.3116180811583131</c:v>
                </c:pt>
                <c:pt idx="21">
                  <c:v>1.3944040499857411</c:v>
                </c:pt>
                <c:pt idx="23">
                  <c:v>1.6068928392067903</c:v>
                </c:pt>
              </c:numCache>
            </c:numRef>
          </c:yVal>
          <c:smooth val="0"/>
          <c:extLst>
            <c:ext xmlns:c16="http://schemas.microsoft.com/office/drawing/2014/chart" uri="{C3380CC4-5D6E-409C-BE32-E72D297353CC}">
              <c16:uniqueId val="{00000000-58B3-4BCE-852F-873ED81D6B82}"/>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'GT7.1'!$S$11</c:f>
              <c:strCache>
                <c:ptCount val="1"/>
                <c:pt idx="0">
                  <c:v>CH4-corr</c:v>
                </c:pt>
              </c:strCache>
            </c:strRef>
          </c:tx>
          <c:spPr>
            <a:ln w="28575" cap="rnd">
              <a:solidFill>
                <a:schemeClr val="accent1"/>
              </a:solidFill>
              <a:round/>
            </a:ln>
            <a:effectLst/>
          </c:spPr>
          <c:marker>
            <c:symbol val="none"/>
          </c:marker>
          <c:cat>
            <c:numRef>
              <c:f>'GT7.1'!$Q$13:$Q$33</c:f>
              <c:numCache>
                <c:formatCode>0.00</c:formatCode>
                <c:ptCount val="21"/>
                <c:pt idx="0">
                  <c:v>0</c:v>
                </c:pt>
                <c:pt idx="1">
                  <c:v>2.0145833333372138</c:v>
                </c:pt>
                <c:pt idx="2">
                  <c:v>6.8541666666642413</c:v>
                </c:pt>
                <c:pt idx="3">
                  <c:v>6.8784722222262644</c:v>
                </c:pt>
                <c:pt idx="4">
                  <c:v>8.7631944444437977</c:v>
                </c:pt>
                <c:pt idx="5">
                  <c:v>10.795138888890506</c:v>
                </c:pt>
                <c:pt idx="6">
                  <c:v>10.781944444446708</c:v>
                </c:pt>
                <c:pt idx="7">
                  <c:v>13.960416666668607</c:v>
                </c:pt>
                <c:pt idx="8">
                  <c:v>13.999305555553292</c:v>
                </c:pt>
                <c:pt idx="9">
                  <c:v>16.792361111110949</c:v>
                </c:pt>
                <c:pt idx="10">
                  <c:v>16.827083333337214</c:v>
                </c:pt>
                <c:pt idx="11">
                  <c:v>20.756249999998545</c:v>
                </c:pt>
                <c:pt idx="12">
                  <c:v>20.788888888891961</c:v>
                </c:pt>
                <c:pt idx="13">
                  <c:v>22.789583333331393</c:v>
                </c:pt>
                <c:pt idx="14">
                  <c:v>22.816666666665697</c:v>
                </c:pt>
                <c:pt idx="15">
                  <c:v>24.766666666670062</c:v>
                </c:pt>
                <c:pt idx="16">
                  <c:v>27.793055555557657</c:v>
                </c:pt>
                <c:pt idx="17">
                  <c:v>27.823611111110949</c:v>
                </c:pt>
                <c:pt idx="18">
                  <c:v>29.756249999998545</c:v>
                </c:pt>
                <c:pt idx="19">
                  <c:v>34.978472222224809</c:v>
                </c:pt>
                <c:pt idx="20">
                  <c:v>35.014583333337214</c:v>
                </c:pt>
              </c:numCache>
            </c:numRef>
          </c:cat>
          <c:val>
            <c:numRef>
              <c:f>'GT7.1'!$S$13:$S$33</c:f>
              <c:numCache>
                <c:formatCode>General</c:formatCode>
                <c:ptCount val="21"/>
                <c:pt idx="0">
                  <c:v>0</c:v>
                </c:pt>
                <c:pt idx="1">
                  <c:v>0.22112775153281736</c:v>
                </c:pt>
                <c:pt idx="2">
                  <c:v>0.28988404638144738</c:v>
                </c:pt>
                <c:pt idx="3">
                  <c:v>0</c:v>
                </c:pt>
                <c:pt idx="4">
                  <c:v>1.0150223304912708E-2</c:v>
                </c:pt>
                <c:pt idx="5">
                  <c:v>1.8964536317087045E-2</c:v>
                </c:pt>
                <c:pt idx="6">
                  <c:v>0</c:v>
                </c:pt>
                <c:pt idx="7">
                  <c:v>2.0238818053025704E-2</c:v>
                </c:pt>
                <c:pt idx="8">
                  <c:v>0</c:v>
                </c:pt>
                <c:pt idx="9">
                  <c:v>1.0162601626016262E-2</c:v>
                </c:pt>
                <c:pt idx="10">
                  <c:v>0</c:v>
                </c:pt>
                <c:pt idx="11">
                  <c:v>3.0769230769230771E-2</c:v>
                </c:pt>
                <c:pt idx="12">
                  <c:v>0</c:v>
                </c:pt>
                <c:pt idx="13">
                  <c:v>2.0757654385054489E-2</c:v>
                </c:pt>
                <c:pt idx="14">
                  <c:v>0</c:v>
                </c:pt>
                <c:pt idx="15">
                  <c:v>0</c:v>
                </c:pt>
                <c:pt idx="16">
                  <c:v>3.0571690614490984E-2</c:v>
                </c:pt>
                <c:pt idx="17">
                  <c:v>0</c:v>
                </c:pt>
                <c:pt idx="18">
                  <c:v>0</c:v>
                </c:pt>
                <c:pt idx="19">
                  <c:v>0</c:v>
                </c:pt>
                <c:pt idx="20">
                  <c:v>0</c:v>
                </c:pt>
              </c:numCache>
            </c:numRef>
          </c:val>
          <c:smooth val="0"/>
          <c:extLst>
            <c:ext xmlns:c16="http://schemas.microsoft.com/office/drawing/2014/chart" uri="{C3380CC4-5D6E-409C-BE32-E72D297353CC}">
              <c16:uniqueId val="{00000000-C2AD-4C67-94B6-68C6B07DA5CC}"/>
            </c:ext>
          </c:extLst>
        </c:ser>
        <c:ser>
          <c:idx val="1"/>
          <c:order val="1"/>
          <c:tx>
            <c:strRef>
              <c:f>'GT7.1'!$T$11</c:f>
              <c:strCache>
                <c:ptCount val="1"/>
                <c:pt idx="0">
                  <c:v>CO2-corr</c:v>
                </c:pt>
              </c:strCache>
            </c:strRef>
          </c:tx>
          <c:spPr>
            <a:ln w="28575" cap="rnd">
              <a:solidFill>
                <a:schemeClr val="accent2"/>
              </a:solidFill>
              <a:round/>
            </a:ln>
            <a:effectLst/>
          </c:spPr>
          <c:marker>
            <c:symbol val="none"/>
          </c:marker>
          <c:cat>
            <c:numRef>
              <c:f>'GT7.1'!$Q$13:$Q$33</c:f>
              <c:numCache>
                <c:formatCode>0.00</c:formatCode>
                <c:ptCount val="21"/>
                <c:pt idx="0">
                  <c:v>0</c:v>
                </c:pt>
                <c:pt idx="1">
                  <c:v>2.0145833333372138</c:v>
                </c:pt>
                <c:pt idx="2">
                  <c:v>6.8541666666642413</c:v>
                </c:pt>
                <c:pt idx="3">
                  <c:v>6.8784722222262644</c:v>
                </c:pt>
                <c:pt idx="4">
                  <c:v>8.7631944444437977</c:v>
                </c:pt>
                <c:pt idx="5">
                  <c:v>10.795138888890506</c:v>
                </c:pt>
                <c:pt idx="6">
                  <c:v>10.781944444446708</c:v>
                </c:pt>
                <c:pt idx="7">
                  <c:v>13.960416666668607</c:v>
                </c:pt>
                <c:pt idx="8">
                  <c:v>13.999305555553292</c:v>
                </c:pt>
                <c:pt idx="9">
                  <c:v>16.792361111110949</c:v>
                </c:pt>
                <c:pt idx="10">
                  <c:v>16.827083333337214</c:v>
                </c:pt>
                <c:pt idx="11">
                  <c:v>20.756249999998545</c:v>
                </c:pt>
                <c:pt idx="12">
                  <c:v>20.788888888891961</c:v>
                </c:pt>
                <c:pt idx="13">
                  <c:v>22.789583333331393</c:v>
                </c:pt>
                <c:pt idx="14">
                  <c:v>22.816666666665697</c:v>
                </c:pt>
                <c:pt idx="15">
                  <c:v>24.766666666670062</c:v>
                </c:pt>
                <c:pt idx="16">
                  <c:v>27.793055555557657</c:v>
                </c:pt>
                <c:pt idx="17">
                  <c:v>27.823611111110949</c:v>
                </c:pt>
                <c:pt idx="18">
                  <c:v>29.756249999998545</c:v>
                </c:pt>
                <c:pt idx="19">
                  <c:v>34.978472222224809</c:v>
                </c:pt>
                <c:pt idx="20">
                  <c:v>35.014583333337214</c:v>
                </c:pt>
              </c:numCache>
            </c:numRef>
          </c:cat>
          <c:val>
            <c:numRef>
              <c:f>'GT7.1'!$T$13:$T$33</c:f>
              <c:numCache>
                <c:formatCode>General</c:formatCode>
                <c:ptCount val="21"/>
                <c:pt idx="0">
                  <c:v>0.03</c:v>
                </c:pt>
                <c:pt idx="1">
                  <c:v>1.4172278620966929</c:v>
                </c:pt>
                <c:pt idx="2">
                  <c:v>2.658936425429828</c:v>
                </c:pt>
                <c:pt idx="3">
                  <c:v>0.40053404539385845</c:v>
                </c:pt>
                <c:pt idx="4">
                  <c:v>1.5326837190418188</c:v>
                </c:pt>
                <c:pt idx="5">
                  <c:v>2.4748719893798596</c:v>
                </c:pt>
                <c:pt idx="6">
                  <c:v>0.53682342502218272</c:v>
                </c:pt>
                <c:pt idx="7">
                  <c:v>5.940093098563044</c:v>
                </c:pt>
                <c:pt idx="8">
                  <c:v>0.83119548486403294</c:v>
                </c:pt>
                <c:pt idx="9">
                  <c:v>7.2357723577235777</c:v>
                </c:pt>
                <c:pt idx="10">
                  <c:v>0.71606475716064744</c:v>
                </c:pt>
                <c:pt idx="11">
                  <c:v>5.2410256410256419</c:v>
                </c:pt>
                <c:pt idx="12">
                  <c:v>0.59412132582864285</c:v>
                </c:pt>
                <c:pt idx="13">
                  <c:v>2.3767514270887391</c:v>
                </c:pt>
                <c:pt idx="14">
                  <c:v>0.29172744321733696</c:v>
                </c:pt>
                <c:pt idx="15">
                  <c:v>1.7509324492333194</c:v>
                </c:pt>
                <c:pt idx="16">
                  <c:v>3.0979313156017527</c:v>
                </c:pt>
                <c:pt idx="17">
                  <c:v>0.42329134833780713</c:v>
                </c:pt>
                <c:pt idx="18">
                  <c:v>1.6593708642980758</c:v>
                </c:pt>
                <c:pt idx="19">
                  <c:v>3.6322824201612081</c:v>
                </c:pt>
                <c:pt idx="20">
                  <c:v>0.49875311720698257</c:v>
                </c:pt>
              </c:numCache>
            </c:numRef>
          </c:val>
          <c:smooth val="0"/>
          <c:extLst>
            <c:ext xmlns:c16="http://schemas.microsoft.com/office/drawing/2014/chart" uri="{C3380CC4-5D6E-409C-BE32-E72D297353CC}">
              <c16:uniqueId val="{00000001-C2AD-4C67-94B6-68C6B07DA5CC}"/>
            </c:ext>
          </c:extLst>
        </c:ser>
        <c:ser>
          <c:idx val="2"/>
          <c:order val="2"/>
          <c:tx>
            <c:strRef>
              <c:f>'GT7.1'!$U$11</c:f>
              <c:strCache>
                <c:ptCount val="1"/>
                <c:pt idx="0">
                  <c:v>O2-corr</c:v>
                </c:pt>
              </c:strCache>
            </c:strRef>
          </c:tx>
          <c:spPr>
            <a:ln w="28575" cap="rnd">
              <a:solidFill>
                <a:schemeClr val="accent3"/>
              </a:solidFill>
              <a:round/>
            </a:ln>
            <a:effectLst/>
          </c:spPr>
          <c:marker>
            <c:symbol val="none"/>
          </c:marker>
          <c:cat>
            <c:numRef>
              <c:f>'GT7.1'!$Q$13:$Q$33</c:f>
              <c:numCache>
                <c:formatCode>0.00</c:formatCode>
                <c:ptCount val="21"/>
                <c:pt idx="0">
                  <c:v>0</c:v>
                </c:pt>
                <c:pt idx="1">
                  <c:v>2.0145833333372138</c:v>
                </c:pt>
                <c:pt idx="2">
                  <c:v>6.8541666666642413</c:v>
                </c:pt>
                <c:pt idx="3">
                  <c:v>6.8784722222262644</c:v>
                </c:pt>
                <c:pt idx="4">
                  <c:v>8.7631944444437977</c:v>
                </c:pt>
                <c:pt idx="5">
                  <c:v>10.795138888890506</c:v>
                </c:pt>
                <c:pt idx="6">
                  <c:v>10.781944444446708</c:v>
                </c:pt>
                <c:pt idx="7">
                  <c:v>13.960416666668607</c:v>
                </c:pt>
                <c:pt idx="8">
                  <c:v>13.999305555553292</c:v>
                </c:pt>
                <c:pt idx="9">
                  <c:v>16.792361111110949</c:v>
                </c:pt>
                <c:pt idx="10">
                  <c:v>16.827083333337214</c:v>
                </c:pt>
                <c:pt idx="11">
                  <c:v>20.756249999998545</c:v>
                </c:pt>
                <c:pt idx="12">
                  <c:v>20.788888888891961</c:v>
                </c:pt>
                <c:pt idx="13">
                  <c:v>22.789583333331393</c:v>
                </c:pt>
                <c:pt idx="14">
                  <c:v>22.816666666665697</c:v>
                </c:pt>
                <c:pt idx="15">
                  <c:v>24.766666666670062</c:v>
                </c:pt>
                <c:pt idx="16">
                  <c:v>27.793055555557657</c:v>
                </c:pt>
                <c:pt idx="17">
                  <c:v>27.823611111110949</c:v>
                </c:pt>
                <c:pt idx="18">
                  <c:v>29.756249999998545</c:v>
                </c:pt>
                <c:pt idx="19">
                  <c:v>34.978472222224809</c:v>
                </c:pt>
                <c:pt idx="20">
                  <c:v>35.014583333337214</c:v>
                </c:pt>
              </c:numCache>
            </c:numRef>
          </c:cat>
          <c:val>
            <c:numRef>
              <c:f>'GT7.1'!$U$13:$U$33</c:f>
              <c:numCache>
                <c:formatCode>General</c:formatCode>
                <c:ptCount val="21"/>
                <c:pt idx="0">
                  <c:v>21.9</c:v>
                </c:pt>
                <c:pt idx="1">
                  <c:v>7.558548597849029</c:v>
                </c:pt>
                <c:pt idx="2">
                  <c:v>2.3390643742502997</c:v>
                </c:pt>
                <c:pt idx="3">
                  <c:v>21.094793057409881</c:v>
                </c:pt>
                <c:pt idx="4">
                  <c:v>15.692245229395045</c:v>
                </c:pt>
                <c:pt idx="5">
                  <c:v>11.928693343447751</c:v>
                </c:pt>
                <c:pt idx="6">
                  <c:v>21.076604554865426</c:v>
                </c:pt>
                <c:pt idx="7">
                  <c:v>10.675976522971059</c:v>
                </c:pt>
                <c:pt idx="8">
                  <c:v>20.933812211390457</c:v>
                </c:pt>
                <c:pt idx="9">
                  <c:v>9.573170731707318</c:v>
                </c:pt>
                <c:pt idx="10">
                  <c:v>21.035699460356991</c:v>
                </c:pt>
                <c:pt idx="11">
                  <c:v>12.605128205128205</c:v>
                </c:pt>
                <c:pt idx="12">
                  <c:v>21.054825932874714</c:v>
                </c:pt>
                <c:pt idx="13">
                  <c:v>18.100674623767517</c:v>
                </c:pt>
                <c:pt idx="14">
                  <c:v>21.191914982287976</c:v>
                </c:pt>
                <c:pt idx="15">
                  <c:v>18.576460837132199</c:v>
                </c:pt>
                <c:pt idx="16">
                  <c:v>15.316416997859982</c:v>
                </c:pt>
                <c:pt idx="17">
                  <c:v>21.143919058434854</c:v>
                </c:pt>
                <c:pt idx="18">
                  <c:v>19.016593708642979</c:v>
                </c:pt>
                <c:pt idx="19">
                  <c:v>14.314865830017345</c:v>
                </c:pt>
                <c:pt idx="20">
                  <c:v>21.082709891936826</c:v>
                </c:pt>
              </c:numCache>
            </c:numRef>
          </c:val>
          <c:smooth val="0"/>
          <c:extLst>
            <c:ext xmlns:c16="http://schemas.microsoft.com/office/drawing/2014/chart" uri="{C3380CC4-5D6E-409C-BE32-E72D297353CC}">
              <c16:uniqueId val="{00000002-C2AD-4C67-94B6-68C6B07DA5CC}"/>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'GT1.2'!$S$11</c:f>
              <c:strCache>
                <c:ptCount val="1"/>
                <c:pt idx="0">
                  <c:v>CH4-corr</c:v>
                </c:pt>
              </c:strCache>
            </c:strRef>
          </c:tx>
          <c:spPr>
            <a:ln w="28575" cap="rnd">
              <a:solidFill>
                <a:schemeClr val="accent1"/>
              </a:solidFill>
              <a:round/>
            </a:ln>
            <a:effectLst/>
          </c:spPr>
          <c:marker>
            <c:symbol val="none"/>
          </c:marker>
          <c:cat>
            <c:numRef>
              <c:f>'GT1.2'!$Q$13:$Q$36</c:f>
              <c:numCache>
                <c:formatCode>0.00</c:formatCode>
                <c:ptCount val="24"/>
                <c:pt idx="0">
                  <c:v>0</c:v>
                </c:pt>
                <c:pt idx="1">
                  <c:v>1.9902777777824667</c:v>
                </c:pt>
                <c:pt idx="2">
                  <c:v>6.8055555555547471</c:v>
                </c:pt>
                <c:pt idx="3">
                  <c:v>6.851388888891961</c:v>
                </c:pt>
                <c:pt idx="4">
                  <c:v>8.7451388888948713</c:v>
                </c:pt>
                <c:pt idx="5">
                  <c:v>8.7902777777781012</c:v>
                </c:pt>
                <c:pt idx="6">
                  <c:v>10.78125</c:v>
                </c:pt>
                <c:pt idx="7">
                  <c:v>10.781944444446708</c:v>
                </c:pt>
                <c:pt idx="8">
                  <c:v>13.951388888890506</c:v>
                </c:pt>
                <c:pt idx="9">
                  <c:v>13.992361111115315</c:v>
                </c:pt>
                <c:pt idx="10">
                  <c:v>16.783333333332848</c:v>
                </c:pt>
                <c:pt idx="11">
                  <c:v>16.823611111110949</c:v>
                </c:pt>
                <c:pt idx="12">
                  <c:v>20.73611111111677</c:v>
                </c:pt>
                <c:pt idx="13">
                  <c:v>20.783333333332848</c:v>
                </c:pt>
                <c:pt idx="14">
                  <c:v>22.773611111115315</c:v>
                </c:pt>
                <c:pt idx="15">
                  <c:v>22.819444444445253</c:v>
                </c:pt>
                <c:pt idx="16">
                  <c:v>24.755555555559113</c:v>
                </c:pt>
                <c:pt idx="17">
                  <c:v>24.817361111112405</c:v>
                </c:pt>
                <c:pt idx="18">
                  <c:v>27.784027777779556</c:v>
                </c:pt>
                <c:pt idx="19">
                  <c:v>27.818055555559113</c:v>
                </c:pt>
                <c:pt idx="20">
                  <c:v>29.744444444448163</c:v>
                </c:pt>
                <c:pt idx="21">
                  <c:v>29.789583333338669</c:v>
                </c:pt>
                <c:pt idx="22">
                  <c:v>34.96597222222772</c:v>
                </c:pt>
                <c:pt idx="23">
                  <c:v>35.004861111112405</c:v>
                </c:pt>
              </c:numCache>
            </c:numRef>
          </c:cat>
          <c:val>
            <c:numRef>
              <c:f>'GT1.2'!$S$13:$S$36</c:f>
              <c:numCache>
                <c:formatCode>General</c:formatCode>
                <c:ptCount val="24"/>
                <c:pt idx="0">
                  <c:v>0</c:v>
                </c:pt>
                <c:pt idx="1">
                  <c:v>9.9690958030106663E-2</c:v>
                </c:pt>
                <c:pt idx="2">
                  <c:v>0.22487289792725851</c:v>
                </c:pt>
                <c:pt idx="3">
                  <c:v>0</c:v>
                </c:pt>
                <c:pt idx="4">
                  <c:v>2.9336984158028559E-2</c:v>
                </c:pt>
                <c:pt idx="5">
                  <c:v>0</c:v>
                </c:pt>
                <c:pt idx="6">
                  <c:v>0</c:v>
                </c:pt>
                <c:pt idx="7">
                  <c:v>0</c:v>
                </c:pt>
                <c:pt idx="8">
                  <c:v>1.0118385105737123E-2</c:v>
                </c:pt>
                <c:pt idx="9">
                  <c:v>0</c:v>
                </c:pt>
                <c:pt idx="10">
                  <c:v>1.0113268608414241E-2</c:v>
                </c:pt>
                <c:pt idx="11">
                  <c:v>0</c:v>
                </c:pt>
                <c:pt idx="12">
                  <c:v>0.10025062656641603</c:v>
                </c:pt>
                <c:pt idx="13">
                  <c:v>0</c:v>
                </c:pt>
                <c:pt idx="14">
                  <c:v>0</c:v>
                </c:pt>
                <c:pt idx="15">
                  <c:v>0</c:v>
                </c:pt>
                <c:pt idx="16">
                  <c:v>0</c:v>
                </c:pt>
                <c:pt idx="17">
                  <c:v>0</c:v>
                </c:pt>
                <c:pt idx="18">
                  <c:v>0.21495327102803738</c:v>
                </c:pt>
                <c:pt idx="19">
                  <c:v>0</c:v>
                </c:pt>
                <c:pt idx="20">
                  <c:v>0</c:v>
                </c:pt>
                <c:pt idx="21">
                  <c:v>0</c:v>
                </c:pt>
                <c:pt idx="22">
                  <c:v>0</c:v>
                </c:pt>
                <c:pt idx="23">
                  <c:v>0</c:v>
                </c:pt>
              </c:numCache>
            </c:numRef>
          </c:val>
          <c:smooth val="0"/>
          <c:extLst>
            <c:ext xmlns:c16="http://schemas.microsoft.com/office/drawing/2014/chart" uri="{C3380CC4-5D6E-409C-BE32-E72D297353CC}">
              <c16:uniqueId val="{00000000-BB61-486D-9B20-46A03566B32C}"/>
            </c:ext>
          </c:extLst>
        </c:ser>
        <c:ser>
          <c:idx val="1"/>
          <c:order val="1"/>
          <c:tx>
            <c:strRef>
              <c:f>'GT1.2'!$T$11</c:f>
              <c:strCache>
                <c:ptCount val="1"/>
                <c:pt idx="0">
                  <c:v>CO2-corr</c:v>
                </c:pt>
              </c:strCache>
            </c:strRef>
          </c:tx>
          <c:spPr>
            <a:ln w="28575" cap="rnd">
              <a:solidFill>
                <a:schemeClr val="accent2"/>
              </a:solidFill>
              <a:round/>
            </a:ln>
            <a:effectLst/>
          </c:spPr>
          <c:marker>
            <c:symbol val="none"/>
          </c:marker>
          <c:cat>
            <c:numRef>
              <c:f>'GT1.2'!$Q$13:$Q$36</c:f>
              <c:numCache>
                <c:formatCode>0.00</c:formatCode>
                <c:ptCount val="24"/>
                <c:pt idx="0">
                  <c:v>0</c:v>
                </c:pt>
                <c:pt idx="1">
                  <c:v>1.9902777777824667</c:v>
                </c:pt>
                <c:pt idx="2">
                  <c:v>6.8055555555547471</c:v>
                </c:pt>
                <c:pt idx="3">
                  <c:v>6.851388888891961</c:v>
                </c:pt>
                <c:pt idx="4">
                  <c:v>8.7451388888948713</c:v>
                </c:pt>
                <c:pt idx="5">
                  <c:v>8.7902777777781012</c:v>
                </c:pt>
                <c:pt idx="6">
                  <c:v>10.78125</c:v>
                </c:pt>
                <c:pt idx="7">
                  <c:v>10.781944444446708</c:v>
                </c:pt>
                <c:pt idx="8">
                  <c:v>13.951388888890506</c:v>
                </c:pt>
                <c:pt idx="9">
                  <c:v>13.992361111115315</c:v>
                </c:pt>
                <c:pt idx="10">
                  <c:v>16.783333333332848</c:v>
                </c:pt>
                <c:pt idx="11">
                  <c:v>16.823611111110949</c:v>
                </c:pt>
                <c:pt idx="12">
                  <c:v>20.73611111111677</c:v>
                </c:pt>
                <c:pt idx="13">
                  <c:v>20.783333333332848</c:v>
                </c:pt>
                <c:pt idx="14">
                  <c:v>22.773611111115315</c:v>
                </c:pt>
                <c:pt idx="15">
                  <c:v>22.819444444445253</c:v>
                </c:pt>
                <c:pt idx="16">
                  <c:v>24.755555555559113</c:v>
                </c:pt>
                <c:pt idx="17">
                  <c:v>24.817361111112405</c:v>
                </c:pt>
                <c:pt idx="18">
                  <c:v>27.784027777779556</c:v>
                </c:pt>
                <c:pt idx="19">
                  <c:v>27.818055555559113</c:v>
                </c:pt>
                <c:pt idx="20">
                  <c:v>29.744444444448163</c:v>
                </c:pt>
                <c:pt idx="21">
                  <c:v>29.789583333338669</c:v>
                </c:pt>
                <c:pt idx="22">
                  <c:v>34.96597222222772</c:v>
                </c:pt>
                <c:pt idx="23">
                  <c:v>35.004861111112405</c:v>
                </c:pt>
              </c:numCache>
            </c:numRef>
          </c:cat>
          <c:val>
            <c:numRef>
              <c:f>'GT1.2'!$T$13:$T$36</c:f>
              <c:numCache>
                <c:formatCode>General</c:formatCode>
                <c:ptCount val="24"/>
                <c:pt idx="0">
                  <c:v>0.03</c:v>
                </c:pt>
                <c:pt idx="1">
                  <c:v>0.48848569434752265</c:v>
                </c:pt>
                <c:pt idx="2">
                  <c:v>0.89949159170903403</c:v>
                </c:pt>
                <c:pt idx="3">
                  <c:v>0.43121149897330591</c:v>
                </c:pt>
                <c:pt idx="4">
                  <c:v>1.457070213182085</c:v>
                </c:pt>
                <c:pt idx="5">
                  <c:v>0.48279404211607602</c:v>
                </c:pt>
                <c:pt idx="6">
                  <c:v>3.4650630011454755</c:v>
                </c:pt>
                <c:pt idx="7">
                  <c:v>0.60146956998026102</c:v>
                </c:pt>
                <c:pt idx="8">
                  <c:v>4.6949306890620246</c:v>
                </c:pt>
                <c:pt idx="9">
                  <c:v>1.0965361754457881</c:v>
                </c:pt>
                <c:pt idx="10">
                  <c:v>4.075647249190939</c:v>
                </c:pt>
                <c:pt idx="11">
                  <c:v>0.53819085075553708</c:v>
                </c:pt>
                <c:pt idx="12">
                  <c:v>4.1203007518797001</c:v>
                </c:pt>
                <c:pt idx="13">
                  <c:v>0.73175831068367136</c:v>
                </c:pt>
                <c:pt idx="14">
                  <c:v>2.6724553786782441</c:v>
                </c:pt>
                <c:pt idx="15">
                  <c:v>0.49004274840996764</c:v>
                </c:pt>
                <c:pt idx="16">
                  <c:v>2.3463023463023465</c:v>
                </c:pt>
                <c:pt idx="17">
                  <c:v>0.46724120029072785</c:v>
                </c:pt>
                <c:pt idx="18">
                  <c:v>3.457943925233645</c:v>
                </c:pt>
                <c:pt idx="19">
                  <c:v>0.81242287124640067</c:v>
                </c:pt>
                <c:pt idx="20">
                  <c:v>2.9344512195121952</c:v>
                </c:pt>
                <c:pt idx="21">
                  <c:v>0.33933161953727509</c:v>
                </c:pt>
                <c:pt idx="22">
                  <c:v>4.9953314659197012</c:v>
                </c:pt>
                <c:pt idx="23">
                  <c:v>0.62298826705430377</c:v>
                </c:pt>
              </c:numCache>
            </c:numRef>
          </c:val>
          <c:smooth val="0"/>
          <c:extLst>
            <c:ext xmlns:c16="http://schemas.microsoft.com/office/drawing/2014/chart" uri="{C3380CC4-5D6E-409C-BE32-E72D297353CC}">
              <c16:uniqueId val="{00000001-BB61-486D-9B20-46A03566B32C}"/>
            </c:ext>
          </c:extLst>
        </c:ser>
        <c:ser>
          <c:idx val="2"/>
          <c:order val="2"/>
          <c:tx>
            <c:strRef>
              <c:f>'GT1.2'!$U$11</c:f>
              <c:strCache>
                <c:ptCount val="1"/>
                <c:pt idx="0">
                  <c:v>O2-corr</c:v>
                </c:pt>
              </c:strCache>
            </c:strRef>
          </c:tx>
          <c:spPr>
            <a:ln w="28575" cap="rnd">
              <a:solidFill>
                <a:schemeClr val="accent3"/>
              </a:solidFill>
              <a:round/>
            </a:ln>
            <a:effectLst/>
          </c:spPr>
          <c:marker>
            <c:symbol val="none"/>
          </c:marker>
          <c:cat>
            <c:numRef>
              <c:f>'GT1.2'!$Q$13:$Q$36</c:f>
              <c:numCache>
                <c:formatCode>0.00</c:formatCode>
                <c:ptCount val="24"/>
                <c:pt idx="0">
                  <c:v>0</c:v>
                </c:pt>
                <c:pt idx="1">
                  <c:v>1.9902777777824667</c:v>
                </c:pt>
                <c:pt idx="2">
                  <c:v>6.8055555555547471</c:v>
                </c:pt>
                <c:pt idx="3">
                  <c:v>6.851388888891961</c:v>
                </c:pt>
                <c:pt idx="4">
                  <c:v>8.7451388888948713</c:v>
                </c:pt>
                <c:pt idx="5">
                  <c:v>8.7902777777781012</c:v>
                </c:pt>
                <c:pt idx="6">
                  <c:v>10.78125</c:v>
                </c:pt>
                <c:pt idx="7">
                  <c:v>10.781944444446708</c:v>
                </c:pt>
                <c:pt idx="8">
                  <c:v>13.951388888890506</c:v>
                </c:pt>
                <c:pt idx="9">
                  <c:v>13.992361111115315</c:v>
                </c:pt>
                <c:pt idx="10">
                  <c:v>16.783333333332848</c:v>
                </c:pt>
                <c:pt idx="11">
                  <c:v>16.823611111110949</c:v>
                </c:pt>
                <c:pt idx="12">
                  <c:v>20.73611111111677</c:v>
                </c:pt>
                <c:pt idx="13">
                  <c:v>20.783333333332848</c:v>
                </c:pt>
                <c:pt idx="14">
                  <c:v>22.773611111115315</c:v>
                </c:pt>
                <c:pt idx="15">
                  <c:v>22.819444444445253</c:v>
                </c:pt>
                <c:pt idx="16">
                  <c:v>24.755555555559113</c:v>
                </c:pt>
                <c:pt idx="17">
                  <c:v>24.817361111112405</c:v>
                </c:pt>
                <c:pt idx="18">
                  <c:v>27.784027777779556</c:v>
                </c:pt>
                <c:pt idx="19">
                  <c:v>27.818055555559113</c:v>
                </c:pt>
                <c:pt idx="20">
                  <c:v>29.744444444448163</c:v>
                </c:pt>
                <c:pt idx="21">
                  <c:v>29.789583333338669</c:v>
                </c:pt>
                <c:pt idx="22">
                  <c:v>34.96597222222772</c:v>
                </c:pt>
                <c:pt idx="23">
                  <c:v>35.004861111112405</c:v>
                </c:pt>
              </c:numCache>
            </c:numRef>
          </c:cat>
          <c:val>
            <c:numRef>
              <c:f>'GT1.2'!$U$13:$U$36</c:f>
              <c:numCache>
                <c:formatCode>General</c:formatCode>
                <c:ptCount val="24"/>
                <c:pt idx="0">
                  <c:v>21.9</c:v>
                </c:pt>
                <c:pt idx="1">
                  <c:v>2.2829229388894428</c:v>
                </c:pt>
                <c:pt idx="2">
                  <c:v>1.8869769260852562</c:v>
                </c:pt>
                <c:pt idx="3">
                  <c:v>20.349075975359341</c:v>
                </c:pt>
                <c:pt idx="4">
                  <c:v>9.3976139252884821</c:v>
                </c:pt>
                <c:pt idx="5">
                  <c:v>21.05803800719055</c:v>
                </c:pt>
                <c:pt idx="6">
                  <c:v>10.891561664757543</c:v>
                </c:pt>
                <c:pt idx="7">
                  <c:v>20.932587869330217</c:v>
                </c:pt>
                <c:pt idx="8">
                  <c:v>10.685014671658402</c:v>
                </c:pt>
                <c:pt idx="9">
                  <c:v>20.649723303955728</c:v>
                </c:pt>
                <c:pt idx="10">
                  <c:v>13.946197411003237</c:v>
                </c:pt>
                <c:pt idx="11">
                  <c:v>21.09294141999586</c:v>
                </c:pt>
                <c:pt idx="12">
                  <c:v>13.152882205513784</c:v>
                </c:pt>
                <c:pt idx="13">
                  <c:v>20.991009826468741</c:v>
                </c:pt>
                <c:pt idx="14">
                  <c:v>16.98986975397974</c:v>
                </c:pt>
                <c:pt idx="15">
                  <c:v>21.123970388906265</c:v>
                </c:pt>
                <c:pt idx="16">
                  <c:v>17.008217008217009</c:v>
                </c:pt>
                <c:pt idx="17">
                  <c:v>21.10891911535666</c:v>
                </c:pt>
                <c:pt idx="18">
                  <c:v>14.448598130841122</c:v>
                </c:pt>
                <c:pt idx="19">
                  <c:v>20.752776635129578</c:v>
                </c:pt>
                <c:pt idx="20">
                  <c:v>16.596798780487809</c:v>
                </c:pt>
                <c:pt idx="21">
                  <c:v>21.161953727506425</c:v>
                </c:pt>
                <c:pt idx="22">
                  <c:v>11.335200746965453</c:v>
                </c:pt>
                <c:pt idx="23">
                  <c:v>21.04662028865123</c:v>
                </c:pt>
              </c:numCache>
            </c:numRef>
          </c:val>
          <c:smooth val="0"/>
          <c:extLst>
            <c:ext xmlns:c16="http://schemas.microsoft.com/office/drawing/2014/chart" uri="{C3380CC4-5D6E-409C-BE32-E72D297353CC}">
              <c16:uniqueId val="{00000002-BB61-486D-9B20-46A03566B32C}"/>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'GT7.1'!$AK$11</c:f>
              <c:strCache>
                <c:ptCount val="1"/>
                <c:pt idx="0">
                  <c:v>O2 consumed </c:v>
                </c:pt>
              </c:strCache>
            </c:strRef>
          </c:tx>
          <c:spPr>
            <a:solidFill>
              <a:schemeClr val="accent1"/>
            </a:solidFill>
            <a:ln>
              <a:noFill/>
            </a:ln>
            <a:effectLst/>
          </c:spPr>
          <c:invertIfNegative val="0"/>
          <c:val>
            <c:numRef>
              <c:f>'GT7.1'!$AK$13:$AK$33</c:f>
              <c:numCache>
                <c:formatCode>General</c:formatCode>
                <c:ptCount val="21"/>
                <c:pt idx="0" formatCode="0.00E+00">
                  <c:v>0</c:v>
                </c:pt>
                <c:pt idx="1">
                  <c:v>7.4025485750390564E-3</c:v>
                </c:pt>
                <c:pt idx="2">
                  <c:v>2.0390131709967217E-3</c:v>
                </c:pt>
                <c:pt idx="4">
                  <c:v>2.7432380230775306E-3</c:v>
                </c:pt>
                <c:pt idx="5">
                  <c:v>1.7011232517124336E-3</c:v>
                </c:pt>
                <c:pt idx="7">
                  <c:v>4.8444459470247669E-3</c:v>
                </c:pt>
                <c:pt idx="9">
                  <c:v>5.2518680051693066E-3</c:v>
                </c:pt>
                <c:pt idx="11">
                  <c:v>3.9699898048541531E-3</c:v>
                </c:pt>
                <c:pt idx="13">
                  <c:v>1.4578751846782805E-3</c:v>
                </c:pt>
                <c:pt idx="15">
                  <c:v>1.3056654336823723E-3</c:v>
                </c:pt>
                <c:pt idx="16">
                  <c:v>1.5508805757496217E-3</c:v>
                </c:pt>
                <c:pt idx="18">
                  <c:v>1.0586645241441924E-3</c:v>
                </c:pt>
                <c:pt idx="19">
                  <c:v>2.2023852508261145E-3</c:v>
                </c:pt>
              </c:numCache>
            </c:numRef>
          </c:val>
          <c:extLst>
            <c:ext xmlns:c16="http://schemas.microsoft.com/office/drawing/2014/chart" uri="{C3380CC4-5D6E-409C-BE32-E72D297353CC}">
              <c16:uniqueId val="{00000000-83C6-46C1-B4A1-5D034FE7B54C}"/>
            </c:ext>
          </c:extLst>
        </c:ser>
        <c:ser>
          <c:idx val="1"/>
          <c:order val="1"/>
          <c:tx>
            <c:strRef>
              <c:f>'GT7.1'!$AL$11</c:f>
              <c:strCache>
                <c:ptCount val="1"/>
                <c:pt idx="0">
                  <c:v>CO2 produced </c:v>
                </c:pt>
              </c:strCache>
            </c:strRef>
          </c:tx>
          <c:spPr>
            <a:solidFill>
              <a:schemeClr val="accent2"/>
            </a:solidFill>
            <a:ln>
              <a:noFill/>
            </a:ln>
            <a:effectLst/>
          </c:spPr>
          <c:invertIfNegative val="0"/>
          <c:val>
            <c:numRef>
              <c:f>'GT7.1'!$AL$13:$AL$33</c:f>
              <c:numCache>
                <c:formatCode>General</c:formatCode>
                <c:ptCount val="21"/>
                <c:pt idx="0" formatCode="0.00E+00">
                  <c:v>0</c:v>
                </c:pt>
                <c:pt idx="1">
                  <c:v>5.2785598187950504E-4</c:v>
                </c:pt>
                <c:pt idx="2">
                  <c:v>4.2080392796346798E-4</c:v>
                </c:pt>
                <c:pt idx="4">
                  <c:v>4.5644634912224554E-4</c:v>
                </c:pt>
                <c:pt idx="5">
                  <c:v>3.5459788805154138E-4</c:v>
                </c:pt>
                <c:pt idx="7">
                  <c:v>2.2231618289333408E-3</c:v>
                </c:pt>
                <c:pt idx="9">
                  <c:v>2.612595274017979E-3</c:v>
                </c:pt>
                <c:pt idx="11">
                  <c:v>1.8950747883219878E-3</c:v>
                </c:pt>
                <c:pt idx="13">
                  <c:v>7.6961428620739704E-4</c:v>
                </c:pt>
                <c:pt idx="15">
                  <c:v>6.2336621998171891E-4</c:v>
                </c:pt>
                <c:pt idx="16">
                  <c:v>5.4453976403979435E-4</c:v>
                </c:pt>
                <c:pt idx="18">
                  <c:v>5.3245748321514266E-4</c:v>
                </c:pt>
                <c:pt idx="19">
                  <c:v>8.0823978051979461E-4</c:v>
                </c:pt>
              </c:numCache>
            </c:numRef>
          </c:val>
          <c:extLst>
            <c:ext xmlns:c16="http://schemas.microsoft.com/office/drawing/2014/chart" uri="{C3380CC4-5D6E-409C-BE32-E72D297353CC}">
              <c16:uniqueId val="{00000001-83C6-46C1-B4A1-5D034FE7B54C}"/>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'GT7.1'!$BA$11</c:f>
              <c:strCache>
                <c:ptCount val="1"/>
                <c:pt idx="0">
                  <c:v>Ratio O2/CO2</c:v>
                </c:pt>
              </c:strCache>
            </c:strRef>
          </c:tx>
          <c:spPr>
            <a:solidFill>
              <a:schemeClr val="accent1"/>
            </a:solidFill>
            <a:ln>
              <a:noFill/>
            </a:ln>
            <a:effectLst/>
          </c:spPr>
          <c:invertIfNegative val="0"/>
          <c:val>
            <c:numRef>
              <c:f>'GT7.1'!$BA$13:$BA$33</c:f>
              <c:numCache>
                <c:formatCode>0.00E+00</c:formatCode>
                <c:ptCount val="21"/>
                <c:pt idx="0">
                  <c:v>0</c:v>
                </c:pt>
                <c:pt idx="1">
                  <c:v>6.0067204874027942</c:v>
                </c:pt>
                <c:pt idx="2">
                  <c:v>2.1067826030707955</c:v>
                </c:pt>
                <c:pt idx="3">
                  <c:v>0</c:v>
                </c:pt>
                <c:pt idx="4">
                  <c:v>2.6130831618330821</c:v>
                </c:pt>
                <c:pt idx="5">
                  <c:v>2.0858309797251708</c:v>
                </c:pt>
                <c:pt idx="6">
                  <c:v>0</c:v>
                </c:pt>
                <c:pt idx="7">
                  <c:v>0.94744174211873611</c:v>
                </c:pt>
                <c:pt idx="8">
                  <c:v>0</c:v>
                </c:pt>
                <c:pt idx="9">
                  <c:v>0.87401954188478626</c:v>
                </c:pt>
                <c:pt idx="10">
                  <c:v>0</c:v>
                </c:pt>
                <c:pt idx="11">
                  <c:v>0.9108408816612894</c:v>
                </c:pt>
                <c:pt idx="12">
                  <c:v>0</c:v>
                </c:pt>
                <c:pt idx="13">
                  <c:v>0.82361965137991733</c:v>
                </c:pt>
                <c:pt idx="14">
                  <c:v>0</c:v>
                </c:pt>
                <c:pt idx="15">
                  <c:v>0.91068486687563555</c:v>
                </c:pt>
                <c:pt idx="16">
                  <c:v>1.2383067356054274</c:v>
                </c:pt>
                <c:pt idx="17">
                  <c:v>0</c:v>
                </c:pt>
                <c:pt idx="18">
                  <c:v>0.86447592398989603</c:v>
                </c:pt>
                <c:pt idx="19">
                  <c:v>1.184765898731909</c:v>
                </c:pt>
                <c:pt idx="20">
                  <c:v>0</c:v>
                </c:pt>
              </c:numCache>
            </c:numRef>
          </c:val>
          <c:extLst>
            <c:ext xmlns:c16="http://schemas.microsoft.com/office/drawing/2014/chart" uri="{C3380CC4-5D6E-409C-BE32-E72D297353CC}">
              <c16:uniqueId val="{00000000-72FA-4DA1-8620-6391E780BA31}"/>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'GT7.1'!$AP$11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'GT7.1'!$Q$13:$Q$33</c:f>
              <c:numCache>
                <c:formatCode>0.00</c:formatCode>
                <c:ptCount val="21"/>
                <c:pt idx="0">
                  <c:v>0</c:v>
                </c:pt>
                <c:pt idx="1">
                  <c:v>2.0145833333372138</c:v>
                </c:pt>
                <c:pt idx="2">
                  <c:v>6.8541666666642413</c:v>
                </c:pt>
                <c:pt idx="3">
                  <c:v>6.8784722222262644</c:v>
                </c:pt>
                <c:pt idx="4">
                  <c:v>8.7631944444437977</c:v>
                </c:pt>
                <c:pt idx="5">
                  <c:v>10.795138888890506</c:v>
                </c:pt>
                <c:pt idx="6">
                  <c:v>10.781944444446708</c:v>
                </c:pt>
                <c:pt idx="7">
                  <c:v>13.960416666668607</c:v>
                </c:pt>
                <c:pt idx="8">
                  <c:v>13.999305555553292</c:v>
                </c:pt>
                <c:pt idx="9">
                  <c:v>16.792361111110949</c:v>
                </c:pt>
                <c:pt idx="10">
                  <c:v>16.827083333337214</c:v>
                </c:pt>
                <c:pt idx="11">
                  <c:v>20.756249999998545</c:v>
                </c:pt>
                <c:pt idx="12">
                  <c:v>20.788888888891961</c:v>
                </c:pt>
                <c:pt idx="13">
                  <c:v>22.789583333331393</c:v>
                </c:pt>
                <c:pt idx="14">
                  <c:v>22.816666666665697</c:v>
                </c:pt>
                <c:pt idx="15">
                  <c:v>24.766666666670062</c:v>
                </c:pt>
                <c:pt idx="16">
                  <c:v>27.793055555557657</c:v>
                </c:pt>
                <c:pt idx="17">
                  <c:v>27.823611111110949</c:v>
                </c:pt>
                <c:pt idx="18">
                  <c:v>29.756249999998545</c:v>
                </c:pt>
                <c:pt idx="19">
                  <c:v>34.978472222224809</c:v>
                </c:pt>
                <c:pt idx="20">
                  <c:v>35.014583333337214</c:v>
                </c:pt>
              </c:numCache>
            </c:numRef>
          </c:xVal>
          <c:yVal>
            <c:numRef>
              <c:f>'GT7.1'!$AP$13:$AP$33</c:f>
              <c:numCache>
                <c:formatCode>0.00E+00</c:formatCode>
                <c:ptCount val="21"/>
                <c:pt idx="0">
                  <c:v>0</c:v>
                </c:pt>
                <c:pt idx="1">
                  <c:v>4.7842612995309099E-2</c:v>
                </c:pt>
                <c:pt idx="2">
                  <c:v>8.2313775661707375E-2</c:v>
                </c:pt>
                <c:pt idx="4">
                  <c:v>0.11829842039059996</c:v>
                </c:pt>
                <c:pt idx="5">
                  <c:v>0.14626339854167048</c:v>
                </c:pt>
                <c:pt idx="7">
                  <c:v>0.32059365902289644</c:v>
                </c:pt>
                <c:pt idx="9">
                  <c:v>0.52501901754281299</c:v>
                </c:pt>
                <c:pt idx="11">
                  <c:v>0.67407839137065506</c:v>
                </c:pt>
                <c:pt idx="13">
                  <c:v>0.73490603187892922</c:v>
                </c:pt>
                <c:pt idx="15">
                  <c:v>0.78360404952488516</c:v>
                </c:pt>
                <c:pt idx="16">
                  <c:v>0.82714125901547209</c:v>
                </c:pt>
                <c:pt idx="18">
                  <c:v>0.86873739156511964</c:v>
                </c:pt>
                <c:pt idx="19">
                  <c:v>0.93187792410002479</c:v>
                </c:pt>
              </c:numCache>
            </c:numRef>
          </c:yVal>
          <c:smooth val="0"/>
          <c:extLst>
            <c:ext xmlns:c16="http://schemas.microsoft.com/office/drawing/2014/chart" uri="{C3380CC4-5D6E-409C-BE32-E72D297353CC}">
              <c16:uniqueId val="{00000000-6A34-4BC6-A5ED-89B26DB446E2}"/>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'GT7.2'!$S$11</c:f>
              <c:strCache>
                <c:ptCount val="1"/>
                <c:pt idx="0">
                  <c:v>CH4-corr</c:v>
                </c:pt>
              </c:strCache>
            </c:strRef>
          </c:tx>
          <c:spPr>
            <a:ln w="28575" cap="rnd">
              <a:solidFill>
                <a:schemeClr val="accent1"/>
              </a:solidFill>
              <a:round/>
            </a:ln>
            <a:effectLst/>
          </c:spPr>
          <c:marker>
            <c:symbol val="none"/>
          </c:marker>
          <c:cat>
            <c:numRef>
              <c:f>'GT7.2'!$Q$13:$Q$36</c:f>
              <c:numCache>
                <c:formatCode>0.00</c:formatCode>
                <c:ptCount val="24"/>
                <c:pt idx="0">
                  <c:v>0</c:v>
                </c:pt>
                <c:pt idx="1">
                  <c:v>1.0256944444408873</c:v>
                </c:pt>
                <c:pt idx="2">
                  <c:v>1.0986111111051287</c:v>
                </c:pt>
                <c:pt idx="3">
                  <c:v>5.8541666666642413</c:v>
                </c:pt>
                <c:pt idx="4">
                  <c:v>5.8784722222189885</c:v>
                </c:pt>
                <c:pt idx="5">
                  <c:v>7.7638888888832298</c:v>
                </c:pt>
                <c:pt idx="6">
                  <c:v>7.8006944444423425</c:v>
                </c:pt>
                <c:pt idx="7">
                  <c:v>9.7951388888832298</c:v>
                </c:pt>
                <c:pt idx="8">
                  <c:v>12.963888888887595</c:v>
                </c:pt>
                <c:pt idx="9">
                  <c:v>13</c:v>
                </c:pt>
                <c:pt idx="10">
                  <c:v>15.795833333329938</c:v>
                </c:pt>
                <c:pt idx="11">
                  <c:v>15.827777777776646</c:v>
                </c:pt>
                <c:pt idx="12">
                  <c:v>19.756249999998545</c:v>
                </c:pt>
                <c:pt idx="13">
                  <c:v>19.789583333331393</c:v>
                </c:pt>
                <c:pt idx="14">
                  <c:v>21.790277777770825</c:v>
                </c:pt>
                <c:pt idx="15">
                  <c:v>21.818055555551837</c:v>
                </c:pt>
                <c:pt idx="16">
                  <c:v>23.765972222216078</c:v>
                </c:pt>
                <c:pt idx="17">
                  <c:v>23.798611111109494</c:v>
                </c:pt>
                <c:pt idx="18">
                  <c:v>26.79374999999709</c:v>
                </c:pt>
                <c:pt idx="19">
                  <c:v>26.824305555550382</c:v>
                </c:pt>
                <c:pt idx="20">
                  <c:v>28.760416666664241</c:v>
                </c:pt>
                <c:pt idx="21">
                  <c:v>28.784722222218988</c:v>
                </c:pt>
                <c:pt idx="22">
                  <c:v>33.978472222217533</c:v>
                </c:pt>
                <c:pt idx="23">
                  <c:v>34.014583333329938</c:v>
                </c:pt>
              </c:numCache>
            </c:numRef>
          </c:cat>
          <c:val>
            <c:numRef>
              <c:f>'GT7.2'!$S$13:$S$36</c:f>
              <c:numCache>
                <c:formatCode>General</c:formatCode>
                <c:ptCount val="24"/>
                <c:pt idx="0">
                  <c:v>0</c:v>
                </c:pt>
                <c:pt idx="1">
                  <c:v>0.46221864951768493</c:v>
                </c:pt>
                <c:pt idx="2">
                  <c:v>0</c:v>
                </c:pt>
                <c:pt idx="3">
                  <c:v>0.2716571083610021</c:v>
                </c:pt>
                <c:pt idx="4">
                  <c:v>0</c:v>
                </c:pt>
                <c:pt idx="5">
                  <c:v>3.043522369889419E-2</c:v>
                </c:pt>
                <c:pt idx="6">
                  <c:v>0</c:v>
                </c:pt>
                <c:pt idx="7">
                  <c:v>1.7610284406093159E-2</c:v>
                </c:pt>
                <c:pt idx="8">
                  <c:v>4.0416287763968883E-2</c:v>
                </c:pt>
                <c:pt idx="9">
                  <c:v>0</c:v>
                </c:pt>
                <c:pt idx="10">
                  <c:v>2.0393596410727032E-2</c:v>
                </c:pt>
                <c:pt idx="11">
                  <c:v>0</c:v>
                </c:pt>
                <c:pt idx="12">
                  <c:v>8.2678792889623806E-2</c:v>
                </c:pt>
                <c:pt idx="13">
                  <c:v>0</c:v>
                </c:pt>
                <c:pt idx="14">
                  <c:v>8.2525273364968024E-2</c:v>
                </c:pt>
                <c:pt idx="15">
                  <c:v>0</c:v>
                </c:pt>
                <c:pt idx="16">
                  <c:v>1.0338054378166029E-2</c:v>
                </c:pt>
                <c:pt idx="17">
                  <c:v>0</c:v>
                </c:pt>
                <c:pt idx="18">
                  <c:v>4.0766408479412965E-2</c:v>
                </c:pt>
                <c:pt idx="19">
                  <c:v>0</c:v>
                </c:pt>
                <c:pt idx="20">
                  <c:v>1.020304050607081E-2</c:v>
                </c:pt>
                <c:pt idx="21">
                  <c:v>0</c:v>
                </c:pt>
                <c:pt idx="22">
                  <c:v>0.2542976299460889</c:v>
                </c:pt>
                <c:pt idx="23">
                  <c:v>0</c:v>
                </c:pt>
              </c:numCache>
            </c:numRef>
          </c:val>
          <c:smooth val="0"/>
          <c:extLst>
            <c:ext xmlns:c16="http://schemas.microsoft.com/office/drawing/2014/chart" uri="{C3380CC4-5D6E-409C-BE32-E72D297353CC}">
              <c16:uniqueId val="{00000000-20B7-4809-93BD-87AA26A2F239}"/>
            </c:ext>
          </c:extLst>
        </c:ser>
        <c:ser>
          <c:idx val="1"/>
          <c:order val="1"/>
          <c:tx>
            <c:strRef>
              <c:f>'GT7.2'!$T$11</c:f>
              <c:strCache>
                <c:ptCount val="1"/>
                <c:pt idx="0">
                  <c:v>CO2-corr</c:v>
                </c:pt>
              </c:strCache>
            </c:strRef>
          </c:tx>
          <c:spPr>
            <a:ln w="28575" cap="rnd">
              <a:solidFill>
                <a:schemeClr val="accent2"/>
              </a:solidFill>
              <a:round/>
            </a:ln>
            <a:effectLst/>
          </c:spPr>
          <c:marker>
            <c:symbol val="none"/>
          </c:marker>
          <c:cat>
            <c:numRef>
              <c:f>'GT7.2'!$Q$13:$Q$36</c:f>
              <c:numCache>
                <c:formatCode>0.00</c:formatCode>
                <c:ptCount val="24"/>
                <c:pt idx="0">
                  <c:v>0</c:v>
                </c:pt>
                <c:pt idx="1">
                  <c:v>1.0256944444408873</c:v>
                </c:pt>
                <c:pt idx="2">
                  <c:v>1.0986111111051287</c:v>
                </c:pt>
                <c:pt idx="3">
                  <c:v>5.8541666666642413</c:v>
                </c:pt>
                <c:pt idx="4">
                  <c:v>5.8784722222189885</c:v>
                </c:pt>
                <c:pt idx="5">
                  <c:v>7.7638888888832298</c:v>
                </c:pt>
                <c:pt idx="6">
                  <c:v>7.8006944444423425</c:v>
                </c:pt>
                <c:pt idx="7">
                  <c:v>9.7951388888832298</c:v>
                </c:pt>
                <c:pt idx="8">
                  <c:v>12.963888888887595</c:v>
                </c:pt>
                <c:pt idx="9">
                  <c:v>13</c:v>
                </c:pt>
                <c:pt idx="10">
                  <c:v>15.795833333329938</c:v>
                </c:pt>
                <c:pt idx="11">
                  <c:v>15.827777777776646</c:v>
                </c:pt>
                <c:pt idx="12">
                  <c:v>19.756249999998545</c:v>
                </c:pt>
                <c:pt idx="13">
                  <c:v>19.789583333331393</c:v>
                </c:pt>
                <c:pt idx="14">
                  <c:v>21.790277777770825</c:v>
                </c:pt>
                <c:pt idx="15">
                  <c:v>21.818055555551837</c:v>
                </c:pt>
                <c:pt idx="16">
                  <c:v>23.765972222216078</c:v>
                </c:pt>
                <c:pt idx="17">
                  <c:v>23.798611111109494</c:v>
                </c:pt>
                <c:pt idx="18">
                  <c:v>26.79374999999709</c:v>
                </c:pt>
                <c:pt idx="19">
                  <c:v>26.824305555550382</c:v>
                </c:pt>
                <c:pt idx="20">
                  <c:v>28.760416666664241</c:v>
                </c:pt>
                <c:pt idx="21">
                  <c:v>28.784722222218988</c:v>
                </c:pt>
                <c:pt idx="22">
                  <c:v>33.978472222217533</c:v>
                </c:pt>
                <c:pt idx="23">
                  <c:v>34.014583333329938</c:v>
                </c:pt>
              </c:numCache>
            </c:numRef>
          </c:cat>
          <c:val>
            <c:numRef>
              <c:f>'GT7.2'!$T$13:$T$36</c:f>
              <c:numCache>
                <c:formatCode>General</c:formatCode>
                <c:ptCount val="24"/>
                <c:pt idx="0">
                  <c:v>0.03</c:v>
                </c:pt>
                <c:pt idx="1">
                  <c:v>4.4312700964630229</c:v>
                </c:pt>
                <c:pt idx="2">
                  <c:v>1.1984021304926764</c:v>
                </c:pt>
                <c:pt idx="3">
                  <c:v>6.0368246302444915</c:v>
                </c:pt>
                <c:pt idx="4">
                  <c:v>0.85338268558502972</c:v>
                </c:pt>
                <c:pt idx="5">
                  <c:v>2.9826519224916304</c:v>
                </c:pt>
                <c:pt idx="6">
                  <c:v>0.59401884473576394</c:v>
                </c:pt>
                <c:pt idx="7">
                  <c:v>2.2453112617768776</c:v>
                </c:pt>
                <c:pt idx="8">
                  <c:v>5.6683843588966356</c:v>
                </c:pt>
                <c:pt idx="9">
                  <c:v>1.0993527175588205</c:v>
                </c:pt>
                <c:pt idx="10">
                  <c:v>5.4450902416641176</c:v>
                </c:pt>
                <c:pt idx="11">
                  <c:v>0.93109869646182497</c:v>
                </c:pt>
                <c:pt idx="12">
                  <c:v>7.4307565109549394</c:v>
                </c:pt>
                <c:pt idx="13">
                  <c:v>1.1626699885809197</c:v>
                </c:pt>
                <c:pt idx="14">
                  <c:v>4.4976273983907582</c:v>
                </c:pt>
                <c:pt idx="15">
                  <c:v>0.61728395061728392</c:v>
                </c:pt>
                <c:pt idx="16">
                  <c:v>3.5769668148454459</c:v>
                </c:pt>
                <c:pt idx="17">
                  <c:v>0.58333333333333337</c:v>
                </c:pt>
                <c:pt idx="18">
                  <c:v>3.811659192825112</c:v>
                </c:pt>
                <c:pt idx="19">
                  <c:v>0.64069443009197058</c:v>
                </c:pt>
                <c:pt idx="20">
                  <c:v>2.5405570860116318</c:v>
                </c:pt>
                <c:pt idx="21">
                  <c:v>0.32938754503345341</c:v>
                </c:pt>
                <c:pt idx="22">
                  <c:v>4.1704811311158574</c:v>
                </c:pt>
                <c:pt idx="23">
                  <c:v>0.67658998646820034</c:v>
                </c:pt>
              </c:numCache>
            </c:numRef>
          </c:val>
          <c:smooth val="0"/>
          <c:extLst>
            <c:ext xmlns:c16="http://schemas.microsoft.com/office/drawing/2014/chart" uri="{C3380CC4-5D6E-409C-BE32-E72D297353CC}">
              <c16:uniqueId val="{00000001-20B7-4809-93BD-87AA26A2F239}"/>
            </c:ext>
          </c:extLst>
        </c:ser>
        <c:ser>
          <c:idx val="2"/>
          <c:order val="2"/>
          <c:tx>
            <c:strRef>
              <c:f>'GT7.2'!$U$11</c:f>
              <c:strCache>
                <c:ptCount val="1"/>
                <c:pt idx="0">
                  <c:v>O2-corr</c:v>
                </c:pt>
              </c:strCache>
            </c:strRef>
          </c:tx>
          <c:spPr>
            <a:ln w="28575" cap="rnd">
              <a:solidFill>
                <a:schemeClr val="accent3"/>
              </a:solidFill>
              <a:round/>
            </a:ln>
            <a:effectLst/>
          </c:spPr>
          <c:marker>
            <c:symbol val="none"/>
          </c:marker>
          <c:cat>
            <c:numRef>
              <c:f>'GT7.2'!$Q$13:$Q$36</c:f>
              <c:numCache>
                <c:formatCode>0.00</c:formatCode>
                <c:ptCount val="24"/>
                <c:pt idx="0">
                  <c:v>0</c:v>
                </c:pt>
                <c:pt idx="1">
                  <c:v>1.0256944444408873</c:v>
                </c:pt>
                <c:pt idx="2">
                  <c:v>1.0986111111051287</c:v>
                </c:pt>
                <c:pt idx="3">
                  <c:v>5.8541666666642413</c:v>
                </c:pt>
                <c:pt idx="4">
                  <c:v>5.8784722222189885</c:v>
                </c:pt>
                <c:pt idx="5">
                  <c:v>7.7638888888832298</c:v>
                </c:pt>
                <c:pt idx="6">
                  <c:v>7.8006944444423425</c:v>
                </c:pt>
                <c:pt idx="7">
                  <c:v>9.7951388888832298</c:v>
                </c:pt>
                <c:pt idx="8">
                  <c:v>12.963888888887595</c:v>
                </c:pt>
                <c:pt idx="9">
                  <c:v>13</c:v>
                </c:pt>
                <c:pt idx="10">
                  <c:v>15.795833333329938</c:v>
                </c:pt>
                <c:pt idx="11">
                  <c:v>15.827777777776646</c:v>
                </c:pt>
                <c:pt idx="12">
                  <c:v>19.756249999998545</c:v>
                </c:pt>
                <c:pt idx="13">
                  <c:v>19.789583333331393</c:v>
                </c:pt>
                <c:pt idx="14">
                  <c:v>21.790277777770825</c:v>
                </c:pt>
                <c:pt idx="15">
                  <c:v>21.818055555551837</c:v>
                </c:pt>
                <c:pt idx="16">
                  <c:v>23.765972222216078</c:v>
                </c:pt>
                <c:pt idx="17">
                  <c:v>23.798611111109494</c:v>
                </c:pt>
                <c:pt idx="18">
                  <c:v>26.79374999999709</c:v>
                </c:pt>
                <c:pt idx="19">
                  <c:v>26.824305555550382</c:v>
                </c:pt>
                <c:pt idx="20">
                  <c:v>28.760416666664241</c:v>
                </c:pt>
                <c:pt idx="21">
                  <c:v>28.784722222218988</c:v>
                </c:pt>
                <c:pt idx="22">
                  <c:v>33.978472222217533</c:v>
                </c:pt>
                <c:pt idx="23">
                  <c:v>34.014583333329938</c:v>
                </c:pt>
              </c:numCache>
            </c:numRef>
          </c:cat>
          <c:val>
            <c:numRef>
              <c:f>'GT7.2'!$U$13:$U$36</c:f>
              <c:numCache>
                <c:formatCode>General</c:formatCode>
                <c:ptCount val="24"/>
                <c:pt idx="0">
                  <c:v>21.9</c:v>
                </c:pt>
                <c:pt idx="1">
                  <c:v>6.9131832797427659</c:v>
                </c:pt>
                <c:pt idx="2">
                  <c:v>20.782546348458467</c:v>
                </c:pt>
                <c:pt idx="3">
                  <c:v>5.4331421672200424</c:v>
                </c:pt>
                <c:pt idx="4">
                  <c:v>21.026115566522723</c:v>
                </c:pt>
                <c:pt idx="5">
                  <c:v>15.948057218220555</c:v>
                </c:pt>
                <c:pt idx="6">
                  <c:v>21.118394100778371</c:v>
                </c:pt>
                <c:pt idx="7">
                  <c:v>16.412785066478826</c:v>
                </c:pt>
                <c:pt idx="8">
                  <c:v>9.0532484591290299</c:v>
                </c:pt>
                <c:pt idx="9">
                  <c:v>20.939073255933423</c:v>
                </c:pt>
                <c:pt idx="10">
                  <c:v>13.36800244723157</c:v>
                </c:pt>
                <c:pt idx="11">
                  <c:v>21.011793916821848</c:v>
                </c:pt>
                <c:pt idx="12">
                  <c:v>10.376188507647786</c:v>
                </c:pt>
                <c:pt idx="13">
                  <c:v>20.969583722620158</c:v>
                </c:pt>
                <c:pt idx="14">
                  <c:v>15.525067051784609</c:v>
                </c:pt>
                <c:pt idx="15">
                  <c:v>21.102741159238338</c:v>
                </c:pt>
                <c:pt idx="16">
                  <c:v>16.282435645611496</c:v>
                </c:pt>
                <c:pt idx="17">
                  <c:v>21.09375</c:v>
                </c:pt>
                <c:pt idx="18">
                  <c:v>15.195678760701181</c:v>
                </c:pt>
                <c:pt idx="19">
                  <c:v>21.070579725121419</c:v>
                </c:pt>
                <c:pt idx="20">
                  <c:v>17.783899602081423</c:v>
                </c:pt>
                <c:pt idx="21">
                  <c:v>21.173443129181678</c:v>
                </c:pt>
                <c:pt idx="22">
                  <c:v>14.006713457430576</c:v>
                </c:pt>
                <c:pt idx="23">
                  <c:v>21.057562194233373</c:v>
                </c:pt>
              </c:numCache>
            </c:numRef>
          </c:val>
          <c:smooth val="0"/>
          <c:extLst>
            <c:ext xmlns:c16="http://schemas.microsoft.com/office/drawing/2014/chart" uri="{C3380CC4-5D6E-409C-BE32-E72D297353CC}">
              <c16:uniqueId val="{00000002-20B7-4809-93BD-87AA26A2F239}"/>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'GT7.2'!$AK$11</c:f>
              <c:strCache>
                <c:ptCount val="1"/>
                <c:pt idx="0">
                  <c:v>O2 consumed </c:v>
                </c:pt>
              </c:strCache>
            </c:strRef>
          </c:tx>
          <c:spPr>
            <a:solidFill>
              <a:schemeClr val="accent1"/>
            </a:solidFill>
            <a:ln>
              <a:noFill/>
            </a:ln>
            <a:effectLst/>
          </c:spPr>
          <c:invertIfNegative val="0"/>
          <c:val>
            <c:numRef>
              <c:f>'GT7.2'!$AK$13:$AK$36</c:f>
              <c:numCache>
                <c:formatCode>General</c:formatCode>
                <c:ptCount val="24"/>
                <c:pt idx="0" formatCode="0.00E+00">
                  <c:v>0</c:v>
                </c:pt>
                <c:pt idx="1">
                  <c:v>7.1217830935081383E-3</c:v>
                </c:pt>
                <c:pt idx="3">
                  <c:v>7.1550349895020595E-3</c:v>
                </c:pt>
                <c:pt idx="5">
                  <c:v>2.4936962449849326E-3</c:v>
                </c:pt>
                <c:pt idx="7">
                  <c:v>2.3390161549432754E-3</c:v>
                </c:pt>
                <c:pt idx="8">
                  <c:v>3.2872449660993107E-3</c:v>
                </c:pt>
                <c:pt idx="10">
                  <c:v>3.5967137865778225E-3</c:v>
                </c:pt>
                <c:pt idx="12">
                  <c:v>4.934931248466886E-3</c:v>
                </c:pt>
                <c:pt idx="14">
                  <c:v>2.6050761758145309E-3</c:v>
                </c:pt>
                <c:pt idx="16">
                  <c:v>2.3148579557706241E-3</c:v>
                </c:pt>
                <c:pt idx="18">
                  <c:v>2.8296156643333372E-3</c:v>
                </c:pt>
                <c:pt idx="20">
                  <c:v>1.585671793045907E-3</c:v>
                </c:pt>
                <c:pt idx="22">
                  <c:v>3.4393383816834861E-3</c:v>
                </c:pt>
              </c:numCache>
            </c:numRef>
          </c:val>
          <c:extLst>
            <c:ext xmlns:c16="http://schemas.microsoft.com/office/drawing/2014/chart" uri="{C3380CC4-5D6E-409C-BE32-E72D297353CC}">
              <c16:uniqueId val="{00000000-34B4-461E-9272-83DF2590BEE6}"/>
            </c:ext>
          </c:extLst>
        </c:ser>
        <c:ser>
          <c:idx val="1"/>
          <c:order val="1"/>
          <c:tx>
            <c:strRef>
              <c:f>'GT7.2'!$AL$11</c:f>
              <c:strCache>
                <c:ptCount val="1"/>
                <c:pt idx="0">
                  <c:v>CO2 produced </c:v>
                </c:pt>
              </c:strCache>
            </c:strRef>
          </c:tx>
          <c:spPr>
            <a:solidFill>
              <a:schemeClr val="accent2"/>
            </a:solidFill>
            <a:ln>
              <a:noFill/>
            </a:ln>
            <a:effectLst/>
          </c:spPr>
          <c:invertIfNegative val="0"/>
          <c:val>
            <c:numRef>
              <c:f>'GT7.2'!$AL$13:$AL$36</c:f>
              <c:numCache>
                <c:formatCode>General</c:formatCode>
                <c:ptCount val="24"/>
                <c:pt idx="0" formatCode="0.00E+00">
                  <c:v>0</c:v>
                </c:pt>
                <c:pt idx="1">
                  <c:v>1.7428817453999093E-3</c:v>
                </c:pt>
                <c:pt idx="3">
                  <c:v>1.8377288148093184E-3</c:v>
                </c:pt>
                <c:pt idx="5">
                  <c:v>8.7711180359729621E-4</c:v>
                </c:pt>
                <c:pt idx="7">
                  <c:v>6.9645675379426922E-4</c:v>
                </c:pt>
                <c:pt idx="8">
                  <c:v>1.3634232208967127E-3</c:v>
                </c:pt>
                <c:pt idx="10">
                  <c:v>1.8084644206536179E-3</c:v>
                </c:pt>
                <c:pt idx="12">
                  <c:v>2.7155749641550537E-3</c:v>
                </c:pt>
                <c:pt idx="14">
                  <c:v>1.4233924536035383E-3</c:v>
                </c:pt>
                <c:pt idx="16">
                  <c:v>1.25541698599555E-3</c:v>
                </c:pt>
                <c:pt idx="18">
                  <c:v>1.3670758874299452E-3</c:v>
                </c:pt>
                <c:pt idx="20">
                  <c:v>8.1752233910095695E-4</c:v>
                </c:pt>
                <c:pt idx="22">
                  <c:v>1.6398509446202006E-3</c:v>
                </c:pt>
              </c:numCache>
            </c:numRef>
          </c:val>
          <c:extLst>
            <c:ext xmlns:c16="http://schemas.microsoft.com/office/drawing/2014/chart" uri="{C3380CC4-5D6E-409C-BE32-E72D297353CC}">
              <c16:uniqueId val="{00000001-34B4-461E-9272-83DF2590BEE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'GT7.2'!$BA$11</c:f>
              <c:strCache>
                <c:ptCount val="1"/>
                <c:pt idx="0">
                  <c:v>Ratio O2/CO2</c:v>
                </c:pt>
              </c:strCache>
            </c:strRef>
          </c:tx>
          <c:spPr>
            <a:solidFill>
              <a:schemeClr val="accent1"/>
            </a:solidFill>
            <a:ln>
              <a:noFill/>
            </a:ln>
            <a:effectLst/>
          </c:spPr>
          <c:invertIfNegative val="0"/>
          <c:val>
            <c:numRef>
              <c:f>'GT7.2'!$BA$13:$BA$36</c:f>
              <c:numCache>
                <c:formatCode>0.00E+00</c:formatCode>
                <c:ptCount val="24"/>
                <c:pt idx="0">
                  <c:v>0</c:v>
                </c:pt>
                <c:pt idx="1">
                  <c:v>1.7688938803433052</c:v>
                </c:pt>
                <c:pt idx="2">
                  <c:v>0</c:v>
                </c:pt>
                <c:pt idx="3">
                  <c:v>1.6928162306366026</c:v>
                </c:pt>
                <c:pt idx="4">
                  <c:v>0</c:v>
                </c:pt>
                <c:pt idx="5">
                  <c:v>1.2361411765201529</c:v>
                </c:pt>
                <c:pt idx="6">
                  <c:v>0</c:v>
                </c:pt>
                <c:pt idx="7">
                  <c:v>1.4602208474709668</c:v>
                </c:pt>
                <c:pt idx="8">
                  <c:v>1.0482885931298644</c:v>
                </c:pt>
                <c:pt idx="9">
                  <c:v>0</c:v>
                </c:pt>
                <c:pt idx="10">
                  <c:v>0.86471976951104867</c:v>
                </c:pt>
                <c:pt idx="11">
                  <c:v>0</c:v>
                </c:pt>
                <c:pt idx="12">
                  <c:v>0.79013043000339001</c:v>
                </c:pt>
                <c:pt idx="13">
                  <c:v>0</c:v>
                </c:pt>
                <c:pt idx="14">
                  <c:v>0.79574743167018713</c:v>
                </c:pt>
                <c:pt idx="15">
                  <c:v>0</c:v>
                </c:pt>
                <c:pt idx="16">
                  <c:v>0.80170727395163155</c:v>
                </c:pt>
                <c:pt idx="17">
                  <c:v>0</c:v>
                </c:pt>
                <c:pt idx="18">
                  <c:v>0.89994155343902071</c:v>
                </c:pt>
                <c:pt idx="19">
                  <c:v>0</c:v>
                </c:pt>
                <c:pt idx="20">
                  <c:v>0.84332145506999734</c:v>
                </c:pt>
                <c:pt idx="21">
                  <c:v>0</c:v>
                </c:pt>
                <c:pt idx="22">
                  <c:v>0.91190586593191436</c:v>
                </c:pt>
                <c:pt idx="23">
                  <c:v>0</c:v>
                </c:pt>
              </c:numCache>
            </c:numRef>
          </c:val>
          <c:extLst>
            <c:ext xmlns:c16="http://schemas.microsoft.com/office/drawing/2014/chart" uri="{C3380CC4-5D6E-409C-BE32-E72D297353CC}">
              <c16:uniqueId val="{00000000-1D7A-42F1-B7F1-2A243D3D487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'GT7.2'!$AP$11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'GT7.2'!$Q$13:$Q$36</c:f>
              <c:numCache>
                <c:formatCode>0.00</c:formatCode>
                <c:ptCount val="24"/>
                <c:pt idx="0">
                  <c:v>0</c:v>
                </c:pt>
                <c:pt idx="1">
                  <c:v>1.0256944444408873</c:v>
                </c:pt>
                <c:pt idx="2">
                  <c:v>1.0986111111051287</c:v>
                </c:pt>
                <c:pt idx="3">
                  <c:v>5.8541666666642413</c:v>
                </c:pt>
                <c:pt idx="4">
                  <c:v>5.8784722222189885</c:v>
                </c:pt>
                <c:pt idx="5">
                  <c:v>7.7638888888832298</c:v>
                </c:pt>
                <c:pt idx="6">
                  <c:v>7.8006944444423425</c:v>
                </c:pt>
                <c:pt idx="7">
                  <c:v>9.7951388888832298</c:v>
                </c:pt>
                <c:pt idx="8">
                  <c:v>12.963888888887595</c:v>
                </c:pt>
                <c:pt idx="9">
                  <c:v>13</c:v>
                </c:pt>
                <c:pt idx="10">
                  <c:v>15.795833333329938</c:v>
                </c:pt>
                <c:pt idx="11">
                  <c:v>15.827777777776646</c:v>
                </c:pt>
                <c:pt idx="12">
                  <c:v>19.756249999998545</c:v>
                </c:pt>
                <c:pt idx="13">
                  <c:v>19.789583333331393</c:v>
                </c:pt>
                <c:pt idx="14">
                  <c:v>21.790277777770825</c:v>
                </c:pt>
                <c:pt idx="15">
                  <c:v>21.818055555551837</c:v>
                </c:pt>
                <c:pt idx="16">
                  <c:v>23.765972222216078</c:v>
                </c:pt>
                <c:pt idx="17">
                  <c:v>23.798611111109494</c:v>
                </c:pt>
                <c:pt idx="18">
                  <c:v>26.79374999999709</c:v>
                </c:pt>
                <c:pt idx="19">
                  <c:v>26.824305555550382</c:v>
                </c:pt>
                <c:pt idx="20">
                  <c:v>28.760416666664241</c:v>
                </c:pt>
                <c:pt idx="21">
                  <c:v>28.784722222218988</c:v>
                </c:pt>
                <c:pt idx="22">
                  <c:v>33.978472222217533</c:v>
                </c:pt>
                <c:pt idx="23">
                  <c:v>34.014583333329938</c:v>
                </c:pt>
              </c:numCache>
            </c:numRef>
          </c:xVal>
          <c:yVal>
            <c:numRef>
              <c:f>'GT7.2'!$AP$13:$AP$36</c:f>
              <c:numCache>
                <c:formatCode>0.00E+00</c:formatCode>
                <c:ptCount val="24"/>
                <c:pt idx="0">
                  <c:v>0</c:v>
                </c:pt>
                <c:pt idx="1">
                  <c:v>0.15046800509488223</c:v>
                </c:pt>
                <c:pt idx="3">
                  <c:v>0.30237718480646847</c:v>
                </c:pt>
                <c:pt idx="5">
                  <c:v>0.37189409773926202</c:v>
                </c:pt>
                <c:pt idx="7">
                  <c:v>0.42688994761345433</c:v>
                </c:pt>
                <c:pt idx="8">
                  <c:v>0.53410814737112156</c:v>
                </c:pt>
                <c:pt idx="10">
                  <c:v>0.67605812716481084</c:v>
                </c:pt>
                <c:pt idx="12">
                  <c:v>0.89092041102150821</c:v>
                </c:pt>
                <c:pt idx="14">
                  <c:v>1.0048965846706641</c:v>
                </c:pt>
                <c:pt idx="16">
                  <c:v>1.103315694750326</c:v>
                </c:pt>
                <c:pt idx="18">
                  <c:v>1.2114703150115209</c:v>
                </c:pt>
                <c:pt idx="20">
                  <c:v>1.2756810728277281</c:v>
                </c:pt>
                <c:pt idx="22">
                  <c:v>1.4122988718432889</c:v>
                </c:pt>
              </c:numCache>
            </c:numRef>
          </c:yVal>
          <c:smooth val="0"/>
          <c:extLst>
            <c:ext xmlns:c16="http://schemas.microsoft.com/office/drawing/2014/chart" uri="{C3380CC4-5D6E-409C-BE32-E72D297353CC}">
              <c16:uniqueId val="{00000000-1AFA-41D3-9FB8-B0ED6C37E36D}"/>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'GT8.1'!$S$11</c:f>
              <c:strCache>
                <c:ptCount val="1"/>
                <c:pt idx="0">
                  <c:v>CH4-corr</c:v>
                </c:pt>
              </c:strCache>
            </c:strRef>
          </c:tx>
          <c:spPr>
            <a:ln w="28575" cap="rnd">
              <a:solidFill>
                <a:schemeClr val="accent1"/>
              </a:solidFill>
              <a:round/>
            </a:ln>
            <a:effectLst/>
          </c:spPr>
          <c:marker>
            <c:symbol val="none"/>
          </c:marker>
          <c:cat>
            <c:numRef>
              <c:f>'GT8.1'!$Q$13:$Q$33</c:f>
              <c:numCache>
                <c:formatCode>0.00</c:formatCode>
                <c:ptCount val="21"/>
                <c:pt idx="0">
                  <c:v>0</c:v>
                </c:pt>
                <c:pt idx="1">
                  <c:v>1.0277777777810115</c:v>
                </c:pt>
                <c:pt idx="2">
                  <c:v>1.1041666666715173</c:v>
                </c:pt>
                <c:pt idx="3">
                  <c:v>5.8555555555576575</c:v>
                </c:pt>
                <c:pt idx="4">
                  <c:v>5.8805555555591127</c:v>
                </c:pt>
                <c:pt idx="5">
                  <c:v>7.765277777776646</c:v>
                </c:pt>
                <c:pt idx="6">
                  <c:v>7.8020833333357587</c:v>
                </c:pt>
                <c:pt idx="7">
                  <c:v>12.965277777781012</c:v>
                </c:pt>
                <c:pt idx="8">
                  <c:v>13.001388888893416</c:v>
                </c:pt>
                <c:pt idx="9">
                  <c:v>15.797222222223354</c:v>
                </c:pt>
                <c:pt idx="10">
                  <c:v>15.829166666670062</c:v>
                </c:pt>
                <c:pt idx="11">
                  <c:v>19.761805555557657</c:v>
                </c:pt>
                <c:pt idx="12">
                  <c:v>19.791666666671517</c:v>
                </c:pt>
                <c:pt idx="13">
                  <c:v>21.790972222224809</c:v>
                </c:pt>
                <c:pt idx="14">
                  <c:v>21.818749999998545</c:v>
                </c:pt>
                <c:pt idx="15">
                  <c:v>23.767361111109494</c:v>
                </c:pt>
                <c:pt idx="16">
                  <c:v>26.795138888890506</c:v>
                </c:pt>
                <c:pt idx="17">
                  <c:v>26.825694444443798</c:v>
                </c:pt>
                <c:pt idx="18">
                  <c:v>28.761805555557657</c:v>
                </c:pt>
                <c:pt idx="19">
                  <c:v>33.979861111110949</c:v>
                </c:pt>
                <c:pt idx="20">
                  <c:v>34.014583333337214</c:v>
                </c:pt>
              </c:numCache>
            </c:numRef>
          </c:cat>
          <c:val>
            <c:numRef>
              <c:f>'GT8.1'!$S$13:$S$33</c:f>
              <c:numCache>
                <c:formatCode>General</c:formatCode>
                <c:ptCount val="21"/>
                <c:pt idx="0">
                  <c:v>0</c:v>
                </c:pt>
                <c:pt idx="1">
                  <c:v>0.44534412955465591</c:v>
                </c:pt>
                <c:pt idx="2">
                  <c:v>0</c:v>
                </c:pt>
                <c:pt idx="3">
                  <c:v>0.10116337885685382</c:v>
                </c:pt>
                <c:pt idx="4">
                  <c:v>0</c:v>
                </c:pt>
                <c:pt idx="5">
                  <c:v>2.0350020350020349E-2</c:v>
                </c:pt>
                <c:pt idx="6">
                  <c:v>0</c:v>
                </c:pt>
                <c:pt idx="7">
                  <c:v>5.0612410162971966E-2</c:v>
                </c:pt>
                <c:pt idx="8">
                  <c:v>0</c:v>
                </c:pt>
                <c:pt idx="9">
                  <c:v>1.0224948875255623E-2</c:v>
                </c:pt>
                <c:pt idx="10">
                  <c:v>0</c:v>
                </c:pt>
                <c:pt idx="11">
                  <c:v>2.0597322348094749E-2</c:v>
                </c:pt>
                <c:pt idx="12">
                  <c:v>0</c:v>
                </c:pt>
                <c:pt idx="13">
                  <c:v>0.19697283848227246</c:v>
                </c:pt>
                <c:pt idx="14">
                  <c:v>0</c:v>
                </c:pt>
                <c:pt idx="15">
                  <c:v>0</c:v>
                </c:pt>
                <c:pt idx="16">
                  <c:v>3.0571690614490978E-2</c:v>
                </c:pt>
                <c:pt idx="17">
                  <c:v>0</c:v>
                </c:pt>
                <c:pt idx="18">
                  <c:v>0</c:v>
                </c:pt>
                <c:pt idx="19">
                  <c:v>2.0393596410727032E-2</c:v>
                </c:pt>
                <c:pt idx="20">
                  <c:v>0</c:v>
                </c:pt>
              </c:numCache>
            </c:numRef>
          </c:val>
          <c:smooth val="0"/>
          <c:extLst>
            <c:ext xmlns:c16="http://schemas.microsoft.com/office/drawing/2014/chart" uri="{C3380CC4-5D6E-409C-BE32-E72D297353CC}">
              <c16:uniqueId val="{00000000-40D7-45B4-83C6-1F30E0E9E7F7}"/>
            </c:ext>
          </c:extLst>
        </c:ser>
        <c:ser>
          <c:idx val="1"/>
          <c:order val="1"/>
          <c:tx>
            <c:strRef>
              <c:f>'GT8.1'!$T$11</c:f>
              <c:strCache>
                <c:ptCount val="1"/>
                <c:pt idx="0">
                  <c:v>CO2-corr</c:v>
                </c:pt>
              </c:strCache>
            </c:strRef>
          </c:tx>
          <c:spPr>
            <a:ln w="28575" cap="rnd">
              <a:solidFill>
                <a:schemeClr val="accent2"/>
              </a:solidFill>
              <a:round/>
            </a:ln>
            <a:effectLst/>
          </c:spPr>
          <c:marker>
            <c:symbol val="none"/>
          </c:marker>
          <c:cat>
            <c:numRef>
              <c:f>'GT8.1'!$Q$13:$Q$33</c:f>
              <c:numCache>
                <c:formatCode>0.00</c:formatCode>
                <c:ptCount val="21"/>
                <c:pt idx="0">
                  <c:v>0</c:v>
                </c:pt>
                <c:pt idx="1">
                  <c:v>1.0277777777810115</c:v>
                </c:pt>
                <c:pt idx="2">
                  <c:v>1.1041666666715173</c:v>
                </c:pt>
                <c:pt idx="3">
                  <c:v>5.8555555555576575</c:v>
                </c:pt>
                <c:pt idx="4">
                  <c:v>5.8805555555591127</c:v>
                </c:pt>
                <c:pt idx="5">
                  <c:v>7.765277777776646</c:v>
                </c:pt>
                <c:pt idx="6">
                  <c:v>7.8020833333357587</c:v>
                </c:pt>
                <c:pt idx="7">
                  <c:v>12.965277777781012</c:v>
                </c:pt>
                <c:pt idx="8">
                  <c:v>13.001388888893416</c:v>
                </c:pt>
                <c:pt idx="9">
                  <c:v>15.797222222223354</c:v>
                </c:pt>
                <c:pt idx="10">
                  <c:v>15.829166666670062</c:v>
                </c:pt>
                <c:pt idx="11">
                  <c:v>19.761805555557657</c:v>
                </c:pt>
                <c:pt idx="12">
                  <c:v>19.791666666671517</c:v>
                </c:pt>
                <c:pt idx="13">
                  <c:v>21.790972222224809</c:v>
                </c:pt>
                <c:pt idx="14">
                  <c:v>21.818749999998545</c:v>
                </c:pt>
                <c:pt idx="15">
                  <c:v>23.767361111109494</c:v>
                </c:pt>
                <c:pt idx="16">
                  <c:v>26.795138888890506</c:v>
                </c:pt>
                <c:pt idx="17">
                  <c:v>26.825694444443798</c:v>
                </c:pt>
                <c:pt idx="18">
                  <c:v>28.761805555557657</c:v>
                </c:pt>
                <c:pt idx="19">
                  <c:v>33.979861111110949</c:v>
                </c:pt>
                <c:pt idx="20">
                  <c:v>34.014583333337214</c:v>
                </c:pt>
              </c:numCache>
            </c:numRef>
          </c:cat>
          <c:val>
            <c:numRef>
              <c:f>'GT8.1'!$T$13:$T$33</c:f>
              <c:numCache>
                <c:formatCode>General</c:formatCode>
                <c:ptCount val="21"/>
                <c:pt idx="0">
                  <c:v>0.03</c:v>
                </c:pt>
                <c:pt idx="1">
                  <c:v>4.858299595141701</c:v>
                </c:pt>
                <c:pt idx="2">
                  <c:v>1.0993527175588205</c:v>
                </c:pt>
                <c:pt idx="3">
                  <c:v>7.040971168437026</c:v>
                </c:pt>
                <c:pt idx="4">
                  <c:v>0.77049517156359149</c:v>
                </c:pt>
                <c:pt idx="5">
                  <c:v>4.0089540089540092</c:v>
                </c:pt>
                <c:pt idx="6">
                  <c:v>0.5731832139201638</c:v>
                </c:pt>
                <c:pt idx="7">
                  <c:v>6.3872861625670616</c:v>
                </c:pt>
                <c:pt idx="8">
                  <c:v>0.90349075975359339</c:v>
                </c:pt>
                <c:pt idx="9">
                  <c:v>4.6012269938650299</c:v>
                </c:pt>
                <c:pt idx="10">
                  <c:v>0.67483388704318936</c:v>
                </c:pt>
                <c:pt idx="11">
                  <c:v>4.1606591143151395</c:v>
                </c:pt>
                <c:pt idx="12">
                  <c:v>0.4376823676531888</c:v>
                </c:pt>
                <c:pt idx="13">
                  <c:v>2.4777109682770062</c:v>
                </c:pt>
                <c:pt idx="14">
                  <c:v>0.45054484492875108</c:v>
                </c:pt>
                <c:pt idx="15">
                  <c:v>1.8828669510038492</c:v>
                </c:pt>
                <c:pt idx="16">
                  <c:v>3.1590746968307344</c:v>
                </c:pt>
                <c:pt idx="17">
                  <c:v>0.33054436525152359</c:v>
                </c:pt>
                <c:pt idx="18">
                  <c:v>2.0835461137779596</c:v>
                </c:pt>
                <c:pt idx="19">
                  <c:v>6.2200469052717455</c:v>
                </c:pt>
                <c:pt idx="20">
                  <c:v>0.81975718584621771</c:v>
                </c:pt>
              </c:numCache>
            </c:numRef>
          </c:val>
          <c:smooth val="0"/>
          <c:extLst>
            <c:ext xmlns:c16="http://schemas.microsoft.com/office/drawing/2014/chart" uri="{C3380CC4-5D6E-409C-BE32-E72D297353CC}">
              <c16:uniqueId val="{00000001-40D7-45B4-83C6-1F30E0E9E7F7}"/>
            </c:ext>
          </c:extLst>
        </c:ser>
        <c:ser>
          <c:idx val="2"/>
          <c:order val="2"/>
          <c:tx>
            <c:strRef>
              <c:f>'GT8.1'!$U$11</c:f>
              <c:strCache>
                <c:ptCount val="1"/>
                <c:pt idx="0">
                  <c:v>O2-corr</c:v>
                </c:pt>
              </c:strCache>
            </c:strRef>
          </c:tx>
          <c:spPr>
            <a:ln w="28575" cap="rnd">
              <a:solidFill>
                <a:schemeClr val="accent3"/>
              </a:solidFill>
              <a:round/>
            </a:ln>
            <a:effectLst/>
          </c:spPr>
          <c:marker>
            <c:symbol val="none"/>
          </c:marker>
          <c:cat>
            <c:numRef>
              <c:f>'GT8.1'!$Q$13:$Q$33</c:f>
              <c:numCache>
                <c:formatCode>0.00</c:formatCode>
                <c:ptCount val="21"/>
                <c:pt idx="0">
                  <c:v>0</c:v>
                </c:pt>
                <c:pt idx="1">
                  <c:v>1.0277777777810115</c:v>
                </c:pt>
                <c:pt idx="2">
                  <c:v>1.1041666666715173</c:v>
                </c:pt>
                <c:pt idx="3">
                  <c:v>5.8555555555576575</c:v>
                </c:pt>
                <c:pt idx="4">
                  <c:v>5.8805555555591127</c:v>
                </c:pt>
                <c:pt idx="5">
                  <c:v>7.765277777776646</c:v>
                </c:pt>
                <c:pt idx="6">
                  <c:v>7.8020833333357587</c:v>
                </c:pt>
                <c:pt idx="7">
                  <c:v>12.965277777781012</c:v>
                </c:pt>
                <c:pt idx="8">
                  <c:v>13.001388888893416</c:v>
                </c:pt>
                <c:pt idx="9">
                  <c:v>15.797222222223354</c:v>
                </c:pt>
                <c:pt idx="10">
                  <c:v>15.829166666670062</c:v>
                </c:pt>
                <c:pt idx="11">
                  <c:v>19.761805555557657</c:v>
                </c:pt>
                <c:pt idx="12">
                  <c:v>19.791666666671517</c:v>
                </c:pt>
                <c:pt idx="13">
                  <c:v>21.790972222224809</c:v>
                </c:pt>
                <c:pt idx="14">
                  <c:v>21.818749999998545</c:v>
                </c:pt>
                <c:pt idx="15">
                  <c:v>23.767361111109494</c:v>
                </c:pt>
                <c:pt idx="16">
                  <c:v>26.795138888890506</c:v>
                </c:pt>
                <c:pt idx="17">
                  <c:v>26.825694444443798</c:v>
                </c:pt>
                <c:pt idx="18">
                  <c:v>28.761805555557657</c:v>
                </c:pt>
                <c:pt idx="19">
                  <c:v>33.979861111110949</c:v>
                </c:pt>
                <c:pt idx="20">
                  <c:v>34.014583333337214</c:v>
                </c:pt>
              </c:numCache>
            </c:numRef>
          </c:cat>
          <c:val>
            <c:numRef>
              <c:f>'GT8.1'!$U$13:$U$33</c:f>
              <c:numCache>
                <c:formatCode>General</c:formatCode>
                <c:ptCount val="21"/>
                <c:pt idx="0">
                  <c:v>21.9</c:v>
                </c:pt>
                <c:pt idx="1">
                  <c:v>12.6417004048583</c:v>
                </c:pt>
                <c:pt idx="2">
                  <c:v>20.897975958080757</c:v>
                </c:pt>
                <c:pt idx="3">
                  <c:v>8.497723823975722</c:v>
                </c:pt>
                <c:pt idx="4">
                  <c:v>21.03965481816314</c:v>
                </c:pt>
                <c:pt idx="5">
                  <c:v>16.33089133089133</c:v>
                </c:pt>
                <c:pt idx="6">
                  <c:v>21.115660184237463</c:v>
                </c:pt>
                <c:pt idx="7">
                  <c:v>10.760198400647839</c:v>
                </c:pt>
                <c:pt idx="8">
                  <c:v>20.985626283367559</c:v>
                </c:pt>
                <c:pt idx="9">
                  <c:v>15.061349693251532</c:v>
                </c:pt>
                <c:pt idx="10">
                  <c:v>21.0859634551495</c:v>
                </c:pt>
                <c:pt idx="11">
                  <c:v>14.891864057672503</c:v>
                </c:pt>
                <c:pt idx="12">
                  <c:v>21.102542726135887</c:v>
                </c:pt>
                <c:pt idx="13">
                  <c:v>18.287373004354137</c:v>
                </c:pt>
                <c:pt idx="14">
                  <c:v>21.112740989103099</c:v>
                </c:pt>
                <c:pt idx="15">
                  <c:v>18.714241131800684</c:v>
                </c:pt>
                <c:pt idx="16">
                  <c:v>15.499847141546926</c:v>
                </c:pt>
                <c:pt idx="17">
                  <c:v>21.12385084185518</c:v>
                </c:pt>
                <c:pt idx="18">
                  <c:v>18.670207333265243</c:v>
                </c:pt>
                <c:pt idx="19">
                  <c:v>11.318446007953503</c:v>
                </c:pt>
                <c:pt idx="20">
                  <c:v>21.012763308083429</c:v>
                </c:pt>
              </c:numCache>
            </c:numRef>
          </c:val>
          <c:smooth val="0"/>
          <c:extLst>
            <c:ext xmlns:c16="http://schemas.microsoft.com/office/drawing/2014/chart" uri="{C3380CC4-5D6E-409C-BE32-E72D297353CC}">
              <c16:uniqueId val="{00000002-40D7-45B4-83C6-1F30E0E9E7F7}"/>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'GT8.1'!$AK$11</c:f>
              <c:strCache>
                <c:ptCount val="1"/>
                <c:pt idx="0">
                  <c:v>O2 consumed </c:v>
                </c:pt>
              </c:strCache>
            </c:strRef>
          </c:tx>
          <c:spPr>
            <a:solidFill>
              <a:schemeClr val="accent1"/>
            </a:solidFill>
            <a:ln>
              <a:noFill/>
            </a:ln>
            <a:effectLst/>
          </c:spPr>
          <c:invertIfNegative val="0"/>
          <c:val>
            <c:numRef>
              <c:f>'GT8.1'!$AK$13:$AK$33</c:f>
              <c:numCache>
                <c:formatCode>General</c:formatCode>
                <c:ptCount val="21"/>
                <c:pt idx="0" formatCode="0.00E+00">
                  <c:v>0</c:v>
                </c:pt>
                <c:pt idx="1">
                  <c:v>4.6646969597741936E-3</c:v>
                </c:pt>
                <c:pt idx="3">
                  <c:v>5.8456823210589343E-3</c:v>
                </c:pt>
                <c:pt idx="5">
                  <c:v>2.2046497001307402E-3</c:v>
                </c:pt>
                <c:pt idx="7">
                  <c:v>4.8156812914960491E-3</c:v>
                </c:pt>
                <c:pt idx="9">
                  <c:v>2.8183041861641143E-3</c:v>
                </c:pt>
                <c:pt idx="11">
                  <c:v>2.9480609482453943E-3</c:v>
                </c:pt>
                <c:pt idx="13">
                  <c:v>1.3750335509290796E-3</c:v>
                </c:pt>
                <c:pt idx="15">
                  <c:v>1.2017983714222667E-3</c:v>
                </c:pt>
                <c:pt idx="16">
                  <c:v>1.5433712527341331E-3</c:v>
                </c:pt>
                <c:pt idx="18">
                  <c:v>1.192444482894248E-3</c:v>
                </c:pt>
                <c:pt idx="19">
                  <c:v>3.3596963949712724E-3</c:v>
                </c:pt>
              </c:numCache>
            </c:numRef>
          </c:val>
          <c:extLst>
            <c:ext xmlns:c16="http://schemas.microsoft.com/office/drawing/2014/chart" uri="{C3380CC4-5D6E-409C-BE32-E72D297353CC}">
              <c16:uniqueId val="{00000000-4566-4488-8420-A45023BBED01}"/>
            </c:ext>
          </c:extLst>
        </c:ser>
        <c:ser>
          <c:idx val="1"/>
          <c:order val="1"/>
          <c:tx>
            <c:strRef>
              <c:f>'GT8.1'!$AL$11</c:f>
              <c:strCache>
                <c:ptCount val="1"/>
                <c:pt idx="0">
                  <c:v>CO2 produced </c:v>
                </c:pt>
              </c:strCache>
            </c:strRef>
          </c:tx>
          <c:spPr>
            <a:solidFill>
              <a:schemeClr val="accent2"/>
            </a:solidFill>
            <a:ln>
              <a:noFill/>
            </a:ln>
            <a:effectLst/>
          </c:spPr>
          <c:invertIfNegative val="0"/>
          <c:val>
            <c:numRef>
              <c:f>'GT8.1'!$AL$13:$AL$33</c:f>
              <c:numCache>
                <c:formatCode>General</c:formatCode>
                <c:ptCount val="21"/>
                <c:pt idx="0" formatCode="0.00E+00">
                  <c:v>0</c:v>
                </c:pt>
                <c:pt idx="1">
                  <c:v>2.0223352985979312E-3</c:v>
                </c:pt>
                <c:pt idx="3">
                  <c:v>2.4105907148176038E-3</c:v>
                </c:pt>
                <c:pt idx="5">
                  <c:v>1.3660274686810858E-3</c:v>
                </c:pt>
                <c:pt idx="7">
                  <c:v>2.4303422789013684E-3</c:v>
                </c:pt>
                <c:pt idx="9">
                  <c:v>1.5597971835228821E-3</c:v>
                </c:pt>
                <c:pt idx="11">
                  <c:v>1.4835302532819428E-3</c:v>
                </c:pt>
                <c:pt idx="13">
                  <c:v>8.8603334831752884E-4</c:v>
                </c:pt>
                <c:pt idx="15">
                  <c:v>6.1213602867029844E-4</c:v>
                </c:pt>
                <c:pt idx="16">
                  <c:v>5.136231707527591E-4</c:v>
                </c:pt>
                <c:pt idx="18">
                  <c:v>7.5890601004450923E-4</c:v>
                </c:pt>
                <c:pt idx="19">
                  <c:v>1.6928094724264465E-3</c:v>
                </c:pt>
              </c:numCache>
            </c:numRef>
          </c:val>
          <c:extLst>
            <c:ext xmlns:c16="http://schemas.microsoft.com/office/drawing/2014/chart" uri="{C3380CC4-5D6E-409C-BE32-E72D297353CC}">
              <c16:uniqueId val="{00000001-4566-4488-8420-A45023BBED01}"/>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'GT8.1'!$BA$11</c:f>
              <c:strCache>
                <c:ptCount val="1"/>
                <c:pt idx="0">
                  <c:v>Ratio O2/CO2</c:v>
                </c:pt>
              </c:strCache>
            </c:strRef>
          </c:tx>
          <c:spPr>
            <a:solidFill>
              <a:schemeClr val="accent1"/>
            </a:solidFill>
            <a:ln>
              <a:noFill/>
            </a:ln>
            <a:effectLst/>
          </c:spPr>
          <c:invertIfNegative val="0"/>
          <c:val>
            <c:numRef>
              <c:f>'GT8.1'!$BA$13:$BA$33</c:f>
              <c:numCache>
                <c:formatCode>0.00E+00</c:formatCode>
                <c:ptCount val="21"/>
                <c:pt idx="0">
                  <c:v>0</c:v>
                </c:pt>
                <c:pt idx="1">
                  <c:v>0.99907115747087361</c:v>
                </c:pt>
                <c:pt idx="2">
                  <c:v>0</c:v>
                </c:pt>
                <c:pt idx="3">
                  <c:v>1.0543655519747634</c:v>
                </c:pt>
                <c:pt idx="4">
                  <c:v>0</c:v>
                </c:pt>
                <c:pt idx="5">
                  <c:v>0.70171318783179837</c:v>
                </c:pt>
                <c:pt idx="6">
                  <c:v>0</c:v>
                </c:pt>
                <c:pt idx="7">
                  <c:v>0.86152874507338062</c:v>
                </c:pt>
                <c:pt idx="8">
                  <c:v>0</c:v>
                </c:pt>
                <c:pt idx="9">
                  <c:v>0.7855959056350259</c:v>
                </c:pt>
                <c:pt idx="10">
                  <c:v>0</c:v>
                </c:pt>
                <c:pt idx="11">
                  <c:v>0.86401151019162414</c:v>
                </c:pt>
                <c:pt idx="12">
                  <c:v>0</c:v>
                </c:pt>
                <c:pt idx="13">
                  <c:v>0.67474970672935775</c:v>
                </c:pt>
                <c:pt idx="14">
                  <c:v>0</c:v>
                </c:pt>
                <c:pt idx="15">
                  <c:v>0.85361717953633942</c:v>
                </c:pt>
                <c:pt idx="16">
                  <c:v>1.3064875531230664</c:v>
                </c:pt>
                <c:pt idx="17">
                  <c:v>0</c:v>
                </c:pt>
                <c:pt idx="18">
                  <c:v>0.68317136362312059</c:v>
                </c:pt>
                <c:pt idx="19">
                  <c:v>0.86292177919965929</c:v>
                </c:pt>
                <c:pt idx="20">
                  <c:v>0</c:v>
                </c:pt>
              </c:numCache>
            </c:numRef>
          </c:val>
          <c:extLst>
            <c:ext xmlns:c16="http://schemas.microsoft.com/office/drawing/2014/chart" uri="{C3380CC4-5D6E-409C-BE32-E72D297353CC}">
              <c16:uniqueId val="{00000000-73F1-482A-B9DE-3F3A7F87C590}"/>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'GT1.2'!$AK$11</c:f>
              <c:strCache>
                <c:ptCount val="1"/>
                <c:pt idx="0">
                  <c:v>O2 consumed </c:v>
                </c:pt>
              </c:strCache>
            </c:strRef>
          </c:tx>
          <c:spPr>
            <a:solidFill>
              <a:schemeClr val="accent1"/>
            </a:solidFill>
            <a:ln>
              <a:noFill/>
            </a:ln>
            <a:effectLst/>
          </c:spPr>
          <c:invertIfNegative val="0"/>
          <c:val>
            <c:numRef>
              <c:f>'GT1.2'!$AK$13:$AK$36</c:f>
              <c:numCache>
                <c:formatCode>General</c:formatCode>
                <c:ptCount val="24"/>
                <c:pt idx="0" formatCode="0.00E+00">
                  <c:v>0</c:v>
                </c:pt>
                <c:pt idx="1">
                  <c:v>9.314058466022665E-3</c:v>
                </c:pt>
                <c:pt idx="2">
                  <c:v>1.4387761838687734E-4</c:v>
                </c:pt>
                <c:pt idx="4">
                  <c:v>5.2179995837359234E-3</c:v>
                </c:pt>
                <c:pt idx="6">
                  <c:v>4.839096849454683E-3</c:v>
                </c:pt>
                <c:pt idx="8">
                  <c:v>4.8039657940196125E-3</c:v>
                </c:pt>
                <c:pt idx="10">
                  <c:v>3.2272306436371967E-3</c:v>
                </c:pt>
                <c:pt idx="12">
                  <c:v>3.774171867848587E-3</c:v>
                </c:pt>
                <c:pt idx="14">
                  <c:v>1.9662297678520891E-3</c:v>
                </c:pt>
                <c:pt idx="16">
                  <c:v>1.9967720820198336E-3</c:v>
                </c:pt>
                <c:pt idx="18">
                  <c:v>3.197562247295547E-3</c:v>
                </c:pt>
                <c:pt idx="20">
                  <c:v>1.9981370102462081E-3</c:v>
                </c:pt>
                <c:pt idx="22">
                  <c:v>4.6621587272593721E-3</c:v>
                </c:pt>
              </c:numCache>
            </c:numRef>
          </c:val>
          <c:extLst>
            <c:ext xmlns:c16="http://schemas.microsoft.com/office/drawing/2014/chart" uri="{C3380CC4-5D6E-409C-BE32-E72D297353CC}">
              <c16:uniqueId val="{00000000-3498-4F5C-B3ED-4D47332D6997}"/>
            </c:ext>
          </c:extLst>
        </c:ser>
        <c:ser>
          <c:idx val="1"/>
          <c:order val="1"/>
          <c:tx>
            <c:strRef>
              <c:f>'GT1.2'!$AL$11</c:f>
              <c:strCache>
                <c:ptCount val="1"/>
                <c:pt idx="0">
                  <c:v>CO2 produced </c:v>
                </c:pt>
              </c:strCache>
            </c:strRef>
          </c:tx>
          <c:spPr>
            <a:solidFill>
              <a:schemeClr val="accent2"/>
            </a:solidFill>
            <a:ln>
              <a:noFill/>
            </a:ln>
            <a:effectLst/>
          </c:spPr>
          <c:invertIfNegative val="0"/>
          <c:val>
            <c:numRef>
              <c:f>'GT1.2'!$AL$13:$AL$36</c:f>
              <c:numCache>
                <c:formatCode>General</c:formatCode>
                <c:ptCount val="24"/>
                <c:pt idx="0" formatCode="0.00E+00">
                  <c:v>0</c:v>
                </c:pt>
                <c:pt idx="1">
                  <c:v>1.6750576427997067E-4</c:v>
                </c:pt>
                <c:pt idx="2">
                  <c:v>1.5385774271886831E-4</c:v>
                </c:pt>
                <c:pt idx="4">
                  <c:v>3.7165597411662214E-4</c:v>
                </c:pt>
                <c:pt idx="6">
                  <c:v>1.1968432585949004E-3</c:v>
                </c:pt>
                <c:pt idx="8">
                  <c:v>1.662413207617495E-3</c:v>
                </c:pt>
                <c:pt idx="10">
                  <c:v>1.2207479350976554E-3</c:v>
                </c:pt>
                <c:pt idx="12">
                  <c:v>1.4914094189140041E-3</c:v>
                </c:pt>
                <c:pt idx="14">
                  <c:v>8.2460931164747477E-4</c:v>
                </c:pt>
                <c:pt idx="16">
                  <c:v>7.81295059193273E-4</c:v>
                </c:pt>
                <c:pt idx="18">
                  <c:v>1.2491527816416964E-3</c:v>
                </c:pt>
                <c:pt idx="20">
                  <c:v>8.9879189778008304E-4</c:v>
                </c:pt>
                <c:pt idx="22">
                  <c:v>1.9396338463500032E-3</c:v>
                </c:pt>
              </c:numCache>
            </c:numRef>
          </c:val>
          <c:extLst>
            <c:ext xmlns:c16="http://schemas.microsoft.com/office/drawing/2014/chart" uri="{C3380CC4-5D6E-409C-BE32-E72D297353CC}">
              <c16:uniqueId val="{00000001-3498-4F5C-B3ED-4D47332D6997}"/>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'GT8.1'!$AP$11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'GT8.1'!$Q$13:$Q$33</c:f>
              <c:numCache>
                <c:formatCode>0.00</c:formatCode>
                <c:ptCount val="21"/>
                <c:pt idx="0">
                  <c:v>0</c:v>
                </c:pt>
                <c:pt idx="1">
                  <c:v>1.0277777777810115</c:v>
                </c:pt>
                <c:pt idx="2">
                  <c:v>1.1041666666715173</c:v>
                </c:pt>
                <c:pt idx="3">
                  <c:v>5.8555555555576575</c:v>
                </c:pt>
                <c:pt idx="4">
                  <c:v>5.8805555555591127</c:v>
                </c:pt>
                <c:pt idx="5">
                  <c:v>7.765277777776646</c:v>
                </c:pt>
                <c:pt idx="6">
                  <c:v>7.8020833333357587</c:v>
                </c:pt>
                <c:pt idx="7">
                  <c:v>12.965277777781012</c:v>
                </c:pt>
                <c:pt idx="8">
                  <c:v>13.001388888893416</c:v>
                </c:pt>
                <c:pt idx="9">
                  <c:v>15.797222222223354</c:v>
                </c:pt>
                <c:pt idx="10">
                  <c:v>15.829166666670062</c:v>
                </c:pt>
                <c:pt idx="11">
                  <c:v>19.761805555557657</c:v>
                </c:pt>
                <c:pt idx="12">
                  <c:v>19.791666666671517</c:v>
                </c:pt>
                <c:pt idx="13">
                  <c:v>21.790972222224809</c:v>
                </c:pt>
                <c:pt idx="14">
                  <c:v>21.818749999998545</c:v>
                </c:pt>
                <c:pt idx="15">
                  <c:v>23.767361111109494</c:v>
                </c:pt>
                <c:pt idx="16">
                  <c:v>26.795138888890506</c:v>
                </c:pt>
                <c:pt idx="17">
                  <c:v>26.825694444443798</c:v>
                </c:pt>
                <c:pt idx="18">
                  <c:v>28.761805555557657</c:v>
                </c:pt>
                <c:pt idx="19">
                  <c:v>33.979861111110949</c:v>
                </c:pt>
                <c:pt idx="20">
                  <c:v>34.014583333337214</c:v>
                </c:pt>
              </c:numCache>
            </c:numRef>
          </c:xVal>
          <c:yVal>
            <c:numRef>
              <c:f>'GT8.1'!$AP$13:$AP$33</c:f>
              <c:numCache>
                <c:formatCode>0.00E+00</c:formatCode>
                <c:ptCount val="21"/>
                <c:pt idx="0">
                  <c:v>0</c:v>
                </c:pt>
                <c:pt idx="1">
                  <c:v>0.17256680274062178</c:v>
                </c:pt>
                <c:pt idx="3">
                  <c:v>0.36414236966873814</c:v>
                </c:pt>
                <c:pt idx="5">
                  <c:v>0.47153217006659032</c:v>
                </c:pt>
                <c:pt idx="7">
                  <c:v>0.66305437292195113</c:v>
                </c:pt>
                <c:pt idx="9">
                  <c:v>0.78524707644345382</c:v>
                </c:pt>
                <c:pt idx="11">
                  <c:v>0.90183117256044865</c:v>
                </c:pt>
                <c:pt idx="13">
                  <c:v>0.97775544611322396</c:v>
                </c:pt>
                <c:pt idx="15">
                  <c:v>1.0255761495302069</c:v>
                </c:pt>
                <c:pt idx="16">
                  <c:v>1.0666996292117921</c:v>
                </c:pt>
                <c:pt idx="18">
                  <c:v>1.1259861562710434</c:v>
                </c:pt>
                <c:pt idx="19">
                  <c:v>1.2588947697438995</c:v>
                </c:pt>
              </c:numCache>
            </c:numRef>
          </c:yVal>
          <c:smooth val="0"/>
          <c:extLst>
            <c:ext xmlns:c16="http://schemas.microsoft.com/office/drawing/2014/chart" uri="{C3380CC4-5D6E-409C-BE32-E72D297353CC}">
              <c16:uniqueId val="{00000000-036C-4F1C-AEBC-910D4C8680A6}"/>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'GT8.2'!$S$11</c:f>
              <c:strCache>
                <c:ptCount val="1"/>
                <c:pt idx="0">
                  <c:v>CH4-corr</c:v>
                </c:pt>
              </c:strCache>
            </c:strRef>
          </c:tx>
          <c:spPr>
            <a:ln w="28575" cap="rnd">
              <a:solidFill>
                <a:schemeClr val="accent1"/>
              </a:solidFill>
              <a:round/>
            </a:ln>
            <a:effectLst/>
          </c:spPr>
          <c:marker>
            <c:symbol val="none"/>
          </c:marker>
          <c:cat>
            <c:numRef>
              <c:f>'GT8.2'!$Q$13:$Q$33</c:f>
              <c:numCache>
                <c:formatCode>0.00</c:formatCode>
                <c:ptCount val="21"/>
                <c:pt idx="0">
                  <c:v>0</c:v>
                </c:pt>
                <c:pt idx="1">
                  <c:v>1.0284722222204437</c:v>
                </c:pt>
                <c:pt idx="2">
                  <c:v>1.1055555555503815</c:v>
                </c:pt>
                <c:pt idx="3">
                  <c:v>5.8555555555503815</c:v>
                </c:pt>
                <c:pt idx="4">
                  <c:v>5.8930555555562023</c:v>
                </c:pt>
                <c:pt idx="5">
                  <c:v>7.765277777776646</c:v>
                </c:pt>
                <c:pt idx="6">
                  <c:v>7.8027777777751908</c:v>
                </c:pt>
                <c:pt idx="7">
                  <c:v>12.965277777773736</c:v>
                </c:pt>
                <c:pt idx="8">
                  <c:v>13.00138888888614</c:v>
                </c:pt>
                <c:pt idx="9">
                  <c:v>15.797222222216078</c:v>
                </c:pt>
                <c:pt idx="10">
                  <c:v>15.829861111109494</c:v>
                </c:pt>
                <c:pt idx="11">
                  <c:v>19.761111111110949</c:v>
                </c:pt>
                <c:pt idx="12">
                  <c:v>19.790972222217533</c:v>
                </c:pt>
                <c:pt idx="13">
                  <c:v>21.791666666664241</c:v>
                </c:pt>
                <c:pt idx="14">
                  <c:v>21.819444444437977</c:v>
                </c:pt>
                <c:pt idx="15">
                  <c:v>23.768055555556202</c:v>
                </c:pt>
                <c:pt idx="16">
                  <c:v>26.79513888888323</c:v>
                </c:pt>
                <c:pt idx="17">
                  <c:v>26.82638888888323</c:v>
                </c:pt>
                <c:pt idx="18">
                  <c:v>28.765972222216078</c:v>
                </c:pt>
                <c:pt idx="19">
                  <c:v>33.980555555550382</c:v>
                </c:pt>
                <c:pt idx="20">
                  <c:v>34.014583333329938</c:v>
                </c:pt>
              </c:numCache>
            </c:numRef>
          </c:cat>
          <c:val>
            <c:numRef>
              <c:f>'GT8.2'!$S$13:$S$33</c:f>
              <c:numCache>
                <c:formatCode>General</c:formatCode>
                <c:ptCount val="21"/>
                <c:pt idx="0">
                  <c:v>0</c:v>
                </c:pt>
                <c:pt idx="1">
                  <c:v>0.3740018194683109</c:v>
                </c:pt>
                <c:pt idx="2">
                  <c:v>0</c:v>
                </c:pt>
                <c:pt idx="3">
                  <c:v>8.0313221564100007E-2</c:v>
                </c:pt>
                <c:pt idx="4">
                  <c:v>0</c:v>
                </c:pt>
                <c:pt idx="5">
                  <c:v>1.0128633647320976E-2</c:v>
                </c:pt>
                <c:pt idx="6">
                  <c:v>0</c:v>
                </c:pt>
                <c:pt idx="7">
                  <c:v>3.0293850348379277E-2</c:v>
                </c:pt>
                <c:pt idx="8">
                  <c:v>0</c:v>
                </c:pt>
                <c:pt idx="9">
                  <c:v>1.0256410256410256E-2</c:v>
                </c:pt>
                <c:pt idx="10">
                  <c:v>0</c:v>
                </c:pt>
                <c:pt idx="11">
                  <c:v>0.10327377878756584</c:v>
                </c:pt>
                <c:pt idx="12">
                  <c:v>0</c:v>
                </c:pt>
                <c:pt idx="13">
                  <c:v>0</c:v>
                </c:pt>
                <c:pt idx="14">
                  <c:v>0.14644351464435146</c:v>
                </c:pt>
                <c:pt idx="15">
                  <c:v>0</c:v>
                </c:pt>
                <c:pt idx="16">
                  <c:v>0</c:v>
                </c:pt>
                <c:pt idx="17">
                  <c:v>0</c:v>
                </c:pt>
                <c:pt idx="18">
                  <c:v>0</c:v>
                </c:pt>
                <c:pt idx="19">
                  <c:v>7.1508836449075505E-2</c:v>
                </c:pt>
                <c:pt idx="20">
                  <c:v>0</c:v>
                </c:pt>
              </c:numCache>
            </c:numRef>
          </c:val>
          <c:smooth val="0"/>
          <c:extLst>
            <c:ext xmlns:c16="http://schemas.microsoft.com/office/drawing/2014/chart" uri="{C3380CC4-5D6E-409C-BE32-E72D297353CC}">
              <c16:uniqueId val="{00000000-1EE5-468B-BFB2-0EB1C4C58FA5}"/>
            </c:ext>
          </c:extLst>
        </c:ser>
        <c:ser>
          <c:idx val="1"/>
          <c:order val="1"/>
          <c:tx>
            <c:strRef>
              <c:f>'GT8.2'!$T$11</c:f>
              <c:strCache>
                <c:ptCount val="1"/>
                <c:pt idx="0">
                  <c:v>CO2-corr</c:v>
                </c:pt>
              </c:strCache>
            </c:strRef>
          </c:tx>
          <c:spPr>
            <a:ln w="28575" cap="rnd">
              <a:solidFill>
                <a:schemeClr val="accent2"/>
              </a:solidFill>
              <a:round/>
            </a:ln>
            <a:effectLst/>
          </c:spPr>
          <c:marker>
            <c:symbol val="none"/>
          </c:marker>
          <c:cat>
            <c:numRef>
              <c:f>'GT8.2'!$Q$13:$Q$33</c:f>
              <c:numCache>
                <c:formatCode>0.00</c:formatCode>
                <c:ptCount val="21"/>
                <c:pt idx="0">
                  <c:v>0</c:v>
                </c:pt>
                <c:pt idx="1">
                  <c:v>1.0284722222204437</c:v>
                </c:pt>
                <c:pt idx="2">
                  <c:v>1.1055555555503815</c:v>
                </c:pt>
                <c:pt idx="3">
                  <c:v>5.8555555555503815</c:v>
                </c:pt>
                <c:pt idx="4">
                  <c:v>5.8930555555562023</c:v>
                </c:pt>
                <c:pt idx="5">
                  <c:v>7.765277777776646</c:v>
                </c:pt>
                <c:pt idx="6">
                  <c:v>7.8027777777751908</c:v>
                </c:pt>
                <c:pt idx="7">
                  <c:v>12.965277777773736</c:v>
                </c:pt>
                <c:pt idx="8">
                  <c:v>13.00138888888614</c:v>
                </c:pt>
                <c:pt idx="9">
                  <c:v>15.797222222216078</c:v>
                </c:pt>
                <c:pt idx="10">
                  <c:v>15.829861111109494</c:v>
                </c:pt>
                <c:pt idx="11">
                  <c:v>19.761111111110949</c:v>
                </c:pt>
                <c:pt idx="12">
                  <c:v>19.790972222217533</c:v>
                </c:pt>
                <c:pt idx="13">
                  <c:v>21.791666666664241</c:v>
                </c:pt>
                <c:pt idx="14">
                  <c:v>21.819444444437977</c:v>
                </c:pt>
                <c:pt idx="15">
                  <c:v>23.768055555556202</c:v>
                </c:pt>
                <c:pt idx="16">
                  <c:v>26.79513888888323</c:v>
                </c:pt>
                <c:pt idx="17">
                  <c:v>26.82638888888323</c:v>
                </c:pt>
                <c:pt idx="18">
                  <c:v>28.765972222216078</c:v>
                </c:pt>
                <c:pt idx="19">
                  <c:v>33.980555555550382</c:v>
                </c:pt>
                <c:pt idx="20">
                  <c:v>34.014583333329938</c:v>
                </c:pt>
              </c:numCache>
            </c:numRef>
          </c:cat>
          <c:val>
            <c:numRef>
              <c:f>'GT8.2'!$T$13:$T$33</c:f>
              <c:numCache>
                <c:formatCode>General</c:formatCode>
                <c:ptCount val="21"/>
                <c:pt idx="0">
                  <c:v>0.03</c:v>
                </c:pt>
                <c:pt idx="1">
                  <c:v>4.4475892044880219</c:v>
                </c:pt>
                <c:pt idx="2">
                  <c:v>1.2211390456644433</c:v>
                </c:pt>
                <c:pt idx="3">
                  <c:v>9.5572733661278999</c:v>
                </c:pt>
                <c:pt idx="4">
                  <c:v>1.0272213662044172</c:v>
                </c:pt>
                <c:pt idx="5">
                  <c:v>5.4289476349640431</c:v>
                </c:pt>
                <c:pt idx="6">
                  <c:v>0.77852898996107356</c:v>
                </c:pt>
                <c:pt idx="7">
                  <c:v>7.5633646369786929</c:v>
                </c:pt>
                <c:pt idx="8">
                  <c:v>1.0973233514511331</c:v>
                </c:pt>
                <c:pt idx="9">
                  <c:v>4.523076923076923</c:v>
                </c:pt>
                <c:pt idx="10">
                  <c:v>0.81392952812693176</c:v>
                </c:pt>
                <c:pt idx="11">
                  <c:v>4.2238975524114428</c:v>
                </c:pt>
                <c:pt idx="12">
                  <c:v>0.57429257596324523</c:v>
                </c:pt>
                <c:pt idx="13">
                  <c:v>2.5499583680266449</c:v>
                </c:pt>
                <c:pt idx="14">
                  <c:v>0.60669456066945593</c:v>
                </c:pt>
                <c:pt idx="15">
                  <c:v>2.0577842444398255</c:v>
                </c:pt>
                <c:pt idx="16">
                  <c:v>3.5958031985331567</c:v>
                </c:pt>
                <c:pt idx="17">
                  <c:v>0.43424317617866004</c:v>
                </c:pt>
                <c:pt idx="18">
                  <c:v>2.0914099163436033</c:v>
                </c:pt>
                <c:pt idx="19">
                  <c:v>4.4539789559709888</c:v>
                </c:pt>
                <c:pt idx="20">
                  <c:v>0.76795350767953519</c:v>
                </c:pt>
              </c:numCache>
            </c:numRef>
          </c:val>
          <c:smooth val="0"/>
          <c:extLst>
            <c:ext xmlns:c16="http://schemas.microsoft.com/office/drawing/2014/chart" uri="{C3380CC4-5D6E-409C-BE32-E72D297353CC}">
              <c16:uniqueId val="{00000001-1EE5-468B-BFB2-0EB1C4C58FA5}"/>
            </c:ext>
          </c:extLst>
        </c:ser>
        <c:ser>
          <c:idx val="2"/>
          <c:order val="2"/>
          <c:tx>
            <c:strRef>
              <c:f>'GT8.2'!$U$11</c:f>
              <c:strCache>
                <c:ptCount val="1"/>
                <c:pt idx="0">
                  <c:v>O2-corr</c:v>
                </c:pt>
              </c:strCache>
            </c:strRef>
          </c:tx>
          <c:spPr>
            <a:ln w="28575" cap="rnd">
              <a:solidFill>
                <a:schemeClr val="accent3"/>
              </a:solidFill>
              <a:round/>
            </a:ln>
            <a:effectLst/>
          </c:spPr>
          <c:marker>
            <c:symbol val="none"/>
          </c:marker>
          <c:cat>
            <c:numRef>
              <c:f>'GT8.2'!$Q$13:$Q$33</c:f>
              <c:numCache>
                <c:formatCode>0.00</c:formatCode>
                <c:ptCount val="21"/>
                <c:pt idx="0">
                  <c:v>0</c:v>
                </c:pt>
                <c:pt idx="1">
                  <c:v>1.0284722222204437</c:v>
                </c:pt>
                <c:pt idx="2">
                  <c:v>1.1055555555503815</c:v>
                </c:pt>
                <c:pt idx="3">
                  <c:v>5.8555555555503815</c:v>
                </c:pt>
                <c:pt idx="4">
                  <c:v>5.8930555555562023</c:v>
                </c:pt>
                <c:pt idx="5">
                  <c:v>7.765277777776646</c:v>
                </c:pt>
                <c:pt idx="6">
                  <c:v>7.8027777777751908</c:v>
                </c:pt>
                <c:pt idx="7">
                  <c:v>12.965277777773736</c:v>
                </c:pt>
                <c:pt idx="8">
                  <c:v>13.00138888888614</c:v>
                </c:pt>
                <c:pt idx="9">
                  <c:v>15.797222222216078</c:v>
                </c:pt>
                <c:pt idx="10">
                  <c:v>15.829861111109494</c:v>
                </c:pt>
                <c:pt idx="11">
                  <c:v>19.761111111110949</c:v>
                </c:pt>
                <c:pt idx="12">
                  <c:v>19.790972222217533</c:v>
                </c:pt>
                <c:pt idx="13">
                  <c:v>21.791666666664241</c:v>
                </c:pt>
                <c:pt idx="14">
                  <c:v>21.819444444437977</c:v>
                </c:pt>
                <c:pt idx="15">
                  <c:v>23.768055555556202</c:v>
                </c:pt>
                <c:pt idx="16">
                  <c:v>26.79513888888323</c:v>
                </c:pt>
                <c:pt idx="17">
                  <c:v>26.82638888888323</c:v>
                </c:pt>
                <c:pt idx="18">
                  <c:v>28.765972222216078</c:v>
                </c:pt>
                <c:pt idx="19">
                  <c:v>33.980555555550382</c:v>
                </c:pt>
                <c:pt idx="20">
                  <c:v>34.014583333329938</c:v>
                </c:pt>
              </c:numCache>
            </c:numRef>
          </c:cat>
          <c:val>
            <c:numRef>
              <c:f>'GT8.2'!$U$13:$U$33</c:f>
              <c:numCache>
                <c:formatCode>General</c:formatCode>
                <c:ptCount val="21"/>
                <c:pt idx="0">
                  <c:v>21.9</c:v>
                </c:pt>
                <c:pt idx="1">
                  <c:v>10.664105933488324</c:v>
                </c:pt>
                <c:pt idx="2">
                  <c:v>20.851718830169318</c:v>
                </c:pt>
                <c:pt idx="3">
                  <c:v>4.3168356590703754</c:v>
                </c:pt>
                <c:pt idx="4">
                  <c:v>20.955315870570107</c:v>
                </c:pt>
                <c:pt idx="5">
                  <c:v>14.504203382963638</c:v>
                </c:pt>
                <c:pt idx="6">
                  <c:v>21.061257938946937</c:v>
                </c:pt>
                <c:pt idx="7">
                  <c:v>9.0982530546299092</c:v>
                </c:pt>
                <c:pt idx="8">
                  <c:v>20.931186544969744</c:v>
                </c:pt>
                <c:pt idx="9">
                  <c:v>15.282051282051283</c:v>
                </c:pt>
                <c:pt idx="10">
                  <c:v>21.048835771687614</c:v>
                </c:pt>
                <c:pt idx="11">
                  <c:v>14.685531343591862</c:v>
                </c:pt>
                <c:pt idx="12">
                  <c:v>21.081758379450768</c:v>
                </c:pt>
                <c:pt idx="13">
                  <c:v>18.120316402997503</c:v>
                </c:pt>
                <c:pt idx="14">
                  <c:v>21.04602510460251</c:v>
                </c:pt>
                <c:pt idx="15">
                  <c:v>18.416129702764497</c:v>
                </c:pt>
                <c:pt idx="16">
                  <c:v>14.790669247224203</c:v>
                </c:pt>
                <c:pt idx="17">
                  <c:v>21.143507030603804</c:v>
                </c:pt>
                <c:pt idx="18">
                  <c:v>18.700265251989389</c:v>
                </c:pt>
                <c:pt idx="19">
                  <c:v>13.300643579528042</c:v>
                </c:pt>
                <c:pt idx="20">
                  <c:v>21.035699460356998</c:v>
                </c:pt>
              </c:numCache>
            </c:numRef>
          </c:val>
          <c:smooth val="0"/>
          <c:extLst>
            <c:ext xmlns:c16="http://schemas.microsoft.com/office/drawing/2014/chart" uri="{C3380CC4-5D6E-409C-BE32-E72D297353CC}">
              <c16:uniqueId val="{00000002-1EE5-468B-BFB2-0EB1C4C58FA5}"/>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O2 consumed and CO2 produced over time [mol]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'GT8.2'!$AK$11</c:f>
              <c:strCache>
                <c:ptCount val="1"/>
                <c:pt idx="0">
                  <c:v>O2 consumed </c:v>
                </c:pt>
              </c:strCache>
            </c:strRef>
          </c:tx>
          <c:spPr>
            <a:solidFill>
              <a:schemeClr val="accent1"/>
            </a:solidFill>
            <a:ln>
              <a:noFill/>
            </a:ln>
            <a:effectLst/>
          </c:spPr>
          <c:invertIfNegative val="0"/>
          <c:val>
            <c:numRef>
              <c:f>'GT8.2'!$AK$13:$AK$33</c:f>
              <c:numCache>
                <c:formatCode>General</c:formatCode>
                <c:ptCount val="21"/>
                <c:pt idx="0" formatCode="0.00E+00">
                  <c:v>0</c:v>
                </c:pt>
                <c:pt idx="1">
                  <c:v>5.5407977461082447E-3</c:v>
                </c:pt>
                <c:pt idx="3">
                  <c:v>7.5793556536279472E-3</c:v>
                </c:pt>
                <c:pt idx="5">
                  <c:v>3.0198806595158568E-3</c:v>
                </c:pt>
                <c:pt idx="7">
                  <c:v>5.5068900287748076E-3</c:v>
                </c:pt>
                <c:pt idx="9">
                  <c:v>2.6987291685993736E-3</c:v>
                </c:pt>
                <c:pt idx="11">
                  <c:v>3.0291985855529667E-3</c:v>
                </c:pt>
                <c:pt idx="13">
                  <c:v>1.4469910460800893E-3</c:v>
                </c:pt>
                <c:pt idx="15">
                  <c:v>1.3250117445047591E-3</c:v>
                </c:pt>
                <c:pt idx="16">
                  <c:v>1.719312399400025E-3</c:v>
                </c:pt>
                <c:pt idx="18">
                  <c:v>1.1614719323140843E-3</c:v>
                </c:pt>
                <c:pt idx="19">
                  <c:v>2.5396669273927246E-3</c:v>
                </c:pt>
              </c:numCache>
            </c:numRef>
          </c:val>
          <c:extLst>
            <c:ext xmlns:c16="http://schemas.microsoft.com/office/drawing/2014/chart" uri="{C3380CC4-5D6E-409C-BE32-E72D297353CC}">
              <c16:uniqueId val="{00000000-2C04-4AC9-BBE4-374BE7387F76}"/>
            </c:ext>
          </c:extLst>
        </c:ser>
        <c:ser>
          <c:idx val="1"/>
          <c:order val="1"/>
          <c:tx>
            <c:strRef>
              <c:f>'GT8.2'!$AL$11</c:f>
              <c:strCache>
                <c:ptCount val="1"/>
                <c:pt idx="0">
                  <c:v>CO2 produced </c:v>
                </c:pt>
              </c:strCache>
            </c:strRef>
          </c:tx>
          <c:spPr>
            <a:solidFill>
              <a:schemeClr val="accent2"/>
            </a:solidFill>
            <a:ln>
              <a:noFill/>
            </a:ln>
            <a:effectLst/>
          </c:spPr>
          <c:invertIfNegative val="0"/>
          <c:val>
            <c:numRef>
              <c:f>'GT8.2'!$AL$13:$AL$33</c:f>
              <c:numCache>
                <c:formatCode>General</c:formatCode>
                <c:ptCount val="21"/>
                <c:pt idx="0" formatCode="0.00E+00">
                  <c:v>0</c:v>
                </c:pt>
                <c:pt idx="1">
                  <c:v>1.8246348108676123E-3</c:v>
                </c:pt>
                <c:pt idx="3">
                  <c:v>3.3159785637542991E-3</c:v>
                </c:pt>
                <c:pt idx="5">
                  <c:v>1.8538756835063462E-3</c:v>
                </c:pt>
                <c:pt idx="7">
                  <c:v>2.8222496661473328E-3</c:v>
                </c:pt>
                <c:pt idx="9">
                  <c:v>1.4402828347495119E-3</c:v>
                </c:pt>
                <c:pt idx="11">
                  <c:v>1.4468646405428147E-3</c:v>
                </c:pt>
                <c:pt idx="13">
                  <c:v>8.5509322980788813E-4</c:v>
                </c:pt>
                <c:pt idx="15">
                  <c:v>6.1691827881503025E-4</c:v>
                </c:pt>
                <c:pt idx="16">
                  <c:v>6.1691075531869683E-4</c:v>
                </c:pt>
                <c:pt idx="18">
                  <c:v>7.1904610412234571E-4</c:v>
                </c:pt>
                <c:pt idx="19">
                  <c:v>9.6053223069681403E-4</c:v>
                </c:pt>
              </c:numCache>
            </c:numRef>
          </c:val>
          <c:extLst>
            <c:ext xmlns:c16="http://schemas.microsoft.com/office/drawing/2014/chart" uri="{C3380CC4-5D6E-409C-BE32-E72D297353CC}">
              <c16:uniqueId val="{00000001-2C04-4AC9-BBE4-374BE7387F76}"/>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Ratio O2/CO2 </a:t>
            </a:r>
          </a:p>
        </c:rich>
      </c:tx>
      <c:layout>
        <c:manualLayout>
          <c:xMode val="edge"/>
          <c:yMode val="edge"/>
          <c:x val="0.25596198434379375"/>
          <c:y val="2.97422339722405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21144120587178"/>
          <c:y val="0.28734956517532084"/>
          <c:w val="0.84352917423783569"/>
          <c:h val="0.68854457708915418"/>
        </c:manualLayout>
      </c:layout>
      <c:barChart>
        <c:barDir val="col"/>
        <c:grouping val="clustered"/>
        <c:varyColors val="0"/>
        <c:ser>
          <c:idx val="0"/>
          <c:order val="0"/>
          <c:tx>
            <c:strRef>
              <c:f>'GT8.2'!$BA$11</c:f>
              <c:strCache>
                <c:ptCount val="1"/>
                <c:pt idx="0">
                  <c:v>Ratio O2/CO2</c:v>
                </c:pt>
              </c:strCache>
            </c:strRef>
          </c:tx>
          <c:spPr>
            <a:solidFill>
              <a:schemeClr val="accent1"/>
            </a:solidFill>
            <a:ln>
              <a:noFill/>
            </a:ln>
            <a:effectLst/>
          </c:spPr>
          <c:invertIfNegative val="0"/>
          <c:val>
            <c:numRef>
              <c:f>'GT8.2'!$BA$13:$BA$33</c:f>
              <c:numCache>
                <c:formatCode>0.00E+00</c:formatCode>
                <c:ptCount val="21"/>
                <c:pt idx="0">
                  <c:v>0</c:v>
                </c:pt>
                <c:pt idx="1">
                  <c:v>1.3147594610302888</c:v>
                </c:pt>
                <c:pt idx="2">
                  <c:v>0</c:v>
                </c:pt>
                <c:pt idx="3">
                  <c:v>0.99380241876973963</c:v>
                </c:pt>
                <c:pt idx="4">
                  <c:v>0</c:v>
                </c:pt>
                <c:pt idx="5">
                  <c:v>0.70825337076301476</c:v>
                </c:pt>
                <c:pt idx="6">
                  <c:v>0</c:v>
                </c:pt>
                <c:pt idx="7">
                  <c:v>0.84838005692612961</c:v>
                </c:pt>
                <c:pt idx="8">
                  <c:v>0</c:v>
                </c:pt>
                <c:pt idx="9">
                  <c:v>0.81468739272594992</c:v>
                </c:pt>
                <c:pt idx="10">
                  <c:v>0</c:v>
                </c:pt>
                <c:pt idx="11">
                  <c:v>0.91028905215220846</c:v>
                </c:pt>
                <c:pt idx="12">
                  <c:v>0</c:v>
                </c:pt>
                <c:pt idx="13">
                  <c:v>0.73575268088688917</c:v>
                </c:pt>
                <c:pt idx="14">
                  <c:v>0</c:v>
                </c:pt>
                <c:pt idx="15">
                  <c:v>0.9338380527509792</c:v>
                </c:pt>
                <c:pt idx="16">
                  <c:v>1.2117469375522198</c:v>
                </c:pt>
                <c:pt idx="17">
                  <c:v>0</c:v>
                </c:pt>
                <c:pt idx="18">
                  <c:v>0.70231421564920038</c:v>
                </c:pt>
                <c:pt idx="19">
                  <c:v>1.1495934975994859</c:v>
                </c:pt>
                <c:pt idx="20">
                  <c:v>0</c:v>
                </c:pt>
              </c:numCache>
            </c:numRef>
          </c:val>
          <c:extLst>
            <c:ext xmlns:c16="http://schemas.microsoft.com/office/drawing/2014/chart" uri="{C3380CC4-5D6E-409C-BE32-E72D297353CC}">
              <c16:uniqueId val="{00000000-9CF5-463A-A1C9-6E1DD11A7495}"/>
            </c:ext>
          </c:extLst>
        </c:ser>
        <c:dLbls>
          <c:showLegendKey val="0"/>
          <c:showVal val="0"/>
          <c:showCatName val="0"/>
          <c:showSerName val="0"/>
          <c:showPercent val="0"/>
          <c:showBubbleSize val="0"/>
        </c:dLbls>
        <c:gapWidth val="219"/>
        <c:overlap val="-27"/>
        <c:axId val="1123293711"/>
        <c:axId val="1123302831"/>
      </c:barChart>
      <c:catAx>
        <c:axId val="112329371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2831"/>
        <c:crosses val="autoZero"/>
        <c:auto val="1"/>
        <c:lblAlgn val="ctr"/>
        <c:lblOffset val="100"/>
        <c:noMultiLvlLbl val="0"/>
      </c:catAx>
      <c:valAx>
        <c:axId val="112330283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9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'GT8.2'!$AP$11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'GT8.2'!$Q$13:$Q$33</c:f>
              <c:numCache>
                <c:formatCode>0.00</c:formatCode>
                <c:ptCount val="21"/>
                <c:pt idx="0">
                  <c:v>0</c:v>
                </c:pt>
                <c:pt idx="1">
                  <c:v>1.0284722222204437</c:v>
                </c:pt>
                <c:pt idx="2">
                  <c:v>1.1055555555503815</c:v>
                </c:pt>
                <c:pt idx="3">
                  <c:v>5.8555555555503815</c:v>
                </c:pt>
                <c:pt idx="4">
                  <c:v>5.8930555555562023</c:v>
                </c:pt>
                <c:pt idx="5">
                  <c:v>7.765277777776646</c:v>
                </c:pt>
                <c:pt idx="6">
                  <c:v>7.8027777777751908</c:v>
                </c:pt>
                <c:pt idx="7">
                  <c:v>12.965277777773736</c:v>
                </c:pt>
                <c:pt idx="8">
                  <c:v>13.00138888888614</c:v>
                </c:pt>
                <c:pt idx="9">
                  <c:v>15.797222222216078</c:v>
                </c:pt>
                <c:pt idx="10">
                  <c:v>15.829861111109494</c:v>
                </c:pt>
                <c:pt idx="11">
                  <c:v>19.761111111110949</c:v>
                </c:pt>
                <c:pt idx="12">
                  <c:v>19.790972222217533</c:v>
                </c:pt>
                <c:pt idx="13">
                  <c:v>21.791666666664241</c:v>
                </c:pt>
                <c:pt idx="14">
                  <c:v>21.819444444437977</c:v>
                </c:pt>
                <c:pt idx="15">
                  <c:v>23.768055555556202</c:v>
                </c:pt>
                <c:pt idx="16">
                  <c:v>26.79513888888323</c:v>
                </c:pt>
                <c:pt idx="17">
                  <c:v>26.82638888888323</c:v>
                </c:pt>
                <c:pt idx="18">
                  <c:v>28.765972222216078</c:v>
                </c:pt>
                <c:pt idx="19">
                  <c:v>33.980555555550382</c:v>
                </c:pt>
                <c:pt idx="20">
                  <c:v>34.014583333329938</c:v>
                </c:pt>
              </c:numCache>
            </c:numRef>
          </c:xVal>
          <c:yVal>
            <c:numRef>
              <c:f>'GT8.2'!$AP$13:$AP$33</c:f>
              <c:numCache>
                <c:formatCode>0.00E+00</c:formatCode>
                <c:ptCount val="21"/>
                <c:pt idx="0">
                  <c:v>0</c:v>
                </c:pt>
                <c:pt idx="1">
                  <c:v>0.15461841330209175</c:v>
                </c:pt>
                <c:pt idx="3">
                  <c:v>0.41620143517997127</c:v>
                </c:pt>
                <c:pt idx="5">
                  <c:v>0.56136387706274116</c:v>
                </c:pt>
                <c:pt idx="7">
                  <c:v>0.78283179706232897</c:v>
                </c:pt>
                <c:pt idx="9">
                  <c:v>0.8956887078971596</c:v>
                </c:pt>
                <c:pt idx="11">
                  <c:v>1.0121705985005358</c:v>
                </c:pt>
                <c:pt idx="13">
                  <c:v>1.0789713712394615</c:v>
                </c:pt>
                <c:pt idx="15">
                  <c:v>1.1221503190412441</c:v>
                </c:pt>
                <c:pt idx="16">
                  <c:v>1.1703440290715548</c:v>
                </c:pt>
                <c:pt idx="18">
                  <c:v>1.2265166588105114</c:v>
                </c:pt>
                <c:pt idx="19">
                  <c:v>1.3038981657021453</c:v>
                </c:pt>
              </c:numCache>
            </c:numRef>
          </c:yVal>
          <c:smooth val="0"/>
          <c:extLst>
            <c:ext xmlns:c16="http://schemas.microsoft.com/office/drawing/2014/chart" uri="{C3380CC4-5D6E-409C-BE32-E72D297353CC}">
              <c16:uniqueId val="{00000000-D37D-46FB-8CE8-01C1BD181BE3}"/>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'GT1.2'!$AP$11</c:f>
              <c:strCache>
                <c:ptCount val="1"/>
                <c:pt idx="0">
                  <c:v>Cgas_DM </c:v>
                </c:pt>
              </c:strCache>
            </c:strRef>
          </c:tx>
          <c:spPr>
            <a:ln w="25400" cap="rnd">
              <a:noFill/>
              <a:round/>
            </a:ln>
            <a:effectLst/>
          </c:spPr>
          <c:marker>
            <c:symbol val="circle"/>
            <c:size val="5"/>
            <c:spPr>
              <a:solidFill>
                <a:schemeClr val="accent1"/>
              </a:solidFill>
              <a:ln w="9525">
                <a:solidFill>
                  <a:schemeClr val="accent1"/>
                </a:solidFill>
              </a:ln>
              <a:effectLst/>
            </c:spPr>
          </c:marker>
          <c:xVal>
            <c:numRef>
              <c:f>'GT1.2'!$Q$13:$Q$36</c:f>
              <c:numCache>
                <c:formatCode>0.00</c:formatCode>
                <c:ptCount val="24"/>
                <c:pt idx="0">
                  <c:v>0</c:v>
                </c:pt>
                <c:pt idx="1">
                  <c:v>1.9902777777824667</c:v>
                </c:pt>
                <c:pt idx="2">
                  <c:v>6.8055555555547471</c:v>
                </c:pt>
                <c:pt idx="3">
                  <c:v>6.851388888891961</c:v>
                </c:pt>
                <c:pt idx="4">
                  <c:v>8.7451388888948713</c:v>
                </c:pt>
                <c:pt idx="5">
                  <c:v>8.7902777777781012</c:v>
                </c:pt>
                <c:pt idx="6">
                  <c:v>10.78125</c:v>
                </c:pt>
                <c:pt idx="7">
                  <c:v>10.781944444446708</c:v>
                </c:pt>
                <c:pt idx="8">
                  <c:v>13.951388888890506</c:v>
                </c:pt>
                <c:pt idx="9">
                  <c:v>13.992361111115315</c:v>
                </c:pt>
                <c:pt idx="10">
                  <c:v>16.783333333332848</c:v>
                </c:pt>
                <c:pt idx="11">
                  <c:v>16.823611111110949</c:v>
                </c:pt>
                <c:pt idx="12">
                  <c:v>20.73611111111677</c:v>
                </c:pt>
                <c:pt idx="13">
                  <c:v>20.783333333332848</c:v>
                </c:pt>
                <c:pt idx="14">
                  <c:v>22.773611111115315</c:v>
                </c:pt>
                <c:pt idx="15">
                  <c:v>22.819444444445253</c:v>
                </c:pt>
                <c:pt idx="16">
                  <c:v>24.755555555559113</c:v>
                </c:pt>
                <c:pt idx="17">
                  <c:v>24.817361111112405</c:v>
                </c:pt>
                <c:pt idx="18">
                  <c:v>27.784027777779556</c:v>
                </c:pt>
                <c:pt idx="19">
                  <c:v>27.818055555559113</c:v>
                </c:pt>
                <c:pt idx="20">
                  <c:v>29.744444444448163</c:v>
                </c:pt>
                <c:pt idx="21">
                  <c:v>29.789583333338669</c:v>
                </c:pt>
                <c:pt idx="22">
                  <c:v>34.96597222222772</c:v>
                </c:pt>
                <c:pt idx="23">
                  <c:v>35.004861111112405</c:v>
                </c:pt>
              </c:numCache>
            </c:numRef>
          </c:xVal>
          <c:yVal>
            <c:numRef>
              <c:f>'GT1.2'!$AP$13:$AP$36</c:f>
              <c:numCache>
                <c:formatCode>0.00E+00</c:formatCode>
                <c:ptCount val="24"/>
                <c:pt idx="0">
                  <c:v>0</c:v>
                </c:pt>
                <c:pt idx="1">
                  <c:v>1.5978215749108574E-2</c:v>
                </c:pt>
                <c:pt idx="2">
                  <c:v>3.1652536782542089E-2</c:v>
                </c:pt>
                <c:pt idx="4">
                  <c:v>6.1565267759991216E-2</c:v>
                </c:pt>
                <c:pt idx="6">
                  <c:v>0.15506390829942743</c:v>
                </c:pt>
                <c:pt idx="8">
                  <c:v>0.28525769883600588</c:v>
                </c:pt>
                <c:pt idx="10">
                  <c:v>0.38095358175913502</c:v>
                </c:pt>
                <c:pt idx="12">
                  <c:v>0.50074948138974296</c:v>
                </c:pt>
                <c:pt idx="14">
                  <c:v>0.56516881872696023</c:v>
                </c:pt>
                <c:pt idx="16">
                  <c:v>0.62620440159894819</c:v>
                </c:pt>
                <c:pt idx="18">
                  <c:v>0.73085256901503981</c:v>
                </c:pt>
                <c:pt idx="20">
                  <c:v>0.80106712715940043</c:v>
                </c:pt>
                <c:pt idx="22">
                  <c:v>0.95259334120259287</c:v>
                </c:pt>
              </c:numCache>
            </c:numRef>
          </c:yVal>
          <c:smooth val="0"/>
          <c:extLst>
            <c:ext xmlns:c16="http://schemas.microsoft.com/office/drawing/2014/chart" uri="{C3380CC4-5D6E-409C-BE32-E72D297353CC}">
              <c16:uniqueId val="{00000000-E6FB-4D29-95AC-15A975E801F5}"/>
            </c:ext>
          </c:extLst>
        </c:ser>
        <c:dLbls>
          <c:showLegendKey val="0"/>
          <c:showVal val="0"/>
          <c:showCatName val="0"/>
          <c:showSerName val="0"/>
          <c:showPercent val="0"/>
          <c:showBubbleSize val="0"/>
        </c:dLbls>
        <c:axId val="12618472"/>
        <c:axId val="888385991"/>
      </c:scatterChart>
      <c:valAx>
        <c:axId val="12618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991"/>
        <c:crosses val="autoZero"/>
        <c:crossBetween val="midCat"/>
      </c:valAx>
      <c:valAx>
        <c:axId val="88838599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'GT1.2'!$BA$11</c:f>
              <c:strCache>
                <c:ptCount val="1"/>
                <c:pt idx="0">
                  <c:v>Ratio O2/CO2</c:v>
                </c:pt>
              </c:strCache>
            </c:strRef>
          </c:tx>
          <c:spPr>
            <a:solidFill>
              <a:schemeClr val="accent1"/>
            </a:solidFill>
            <a:ln>
              <a:noFill/>
            </a:ln>
            <a:effectLst/>
          </c:spPr>
          <c:invertIfNegative val="0"/>
          <c:val>
            <c:numRef>
              <c:f>'GT1.2'!$BA$12:$BA$37</c:f>
              <c:numCache>
                <c:formatCode>0.00E+00</c:formatCode>
                <c:ptCount val="26"/>
                <c:pt idx="1">
                  <c:v>0</c:v>
                </c:pt>
                <c:pt idx="2">
                  <c:v>23.091589488371163</c:v>
                </c:pt>
                <c:pt idx="3">
                  <c:v>0.40658688072213739</c:v>
                </c:pt>
                <c:pt idx="4">
                  <c:v>0</c:v>
                </c:pt>
                <c:pt idx="5">
                  <c:v>6.1043917868444781</c:v>
                </c:pt>
                <c:pt idx="6">
                  <c:v>0</c:v>
                </c:pt>
                <c:pt idx="7">
                  <c:v>1.7579499799550058</c:v>
                </c:pt>
                <c:pt idx="8">
                  <c:v>0</c:v>
                </c:pt>
                <c:pt idx="9">
                  <c:v>1.2564360916631307</c:v>
                </c:pt>
                <c:pt idx="10">
                  <c:v>0</c:v>
                </c:pt>
                <c:pt idx="11">
                  <c:v>1.1494325295539582</c:v>
                </c:pt>
                <c:pt idx="12">
                  <c:v>0</c:v>
                </c:pt>
                <c:pt idx="13">
                  <c:v>1.1002826608129548</c:v>
                </c:pt>
                <c:pt idx="14">
                  <c:v>0</c:v>
                </c:pt>
                <c:pt idx="15">
                  <c:v>1.0367296268344672</c:v>
                </c:pt>
                <c:pt idx="16">
                  <c:v>0</c:v>
                </c:pt>
                <c:pt idx="17">
                  <c:v>1.1112016956778423</c:v>
                </c:pt>
                <c:pt idx="18">
                  <c:v>0</c:v>
                </c:pt>
                <c:pt idx="19">
                  <c:v>1.1129686355730954</c:v>
                </c:pt>
                <c:pt idx="20">
                  <c:v>0</c:v>
                </c:pt>
                <c:pt idx="21">
                  <c:v>0.96659733337007259</c:v>
                </c:pt>
                <c:pt idx="22">
                  <c:v>0</c:v>
                </c:pt>
                <c:pt idx="23">
                  <c:v>1.0450733639409651</c:v>
                </c:pt>
                <c:pt idx="24">
                  <c:v>0</c:v>
                </c:pt>
              </c:numCache>
            </c:numRef>
          </c:val>
          <c:extLst>
            <c:ext xmlns:c16="http://schemas.microsoft.com/office/drawing/2014/chart" uri="{C3380CC4-5D6E-409C-BE32-E72D297353CC}">
              <c16:uniqueId val="{00000000-A871-40C1-947C-DC83E30C38F9}"/>
            </c:ext>
          </c:extLst>
        </c:ser>
        <c:dLbls>
          <c:showLegendKey val="0"/>
          <c:showVal val="0"/>
          <c:showCatName val="0"/>
          <c:showSerName val="0"/>
          <c:showPercent val="0"/>
          <c:showBubbleSize val="0"/>
        </c:dLbls>
        <c:gapWidth val="219"/>
        <c:overlap val="-27"/>
        <c:axId val="1977238512"/>
        <c:axId val="1977245712"/>
      </c:barChart>
      <c:catAx>
        <c:axId val="1977238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45712"/>
        <c:crosses val="autoZero"/>
        <c:auto val="1"/>
        <c:lblAlgn val="ctr"/>
        <c:lblOffset val="100"/>
        <c:noMultiLvlLbl val="0"/>
      </c:catAx>
      <c:valAx>
        <c:axId val="19772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3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Gas composition over time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'GT2.1'!$S$11</c:f>
              <c:strCache>
                <c:ptCount val="1"/>
                <c:pt idx="0">
                  <c:v>CH4-corr</c:v>
                </c:pt>
              </c:strCache>
            </c:strRef>
          </c:tx>
          <c:spPr>
            <a:ln w="28575" cap="rnd">
              <a:solidFill>
                <a:schemeClr val="accent1"/>
              </a:solidFill>
              <a:round/>
            </a:ln>
            <a:effectLst/>
          </c:spPr>
          <c:marker>
            <c:symbol val="none"/>
          </c:marker>
          <c:cat>
            <c:numRef>
              <c:f>'GT2.1'!$Q$13:$Q$35</c:f>
              <c:numCache>
                <c:formatCode>0.00</c:formatCode>
                <c:ptCount val="23"/>
                <c:pt idx="0">
                  <c:v>0</c:v>
                </c:pt>
                <c:pt idx="1">
                  <c:v>1.9909722222218988</c:v>
                </c:pt>
                <c:pt idx="2">
                  <c:v>6.8055555555547471</c:v>
                </c:pt>
                <c:pt idx="3">
                  <c:v>6.8499999999985448</c:v>
                </c:pt>
                <c:pt idx="4">
                  <c:v>8.7444444444481633</c:v>
                </c:pt>
                <c:pt idx="5">
                  <c:v>8.7895833333313931</c:v>
                </c:pt>
                <c:pt idx="6">
                  <c:v>10.738888888889051</c:v>
                </c:pt>
                <c:pt idx="7">
                  <c:v>10.739583333335759</c:v>
                </c:pt>
                <c:pt idx="8">
                  <c:v>13.950694444443798</c:v>
                </c:pt>
                <c:pt idx="9">
                  <c:v>13.991666666668607</c:v>
                </c:pt>
                <c:pt idx="10">
                  <c:v>16.781944444446708</c:v>
                </c:pt>
                <c:pt idx="11">
                  <c:v>16.822916666664241</c:v>
                </c:pt>
                <c:pt idx="12">
                  <c:v>20.743750000001455</c:v>
                </c:pt>
                <c:pt idx="13">
                  <c:v>20.783333333332848</c:v>
                </c:pt>
                <c:pt idx="14">
                  <c:v>22.772916666668607</c:v>
                </c:pt>
                <c:pt idx="15">
                  <c:v>24.754166666665697</c:v>
                </c:pt>
                <c:pt idx="16">
                  <c:v>24.795833333337214</c:v>
                </c:pt>
                <c:pt idx="17">
                  <c:v>27.783333333332848</c:v>
                </c:pt>
                <c:pt idx="18">
                  <c:v>27.820138888891961</c:v>
                </c:pt>
                <c:pt idx="19">
                  <c:v>29.743055555554747</c:v>
                </c:pt>
                <c:pt idx="20">
                  <c:v>29.788888888891961</c:v>
                </c:pt>
                <c:pt idx="21">
                  <c:v>34.965277777781012</c:v>
                </c:pt>
                <c:pt idx="22">
                  <c:v>35.004166666665697</c:v>
                </c:pt>
              </c:numCache>
            </c:numRef>
          </c:cat>
          <c:val>
            <c:numRef>
              <c:f>'GT2.1'!$S$13:$S$35</c:f>
              <c:numCache>
                <c:formatCode>General</c:formatCode>
                <c:ptCount val="23"/>
                <c:pt idx="0">
                  <c:v>0</c:v>
                </c:pt>
                <c:pt idx="1">
                  <c:v>9.9591674136042224E-2</c:v>
                </c:pt>
                <c:pt idx="2">
                  <c:v>0.198000198000198</c:v>
                </c:pt>
                <c:pt idx="3">
                  <c:v>0</c:v>
                </c:pt>
                <c:pt idx="4">
                  <c:v>2.9623778019156711E-2</c:v>
                </c:pt>
                <c:pt idx="5">
                  <c:v>0</c:v>
                </c:pt>
                <c:pt idx="6">
                  <c:v>0</c:v>
                </c:pt>
                <c:pt idx="7">
                  <c:v>0</c:v>
                </c:pt>
                <c:pt idx="8">
                  <c:v>0</c:v>
                </c:pt>
                <c:pt idx="9">
                  <c:v>0</c:v>
                </c:pt>
                <c:pt idx="10">
                  <c:v>0</c:v>
                </c:pt>
                <c:pt idx="11">
                  <c:v>0</c:v>
                </c:pt>
                <c:pt idx="12">
                  <c:v>8.0280983442047163E-2</c:v>
                </c:pt>
                <c:pt idx="13">
                  <c:v>0</c:v>
                </c:pt>
                <c:pt idx="14">
                  <c:v>0</c:v>
                </c:pt>
                <c:pt idx="15">
                  <c:v>0</c:v>
                </c:pt>
                <c:pt idx="16">
                  <c:v>0</c:v>
                </c:pt>
                <c:pt idx="17">
                  <c:v>0</c:v>
                </c:pt>
                <c:pt idx="18">
                  <c:v>0</c:v>
                </c:pt>
                <c:pt idx="19">
                  <c:v>0</c:v>
                </c:pt>
                <c:pt idx="20">
                  <c:v>0</c:v>
                </c:pt>
                <c:pt idx="21">
                  <c:v>0.31012122920778123</c:v>
                </c:pt>
                <c:pt idx="22">
                  <c:v>0</c:v>
                </c:pt>
              </c:numCache>
            </c:numRef>
          </c:val>
          <c:smooth val="0"/>
          <c:extLst>
            <c:ext xmlns:c16="http://schemas.microsoft.com/office/drawing/2014/chart" uri="{C3380CC4-5D6E-409C-BE32-E72D297353CC}">
              <c16:uniqueId val="{00000000-F762-4191-A464-8AFC109DD6E4}"/>
            </c:ext>
          </c:extLst>
        </c:ser>
        <c:ser>
          <c:idx val="1"/>
          <c:order val="1"/>
          <c:tx>
            <c:strRef>
              <c:f>'GT2.1'!$T$11</c:f>
              <c:strCache>
                <c:ptCount val="1"/>
                <c:pt idx="0">
                  <c:v>CO2-corr</c:v>
                </c:pt>
              </c:strCache>
            </c:strRef>
          </c:tx>
          <c:spPr>
            <a:ln w="28575" cap="rnd">
              <a:solidFill>
                <a:schemeClr val="accent2"/>
              </a:solidFill>
              <a:round/>
            </a:ln>
            <a:effectLst/>
          </c:spPr>
          <c:marker>
            <c:symbol val="none"/>
          </c:marker>
          <c:cat>
            <c:numRef>
              <c:f>'GT2.1'!$Q$13:$Q$35</c:f>
              <c:numCache>
                <c:formatCode>0.00</c:formatCode>
                <c:ptCount val="23"/>
                <c:pt idx="0">
                  <c:v>0</c:v>
                </c:pt>
                <c:pt idx="1">
                  <c:v>1.9909722222218988</c:v>
                </c:pt>
                <c:pt idx="2">
                  <c:v>6.8055555555547471</c:v>
                </c:pt>
                <c:pt idx="3">
                  <c:v>6.8499999999985448</c:v>
                </c:pt>
                <c:pt idx="4">
                  <c:v>8.7444444444481633</c:v>
                </c:pt>
                <c:pt idx="5">
                  <c:v>8.7895833333313931</c:v>
                </c:pt>
                <c:pt idx="6">
                  <c:v>10.738888888889051</c:v>
                </c:pt>
                <c:pt idx="7">
                  <c:v>10.739583333335759</c:v>
                </c:pt>
                <c:pt idx="8">
                  <c:v>13.950694444443798</c:v>
                </c:pt>
                <c:pt idx="9">
                  <c:v>13.991666666668607</c:v>
                </c:pt>
                <c:pt idx="10">
                  <c:v>16.781944444446708</c:v>
                </c:pt>
                <c:pt idx="11">
                  <c:v>16.822916666664241</c:v>
                </c:pt>
                <c:pt idx="12">
                  <c:v>20.743750000001455</c:v>
                </c:pt>
                <c:pt idx="13">
                  <c:v>20.783333333332848</c:v>
                </c:pt>
                <c:pt idx="14">
                  <c:v>22.772916666668607</c:v>
                </c:pt>
                <c:pt idx="15">
                  <c:v>24.754166666665697</c:v>
                </c:pt>
                <c:pt idx="16">
                  <c:v>24.795833333337214</c:v>
                </c:pt>
                <c:pt idx="17">
                  <c:v>27.783333333332848</c:v>
                </c:pt>
                <c:pt idx="18">
                  <c:v>27.820138888891961</c:v>
                </c:pt>
                <c:pt idx="19">
                  <c:v>29.743055555554747</c:v>
                </c:pt>
                <c:pt idx="20">
                  <c:v>29.788888888891961</c:v>
                </c:pt>
                <c:pt idx="21">
                  <c:v>34.965277777781012</c:v>
                </c:pt>
                <c:pt idx="22">
                  <c:v>35.004166666665697</c:v>
                </c:pt>
              </c:numCache>
            </c:numRef>
          </c:cat>
          <c:val>
            <c:numRef>
              <c:f>'GT2.1'!$T$13:$T$35</c:f>
              <c:numCache>
                <c:formatCode>General</c:formatCode>
                <c:ptCount val="23"/>
                <c:pt idx="0">
                  <c:v>0.03</c:v>
                </c:pt>
                <c:pt idx="1">
                  <c:v>0.54775420774823236</c:v>
                </c:pt>
                <c:pt idx="2">
                  <c:v>1.0197010197010197</c:v>
                </c:pt>
                <c:pt idx="3">
                  <c:v>0.42103101252823988</c:v>
                </c:pt>
                <c:pt idx="4">
                  <c:v>1.6984299397649847</c:v>
                </c:pt>
                <c:pt idx="5">
                  <c:v>0.48096602537863281</c:v>
                </c:pt>
                <c:pt idx="6">
                  <c:v>2.8607570302617491</c:v>
                </c:pt>
                <c:pt idx="7">
                  <c:v>0.47925996416798083</c:v>
                </c:pt>
                <c:pt idx="8">
                  <c:v>3.4524776604386682</c:v>
                </c:pt>
                <c:pt idx="9">
                  <c:v>0.61431350465854406</c:v>
                </c:pt>
                <c:pt idx="10">
                  <c:v>2.7057382070655502</c:v>
                </c:pt>
                <c:pt idx="11">
                  <c:v>0.45463938830336847</c:v>
                </c:pt>
                <c:pt idx="12">
                  <c:v>3.1710988459608629</c:v>
                </c:pt>
                <c:pt idx="13">
                  <c:v>0.46845721424109932</c:v>
                </c:pt>
                <c:pt idx="14">
                  <c:v>2.1247294904583907</c:v>
                </c:pt>
                <c:pt idx="15">
                  <c:v>3.8912050823903113</c:v>
                </c:pt>
                <c:pt idx="16">
                  <c:v>0.42708333333333331</c:v>
                </c:pt>
                <c:pt idx="17">
                  <c:v>3.5126551823693584</c:v>
                </c:pt>
                <c:pt idx="18">
                  <c:v>0.45520380715911446</c:v>
                </c:pt>
                <c:pt idx="19">
                  <c:v>2.5794032723772857</c:v>
                </c:pt>
                <c:pt idx="20">
                  <c:v>0.32854209445585214</c:v>
                </c:pt>
                <c:pt idx="21">
                  <c:v>5.3660370265952446</c:v>
                </c:pt>
                <c:pt idx="22">
                  <c:v>0.66321243523316065</c:v>
                </c:pt>
              </c:numCache>
            </c:numRef>
          </c:val>
          <c:smooth val="0"/>
          <c:extLst>
            <c:ext xmlns:c16="http://schemas.microsoft.com/office/drawing/2014/chart" uri="{C3380CC4-5D6E-409C-BE32-E72D297353CC}">
              <c16:uniqueId val="{00000001-F762-4191-A464-8AFC109DD6E4}"/>
            </c:ext>
          </c:extLst>
        </c:ser>
        <c:ser>
          <c:idx val="2"/>
          <c:order val="2"/>
          <c:tx>
            <c:strRef>
              <c:f>'GT2.1'!$U$11</c:f>
              <c:strCache>
                <c:ptCount val="1"/>
                <c:pt idx="0">
                  <c:v>O2-corr</c:v>
                </c:pt>
              </c:strCache>
            </c:strRef>
          </c:tx>
          <c:spPr>
            <a:ln w="28575" cap="rnd">
              <a:solidFill>
                <a:schemeClr val="accent3"/>
              </a:solidFill>
              <a:round/>
            </a:ln>
            <a:effectLst/>
          </c:spPr>
          <c:marker>
            <c:symbol val="none"/>
          </c:marker>
          <c:cat>
            <c:numRef>
              <c:f>'GT2.1'!$Q$13:$Q$35</c:f>
              <c:numCache>
                <c:formatCode>0.00</c:formatCode>
                <c:ptCount val="23"/>
                <c:pt idx="0">
                  <c:v>0</c:v>
                </c:pt>
                <c:pt idx="1">
                  <c:v>1.9909722222218988</c:v>
                </c:pt>
                <c:pt idx="2">
                  <c:v>6.8055555555547471</c:v>
                </c:pt>
                <c:pt idx="3">
                  <c:v>6.8499999999985448</c:v>
                </c:pt>
                <c:pt idx="4">
                  <c:v>8.7444444444481633</c:v>
                </c:pt>
                <c:pt idx="5">
                  <c:v>8.7895833333313931</c:v>
                </c:pt>
                <c:pt idx="6">
                  <c:v>10.738888888889051</c:v>
                </c:pt>
                <c:pt idx="7">
                  <c:v>10.739583333335759</c:v>
                </c:pt>
                <c:pt idx="8">
                  <c:v>13.950694444443798</c:v>
                </c:pt>
                <c:pt idx="9">
                  <c:v>13.991666666668607</c:v>
                </c:pt>
                <c:pt idx="10">
                  <c:v>16.781944444446708</c:v>
                </c:pt>
                <c:pt idx="11">
                  <c:v>16.822916666664241</c:v>
                </c:pt>
                <c:pt idx="12">
                  <c:v>20.743750000001455</c:v>
                </c:pt>
                <c:pt idx="13">
                  <c:v>20.783333333332848</c:v>
                </c:pt>
                <c:pt idx="14">
                  <c:v>22.772916666668607</c:v>
                </c:pt>
                <c:pt idx="15">
                  <c:v>24.754166666665697</c:v>
                </c:pt>
                <c:pt idx="16">
                  <c:v>24.795833333337214</c:v>
                </c:pt>
                <c:pt idx="17">
                  <c:v>27.783333333332848</c:v>
                </c:pt>
                <c:pt idx="18">
                  <c:v>27.820138888891961</c:v>
                </c:pt>
                <c:pt idx="19">
                  <c:v>29.743055555554747</c:v>
                </c:pt>
                <c:pt idx="20">
                  <c:v>29.788888888891961</c:v>
                </c:pt>
                <c:pt idx="21">
                  <c:v>34.965277777781012</c:v>
                </c:pt>
                <c:pt idx="22">
                  <c:v>35.004166666665697</c:v>
                </c:pt>
              </c:numCache>
            </c:numRef>
          </c:cat>
          <c:val>
            <c:numRef>
              <c:f>'GT2.1'!$U$13:$U$35</c:f>
              <c:numCache>
                <c:formatCode>General</c:formatCode>
                <c:ptCount val="23"/>
                <c:pt idx="0">
                  <c:v>21.9</c:v>
                </c:pt>
                <c:pt idx="1">
                  <c:v>2.2607310028881584</c:v>
                </c:pt>
                <c:pt idx="2">
                  <c:v>2.0097020097020093</c:v>
                </c:pt>
                <c:pt idx="3">
                  <c:v>20.476483877592937</c:v>
                </c:pt>
                <c:pt idx="4">
                  <c:v>9.7067245976103482</c:v>
                </c:pt>
                <c:pt idx="5">
                  <c:v>21.039705280392958</c:v>
                </c:pt>
                <c:pt idx="6">
                  <c:v>13.184781551036293</c:v>
                </c:pt>
                <c:pt idx="7">
                  <c:v>21.02453323129814</c:v>
                </c:pt>
                <c:pt idx="8">
                  <c:v>13.23111291632819</c:v>
                </c:pt>
                <c:pt idx="9">
                  <c:v>21.081191768199037</c:v>
                </c:pt>
                <c:pt idx="10">
                  <c:v>15.815805595262406</c:v>
                </c:pt>
                <c:pt idx="11">
                  <c:v>21.120066129365572</c:v>
                </c:pt>
                <c:pt idx="12">
                  <c:v>14.711490215755143</c:v>
                </c:pt>
                <c:pt idx="13">
                  <c:v>21.08057464084947</c:v>
                </c:pt>
                <c:pt idx="14">
                  <c:v>17.479834743261854</c:v>
                </c:pt>
                <c:pt idx="15">
                  <c:v>13.53980543974588</c:v>
                </c:pt>
                <c:pt idx="16">
                  <c:v>21.135416666666668</c:v>
                </c:pt>
                <c:pt idx="17">
                  <c:v>14.531806370897893</c:v>
                </c:pt>
                <c:pt idx="18">
                  <c:v>21.084212704324436</c:v>
                </c:pt>
                <c:pt idx="19">
                  <c:v>16.81424446583253</c:v>
                </c:pt>
                <c:pt idx="20">
                  <c:v>21.160164271047226</c:v>
                </c:pt>
                <c:pt idx="21">
                  <c:v>10.967014378347899</c:v>
                </c:pt>
                <c:pt idx="22">
                  <c:v>21.046632124352328</c:v>
                </c:pt>
              </c:numCache>
            </c:numRef>
          </c:val>
          <c:smooth val="0"/>
          <c:extLst>
            <c:ext xmlns:c16="http://schemas.microsoft.com/office/drawing/2014/chart" uri="{C3380CC4-5D6E-409C-BE32-E72D297353CC}">
              <c16:uniqueId val="{00000002-F762-4191-A464-8AFC109DD6E4}"/>
            </c:ext>
          </c:extLst>
        </c:ser>
        <c:dLbls>
          <c:showLegendKey val="0"/>
          <c:showVal val="0"/>
          <c:showCatName val="0"/>
          <c:showSerName val="0"/>
          <c:showPercent val="0"/>
          <c:showBubbleSize val="0"/>
        </c:dLbls>
        <c:smooth val="0"/>
        <c:axId val="1189593039"/>
        <c:axId val="1189583919"/>
      </c:lineChart>
      <c:catAx>
        <c:axId val="1189593039"/>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3919"/>
        <c:crosses val="autoZero"/>
        <c:auto val="1"/>
        <c:lblAlgn val="ctr"/>
        <c:lblOffset val="100"/>
        <c:noMultiLvlLbl val="0"/>
      </c:catAx>
      <c:valAx>
        <c:axId val="11895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9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10</xdr:col>
      <xdr:colOff>281940</xdr:colOff>
      <xdr:row>38</xdr:row>
      <xdr:rowOff>186690</xdr:rowOff>
    </xdr:from>
    <xdr:to>
      <xdr:col>16</xdr:col>
      <xdr:colOff>78105</xdr:colOff>
      <xdr:row>54</xdr:row>
      <xdr:rowOff>63817</xdr:rowOff>
    </xdr:to>
    <xdr:graphicFrame macro="">
      <xdr:nvGraphicFramePr>
        <xdr:cNvPr id="9" name="Grafiek 8">
          <a:extLst>
            <a:ext uri="{FF2B5EF4-FFF2-40B4-BE49-F238E27FC236}">
              <a16:creationId xmlns:a16="http://schemas.microsoft.com/office/drawing/2014/main" id="{9139D88F-ED2D-0951-979B-2363B81FE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992505</xdr:colOff>
      <xdr:row>40</xdr:row>
      <xdr:rowOff>60960</xdr:rowOff>
    </xdr:from>
    <xdr:to>
      <xdr:col>26</xdr:col>
      <xdr:colOff>504825</xdr:colOff>
      <xdr:row>55</xdr:row>
      <xdr:rowOff>85725</xdr:rowOff>
    </xdr:to>
    <xdr:graphicFrame macro="">
      <xdr:nvGraphicFramePr>
        <xdr:cNvPr id="3" name="Chart 2">
          <a:extLst>
            <a:ext uri="{FF2B5EF4-FFF2-40B4-BE49-F238E27FC236}">
              <a16:creationId xmlns:a16="http://schemas.microsoft.com/office/drawing/2014/main" id="{200110CF-6FCC-4552-8254-AD4FE9F3EBEC}"/>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304352</xdr:colOff>
      <xdr:row>10</xdr:row>
      <xdr:rowOff>196776</xdr:rowOff>
    </xdr:from>
    <xdr:to>
      <xdr:col>62</xdr:col>
      <xdr:colOff>604670</xdr:colOff>
      <xdr:row>24</xdr:row>
      <xdr:rowOff>101078</xdr:rowOff>
    </xdr:to>
    <xdr:graphicFrame macro="">
      <xdr:nvGraphicFramePr>
        <xdr:cNvPr id="2" name="Chart 1">
          <a:extLst>
            <a:ext uri="{FF2B5EF4-FFF2-40B4-BE49-F238E27FC236}">
              <a16:creationId xmlns:a16="http://schemas.microsoft.com/office/drawing/2014/main" id="{51C80C0D-AD43-CF1C-2A1C-5992600EF409}"/>
            </a:ext>
            <a:ext uri="{147F2762-F138-4A5C-976F-8EAC2B608ADB}">
              <a16:predDERef xmlns:a16="http://schemas.microsoft.com/office/drawing/2014/main" pred="{B11BC74D-DD68-4AAE-A399-B2BE9D981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10390</xdr:colOff>
      <xdr:row>40</xdr:row>
      <xdr:rowOff>62346</xdr:rowOff>
    </xdr:from>
    <xdr:to>
      <xdr:col>55</xdr:col>
      <xdr:colOff>111578</xdr:colOff>
      <xdr:row>64</xdr:row>
      <xdr:rowOff>17018</xdr:rowOff>
    </xdr:to>
    <xdr:pic>
      <xdr:nvPicPr>
        <xdr:cNvPr id="5" name="Afbeelding 4">
          <a:extLst>
            <a:ext uri="{FF2B5EF4-FFF2-40B4-BE49-F238E27FC236}">
              <a16:creationId xmlns:a16="http://schemas.microsoft.com/office/drawing/2014/main" id="{701F8C18-5446-69C2-4FBC-5B87559971F6}"/>
            </a:ext>
          </a:extLst>
        </xdr:cNvPr>
        <xdr:cNvPicPr>
          <a:picLocks noChangeAspect="1"/>
        </xdr:cNvPicPr>
      </xdr:nvPicPr>
      <xdr:blipFill>
        <a:blip xmlns:r="http://schemas.openxmlformats.org/officeDocument/2006/relationships" r:embed="rId4"/>
        <a:stretch>
          <a:fillRect/>
        </a:stretch>
      </xdr:blipFill>
      <xdr:spPr>
        <a:xfrm>
          <a:off x="25363219" y="7878289"/>
          <a:ext cx="11433216" cy="4645870"/>
        </a:xfrm>
        <a:prstGeom prst="rect">
          <a:avLst/>
        </a:prstGeom>
      </xdr:spPr>
    </xdr:pic>
    <xdr:clientData/>
  </xdr:twoCellAnchor>
  <xdr:twoCellAnchor>
    <xdr:from>
      <xdr:col>27</xdr:col>
      <xdr:colOff>209214</xdr:colOff>
      <xdr:row>40</xdr:row>
      <xdr:rowOff>38548</xdr:rowOff>
    </xdr:from>
    <xdr:to>
      <xdr:col>34</xdr:col>
      <xdr:colOff>504153</xdr:colOff>
      <xdr:row>54</xdr:row>
      <xdr:rowOff>114748</xdr:rowOff>
    </xdr:to>
    <xdr:graphicFrame macro="">
      <xdr:nvGraphicFramePr>
        <xdr:cNvPr id="6" name="Grafiek 5">
          <a:extLst>
            <a:ext uri="{FF2B5EF4-FFF2-40B4-BE49-F238E27FC236}">
              <a16:creationId xmlns:a16="http://schemas.microsoft.com/office/drawing/2014/main" id="{E161E359-AFA1-D5EC-B752-0BFB00933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285750</xdr:colOff>
      <xdr:row>33</xdr:row>
      <xdr:rowOff>74631</xdr:rowOff>
    </xdr:from>
    <xdr:to>
      <xdr:col>16</xdr:col>
      <xdr:colOff>78105</xdr:colOff>
      <xdr:row>48</xdr:row>
      <xdr:rowOff>138448</xdr:rowOff>
    </xdr:to>
    <xdr:graphicFrame macro="">
      <xdr:nvGraphicFramePr>
        <xdr:cNvPr id="2" name="Grafiek 1">
          <a:extLst>
            <a:ext uri="{FF2B5EF4-FFF2-40B4-BE49-F238E27FC236}">
              <a16:creationId xmlns:a16="http://schemas.microsoft.com/office/drawing/2014/main" id="{42B6D0E0-EF63-4213-8BA7-C87E16BF1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970093</xdr:colOff>
      <xdr:row>34</xdr:row>
      <xdr:rowOff>45944</xdr:rowOff>
    </xdr:from>
    <xdr:to>
      <xdr:col>26</xdr:col>
      <xdr:colOff>484318</xdr:colOff>
      <xdr:row>49</xdr:row>
      <xdr:rowOff>76424</xdr:rowOff>
    </xdr:to>
    <xdr:graphicFrame macro="">
      <xdr:nvGraphicFramePr>
        <xdr:cNvPr id="3" name="Chart 2">
          <a:extLst>
            <a:ext uri="{FF2B5EF4-FFF2-40B4-BE49-F238E27FC236}">
              <a16:creationId xmlns:a16="http://schemas.microsoft.com/office/drawing/2014/main" id="{1D1F1A28-21A7-4BFA-A543-1B343142240F}"/>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69588</xdr:colOff>
      <xdr:row>36</xdr:row>
      <xdr:rowOff>46280</xdr:rowOff>
    </xdr:from>
    <xdr:to>
      <xdr:col>36</xdr:col>
      <xdr:colOff>199801</xdr:colOff>
      <xdr:row>51</xdr:row>
      <xdr:rowOff>76760</xdr:rowOff>
    </xdr:to>
    <xdr:graphicFrame macro="">
      <xdr:nvGraphicFramePr>
        <xdr:cNvPr id="4" name="Chart 3">
          <a:extLst>
            <a:ext uri="{FF2B5EF4-FFF2-40B4-BE49-F238E27FC236}">
              <a16:creationId xmlns:a16="http://schemas.microsoft.com/office/drawing/2014/main" id="{4EA3258E-CAF9-423A-B211-B6148321F74F}"/>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490582</xdr:colOff>
      <xdr:row>10</xdr:row>
      <xdr:rowOff>0</xdr:rowOff>
    </xdr:from>
    <xdr:to>
      <xdr:col>63</xdr:col>
      <xdr:colOff>185783</xdr:colOff>
      <xdr:row>22</xdr:row>
      <xdr:rowOff>65859</xdr:rowOff>
    </xdr:to>
    <xdr:graphicFrame macro="">
      <xdr:nvGraphicFramePr>
        <xdr:cNvPr id="5" name="Chart 1">
          <a:extLst>
            <a:ext uri="{FF2B5EF4-FFF2-40B4-BE49-F238E27FC236}">
              <a16:creationId xmlns:a16="http://schemas.microsoft.com/office/drawing/2014/main" id="{ED789213-8AA3-4CDB-80C0-00643B448E76}"/>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125057</xdr:colOff>
      <xdr:row>43</xdr:row>
      <xdr:rowOff>108249</xdr:rowOff>
    </xdr:from>
    <xdr:to>
      <xdr:col>15</xdr:col>
      <xdr:colOff>436693</xdr:colOff>
      <xdr:row>58</xdr:row>
      <xdr:rowOff>168256</xdr:rowOff>
    </xdr:to>
    <xdr:graphicFrame macro="">
      <xdr:nvGraphicFramePr>
        <xdr:cNvPr id="2" name="Grafiek 1">
          <a:extLst>
            <a:ext uri="{FF2B5EF4-FFF2-40B4-BE49-F238E27FC236}">
              <a16:creationId xmlns:a16="http://schemas.microsoft.com/office/drawing/2014/main" id="{6A11F861-4E3F-4D8C-8ECE-613FF1B4C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1085962</xdr:colOff>
      <xdr:row>42</xdr:row>
      <xdr:rowOff>171114</xdr:rowOff>
    </xdr:from>
    <xdr:to>
      <xdr:col>25</xdr:col>
      <xdr:colOff>112619</xdr:colOff>
      <xdr:row>58</xdr:row>
      <xdr:rowOff>9189</xdr:rowOff>
    </xdr:to>
    <xdr:graphicFrame macro="">
      <xdr:nvGraphicFramePr>
        <xdr:cNvPr id="3" name="Chart 2">
          <a:extLst>
            <a:ext uri="{FF2B5EF4-FFF2-40B4-BE49-F238E27FC236}">
              <a16:creationId xmlns:a16="http://schemas.microsoft.com/office/drawing/2014/main" id="{DF26E2BA-42C0-49D4-A190-2EA5203EEC46}"/>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159684</xdr:colOff>
      <xdr:row>42</xdr:row>
      <xdr:rowOff>134022</xdr:rowOff>
    </xdr:from>
    <xdr:to>
      <xdr:col>34</xdr:col>
      <xdr:colOff>331134</xdr:colOff>
      <xdr:row>57</xdr:row>
      <xdr:rowOff>170217</xdr:rowOff>
    </xdr:to>
    <xdr:graphicFrame macro="">
      <xdr:nvGraphicFramePr>
        <xdr:cNvPr id="4" name="Chart 3">
          <a:extLst>
            <a:ext uri="{FF2B5EF4-FFF2-40B4-BE49-F238E27FC236}">
              <a16:creationId xmlns:a16="http://schemas.microsoft.com/office/drawing/2014/main" id="{D21BBC3B-C635-466E-BA7C-9DE72B07A046}"/>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434340</xdr:colOff>
      <xdr:row>10</xdr:row>
      <xdr:rowOff>0</xdr:rowOff>
    </xdr:from>
    <xdr:to>
      <xdr:col>61</xdr:col>
      <xdr:colOff>129540</xdr:colOff>
      <xdr:row>22</xdr:row>
      <xdr:rowOff>78105</xdr:rowOff>
    </xdr:to>
    <xdr:graphicFrame macro="">
      <xdr:nvGraphicFramePr>
        <xdr:cNvPr id="5" name="Chart 1">
          <a:extLst>
            <a:ext uri="{FF2B5EF4-FFF2-40B4-BE49-F238E27FC236}">
              <a16:creationId xmlns:a16="http://schemas.microsoft.com/office/drawing/2014/main" id="{DC59AFD9-CCF3-4ABF-B254-044F8A93F0BA}"/>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107336</xdr:colOff>
      <xdr:row>40</xdr:row>
      <xdr:rowOff>10784</xdr:rowOff>
    </xdr:from>
    <xdr:to>
      <xdr:col>15</xdr:col>
      <xdr:colOff>418972</xdr:colOff>
      <xdr:row>55</xdr:row>
      <xdr:rowOff>70790</xdr:rowOff>
    </xdr:to>
    <xdr:graphicFrame macro="">
      <xdr:nvGraphicFramePr>
        <xdr:cNvPr id="2" name="Grafiek 1">
          <a:extLst>
            <a:ext uri="{FF2B5EF4-FFF2-40B4-BE49-F238E27FC236}">
              <a16:creationId xmlns:a16="http://schemas.microsoft.com/office/drawing/2014/main" id="{0ED7DDD6-32E7-4EE7-A096-D5634327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935334</xdr:colOff>
      <xdr:row>39</xdr:row>
      <xdr:rowOff>82510</xdr:rowOff>
    </xdr:from>
    <xdr:to>
      <xdr:col>24</xdr:col>
      <xdr:colOff>573364</xdr:colOff>
      <xdr:row>54</xdr:row>
      <xdr:rowOff>115514</xdr:rowOff>
    </xdr:to>
    <xdr:graphicFrame macro="">
      <xdr:nvGraphicFramePr>
        <xdr:cNvPr id="3" name="Chart 2">
          <a:extLst>
            <a:ext uri="{FF2B5EF4-FFF2-40B4-BE49-F238E27FC236}">
              <a16:creationId xmlns:a16="http://schemas.microsoft.com/office/drawing/2014/main" id="{665451E4-ADC3-4750-A954-D81AF4336BFA}"/>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515918</xdr:colOff>
      <xdr:row>39</xdr:row>
      <xdr:rowOff>102391</xdr:rowOff>
    </xdr:from>
    <xdr:to>
      <xdr:col>34</xdr:col>
      <xdr:colOff>45605</xdr:colOff>
      <xdr:row>54</xdr:row>
      <xdr:rowOff>130965</xdr:rowOff>
    </xdr:to>
    <xdr:graphicFrame macro="">
      <xdr:nvGraphicFramePr>
        <xdr:cNvPr id="4" name="Chart 3">
          <a:extLst>
            <a:ext uri="{FF2B5EF4-FFF2-40B4-BE49-F238E27FC236}">
              <a16:creationId xmlns:a16="http://schemas.microsoft.com/office/drawing/2014/main" id="{38B382BD-9CF5-4885-ABE7-2F3A84EDE45F}"/>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572120</xdr:colOff>
      <xdr:row>10</xdr:row>
      <xdr:rowOff>0</xdr:rowOff>
    </xdr:from>
    <xdr:to>
      <xdr:col>61</xdr:col>
      <xdr:colOff>267320</xdr:colOff>
      <xdr:row>22</xdr:row>
      <xdr:rowOff>55733</xdr:rowOff>
    </xdr:to>
    <xdr:graphicFrame macro="">
      <xdr:nvGraphicFramePr>
        <xdr:cNvPr id="5" name="Chart 1">
          <a:extLst>
            <a:ext uri="{FF2B5EF4-FFF2-40B4-BE49-F238E27FC236}">
              <a16:creationId xmlns:a16="http://schemas.microsoft.com/office/drawing/2014/main" id="{2DF4C4F2-CFC3-4C80-AD74-FEA7C6149DFF}"/>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125057</xdr:colOff>
      <xdr:row>39</xdr:row>
      <xdr:rowOff>108249</xdr:rowOff>
    </xdr:from>
    <xdr:to>
      <xdr:col>15</xdr:col>
      <xdr:colOff>436693</xdr:colOff>
      <xdr:row>54</xdr:row>
      <xdr:rowOff>168256</xdr:rowOff>
    </xdr:to>
    <xdr:graphicFrame macro="">
      <xdr:nvGraphicFramePr>
        <xdr:cNvPr id="2" name="Grafiek 1">
          <a:extLst>
            <a:ext uri="{FF2B5EF4-FFF2-40B4-BE49-F238E27FC236}">
              <a16:creationId xmlns:a16="http://schemas.microsoft.com/office/drawing/2014/main" id="{270CDC25-62B4-4145-B710-4F1BE9A4F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1085962</xdr:colOff>
      <xdr:row>38</xdr:row>
      <xdr:rowOff>171114</xdr:rowOff>
    </xdr:from>
    <xdr:to>
      <xdr:col>25</xdr:col>
      <xdr:colOff>112619</xdr:colOff>
      <xdr:row>54</xdr:row>
      <xdr:rowOff>9189</xdr:rowOff>
    </xdr:to>
    <xdr:graphicFrame macro="">
      <xdr:nvGraphicFramePr>
        <xdr:cNvPr id="3" name="Chart 2">
          <a:extLst>
            <a:ext uri="{FF2B5EF4-FFF2-40B4-BE49-F238E27FC236}">
              <a16:creationId xmlns:a16="http://schemas.microsoft.com/office/drawing/2014/main" id="{72B07B56-1CAB-44D9-8FF4-AA3F4F75089B}"/>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134919</xdr:colOff>
      <xdr:row>38</xdr:row>
      <xdr:rowOff>137832</xdr:rowOff>
    </xdr:from>
    <xdr:to>
      <xdr:col>34</xdr:col>
      <xdr:colOff>302559</xdr:colOff>
      <xdr:row>53</xdr:row>
      <xdr:rowOff>166407</xdr:rowOff>
    </xdr:to>
    <xdr:graphicFrame macro="">
      <xdr:nvGraphicFramePr>
        <xdr:cNvPr id="4" name="Chart 3">
          <a:extLst>
            <a:ext uri="{FF2B5EF4-FFF2-40B4-BE49-F238E27FC236}">
              <a16:creationId xmlns:a16="http://schemas.microsoft.com/office/drawing/2014/main" id="{983F44F8-F6A6-4894-AB67-BA57A0AE64C4}"/>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143394</xdr:colOff>
      <xdr:row>6</xdr:row>
      <xdr:rowOff>94903</xdr:rowOff>
    </xdr:from>
    <xdr:to>
      <xdr:col>62</xdr:col>
      <xdr:colOff>444731</xdr:colOff>
      <xdr:row>19</xdr:row>
      <xdr:rowOff>141316</xdr:rowOff>
    </xdr:to>
    <xdr:graphicFrame macro="">
      <xdr:nvGraphicFramePr>
        <xdr:cNvPr id="5" name="Chart 1">
          <a:extLst>
            <a:ext uri="{FF2B5EF4-FFF2-40B4-BE49-F238E27FC236}">
              <a16:creationId xmlns:a16="http://schemas.microsoft.com/office/drawing/2014/main" id="{78C16D97-08C7-418A-9F6B-80675F50C71B}"/>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125057</xdr:colOff>
      <xdr:row>38</xdr:row>
      <xdr:rowOff>108249</xdr:rowOff>
    </xdr:from>
    <xdr:to>
      <xdr:col>15</xdr:col>
      <xdr:colOff>436693</xdr:colOff>
      <xdr:row>53</xdr:row>
      <xdr:rowOff>168256</xdr:rowOff>
    </xdr:to>
    <xdr:graphicFrame macro="">
      <xdr:nvGraphicFramePr>
        <xdr:cNvPr id="2" name="Grafiek 1">
          <a:extLst>
            <a:ext uri="{FF2B5EF4-FFF2-40B4-BE49-F238E27FC236}">
              <a16:creationId xmlns:a16="http://schemas.microsoft.com/office/drawing/2014/main" id="{217DCC88-C2AA-48C6-A897-A7ADC9476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1085962</xdr:colOff>
      <xdr:row>37</xdr:row>
      <xdr:rowOff>171114</xdr:rowOff>
    </xdr:from>
    <xdr:to>
      <xdr:col>25</xdr:col>
      <xdr:colOff>112619</xdr:colOff>
      <xdr:row>53</xdr:row>
      <xdr:rowOff>9189</xdr:rowOff>
    </xdr:to>
    <xdr:graphicFrame macro="">
      <xdr:nvGraphicFramePr>
        <xdr:cNvPr id="3" name="Chart 2">
          <a:extLst>
            <a:ext uri="{FF2B5EF4-FFF2-40B4-BE49-F238E27FC236}">
              <a16:creationId xmlns:a16="http://schemas.microsoft.com/office/drawing/2014/main" id="{37BBCCC2-C6D9-476C-A33D-8083E2AF7AAD}"/>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134919</xdr:colOff>
      <xdr:row>37</xdr:row>
      <xdr:rowOff>137832</xdr:rowOff>
    </xdr:from>
    <xdr:to>
      <xdr:col>34</xdr:col>
      <xdr:colOff>302559</xdr:colOff>
      <xdr:row>52</xdr:row>
      <xdr:rowOff>166407</xdr:rowOff>
    </xdr:to>
    <xdr:graphicFrame macro="">
      <xdr:nvGraphicFramePr>
        <xdr:cNvPr id="4" name="Chart 3">
          <a:extLst>
            <a:ext uri="{FF2B5EF4-FFF2-40B4-BE49-F238E27FC236}">
              <a16:creationId xmlns:a16="http://schemas.microsoft.com/office/drawing/2014/main" id="{2BD044F0-A6D9-446A-83DA-89D3224288A2}"/>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262890</xdr:colOff>
      <xdr:row>10</xdr:row>
      <xdr:rowOff>0</xdr:rowOff>
    </xdr:from>
    <xdr:to>
      <xdr:col>60</xdr:col>
      <xdr:colOff>567690</xdr:colOff>
      <xdr:row>21</xdr:row>
      <xdr:rowOff>20955</xdr:rowOff>
    </xdr:to>
    <xdr:graphicFrame macro="">
      <xdr:nvGraphicFramePr>
        <xdr:cNvPr id="5" name="Chart 1">
          <a:extLst>
            <a:ext uri="{FF2B5EF4-FFF2-40B4-BE49-F238E27FC236}">
              <a16:creationId xmlns:a16="http://schemas.microsoft.com/office/drawing/2014/main" id="{9C94F20B-657C-4BB0-AE2C-9D9D9DE0AF4F}"/>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125057</xdr:colOff>
      <xdr:row>35</xdr:row>
      <xdr:rowOff>108249</xdr:rowOff>
    </xdr:from>
    <xdr:to>
      <xdr:col>15</xdr:col>
      <xdr:colOff>436693</xdr:colOff>
      <xdr:row>50</xdr:row>
      <xdr:rowOff>168256</xdr:rowOff>
    </xdr:to>
    <xdr:graphicFrame macro="">
      <xdr:nvGraphicFramePr>
        <xdr:cNvPr id="2" name="Grafiek 1">
          <a:extLst>
            <a:ext uri="{FF2B5EF4-FFF2-40B4-BE49-F238E27FC236}">
              <a16:creationId xmlns:a16="http://schemas.microsoft.com/office/drawing/2014/main" id="{61A8A728-ACEF-4067-8326-1773183DA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1085962</xdr:colOff>
      <xdr:row>34</xdr:row>
      <xdr:rowOff>171114</xdr:rowOff>
    </xdr:from>
    <xdr:to>
      <xdr:col>25</xdr:col>
      <xdr:colOff>112619</xdr:colOff>
      <xdr:row>50</xdr:row>
      <xdr:rowOff>9189</xdr:rowOff>
    </xdr:to>
    <xdr:graphicFrame macro="">
      <xdr:nvGraphicFramePr>
        <xdr:cNvPr id="3" name="Chart 2">
          <a:extLst>
            <a:ext uri="{FF2B5EF4-FFF2-40B4-BE49-F238E27FC236}">
              <a16:creationId xmlns:a16="http://schemas.microsoft.com/office/drawing/2014/main" id="{D6B0016B-73EC-47E2-A4CB-1BF6B6D36052}"/>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134919</xdr:colOff>
      <xdr:row>34</xdr:row>
      <xdr:rowOff>137832</xdr:rowOff>
    </xdr:from>
    <xdr:to>
      <xdr:col>34</xdr:col>
      <xdr:colOff>302559</xdr:colOff>
      <xdr:row>49</xdr:row>
      <xdr:rowOff>166407</xdr:rowOff>
    </xdr:to>
    <xdr:graphicFrame macro="">
      <xdr:nvGraphicFramePr>
        <xdr:cNvPr id="4" name="Chart 3">
          <a:extLst>
            <a:ext uri="{FF2B5EF4-FFF2-40B4-BE49-F238E27FC236}">
              <a16:creationId xmlns:a16="http://schemas.microsoft.com/office/drawing/2014/main" id="{46E0B55C-585F-41C7-BFC3-CD9A0DC9EB99}"/>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453390</xdr:colOff>
      <xdr:row>10</xdr:row>
      <xdr:rowOff>0</xdr:rowOff>
    </xdr:from>
    <xdr:to>
      <xdr:col>61</xdr:col>
      <xdr:colOff>148590</xdr:colOff>
      <xdr:row>20</xdr:row>
      <xdr:rowOff>116205</xdr:rowOff>
    </xdr:to>
    <xdr:graphicFrame macro="">
      <xdr:nvGraphicFramePr>
        <xdr:cNvPr id="5" name="Chart 1">
          <a:extLst>
            <a:ext uri="{FF2B5EF4-FFF2-40B4-BE49-F238E27FC236}">
              <a16:creationId xmlns:a16="http://schemas.microsoft.com/office/drawing/2014/main" id="{4F5A3DA0-E3DC-4915-9488-49DE458FC11D}"/>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125057</xdr:colOff>
      <xdr:row>35</xdr:row>
      <xdr:rowOff>108249</xdr:rowOff>
    </xdr:from>
    <xdr:to>
      <xdr:col>15</xdr:col>
      <xdr:colOff>436693</xdr:colOff>
      <xdr:row>50</xdr:row>
      <xdr:rowOff>168256</xdr:rowOff>
    </xdr:to>
    <xdr:graphicFrame macro="">
      <xdr:nvGraphicFramePr>
        <xdr:cNvPr id="2" name="Grafiek 1">
          <a:extLst>
            <a:ext uri="{FF2B5EF4-FFF2-40B4-BE49-F238E27FC236}">
              <a16:creationId xmlns:a16="http://schemas.microsoft.com/office/drawing/2014/main" id="{95B577AE-659F-4944-AAB2-47E3FF4CE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1085962</xdr:colOff>
      <xdr:row>34</xdr:row>
      <xdr:rowOff>171114</xdr:rowOff>
    </xdr:from>
    <xdr:to>
      <xdr:col>25</xdr:col>
      <xdr:colOff>112619</xdr:colOff>
      <xdr:row>50</xdr:row>
      <xdr:rowOff>9189</xdr:rowOff>
    </xdr:to>
    <xdr:graphicFrame macro="">
      <xdr:nvGraphicFramePr>
        <xdr:cNvPr id="3" name="Chart 2">
          <a:extLst>
            <a:ext uri="{FF2B5EF4-FFF2-40B4-BE49-F238E27FC236}">
              <a16:creationId xmlns:a16="http://schemas.microsoft.com/office/drawing/2014/main" id="{C556D4A4-2EBE-4750-A923-BC8DDE565C52}"/>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134919</xdr:colOff>
      <xdr:row>34</xdr:row>
      <xdr:rowOff>137832</xdr:rowOff>
    </xdr:from>
    <xdr:to>
      <xdr:col>34</xdr:col>
      <xdr:colOff>302559</xdr:colOff>
      <xdr:row>49</xdr:row>
      <xdr:rowOff>166407</xdr:rowOff>
    </xdr:to>
    <xdr:graphicFrame macro="">
      <xdr:nvGraphicFramePr>
        <xdr:cNvPr id="4" name="Chart 3">
          <a:extLst>
            <a:ext uri="{FF2B5EF4-FFF2-40B4-BE49-F238E27FC236}">
              <a16:creationId xmlns:a16="http://schemas.microsoft.com/office/drawing/2014/main" id="{054B6558-8E11-45A0-8E49-0DA87C78F678}"/>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530374</xdr:colOff>
      <xdr:row>6</xdr:row>
      <xdr:rowOff>49193</xdr:rowOff>
    </xdr:from>
    <xdr:to>
      <xdr:col>62</xdr:col>
      <xdr:colOff>223669</xdr:colOff>
      <xdr:row>18</xdr:row>
      <xdr:rowOff>89871</xdr:rowOff>
    </xdr:to>
    <xdr:graphicFrame macro="">
      <xdr:nvGraphicFramePr>
        <xdr:cNvPr id="5" name="Chart 1">
          <a:extLst>
            <a:ext uri="{FF2B5EF4-FFF2-40B4-BE49-F238E27FC236}">
              <a16:creationId xmlns:a16="http://schemas.microsoft.com/office/drawing/2014/main" id="{B0B0CBB7-054E-4D82-A76E-428725FF0BF0}"/>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281940</xdr:colOff>
      <xdr:row>38</xdr:row>
      <xdr:rowOff>186690</xdr:rowOff>
    </xdr:from>
    <xdr:to>
      <xdr:col>16</xdr:col>
      <xdr:colOff>78105</xdr:colOff>
      <xdr:row>54</xdr:row>
      <xdr:rowOff>63817</xdr:rowOff>
    </xdr:to>
    <xdr:graphicFrame macro="">
      <xdr:nvGraphicFramePr>
        <xdr:cNvPr id="2" name="Grafiek 1">
          <a:extLst>
            <a:ext uri="{FF2B5EF4-FFF2-40B4-BE49-F238E27FC236}">
              <a16:creationId xmlns:a16="http://schemas.microsoft.com/office/drawing/2014/main" id="{E6C59056-715A-4E8C-A2B0-5D3024337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992505</xdr:colOff>
      <xdr:row>40</xdr:row>
      <xdr:rowOff>60960</xdr:rowOff>
    </xdr:from>
    <xdr:to>
      <xdr:col>26</xdr:col>
      <xdr:colOff>504825</xdr:colOff>
      <xdr:row>55</xdr:row>
      <xdr:rowOff>85725</xdr:rowOff>
    </xdr:to>
    <xdr:graphicFrame macro="">
      <xdr:nvGraphicFramePr>
        <xdr:cNvPr id="3" name="Chart 2">
          <a:extLst>
            <a:ext uri="{FF2B5EF4-FFF2-40B4-BE49-F238E27FC236}">
              <a16:creationId xmlns:a16="http://schemas.microsoft.com/office/drawing/2014/main" id="{38EF38AC-D802-45EA-B903-8D3D56793436}"/>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310067</xdr:colOff>
      <xdr:row>4</xdr:row>
      <xdr:rowOff>125730</xdr:rowOff>
    </xdr:from>
    <xdr:to>
      <xdr:col>63</xdr:col>
      <xdr:colOff>5267</xdr:colOff>
      <xdr:row>16</xdr:row>
      <xdr:rowOff>138281</xdr:rowOff>
    </xdr:to>
    <xdr:graphicFrame macro="">
      <xdr:nvGraphicFramePr>
        <xdr:cNvPr id="5" name="Chart 1">
          <a:extLst>
            <a:ext uri="{FF2B5EF4-FFF2-40B4-BE49-F238E27FC236}">
              <a16:creationId xmlns:a16="http://schemas.microsoft.com/office/drawing/2014/main" id="{CD00C1F4-D031-4973-8806-CFF106D4A767}"/>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119565</xdr:colOff>
      <xdr:row>41</xdr:row>
      <xdr:rowOff>25438</xdr:rowOff>
    </xdr:from>
    <xdr:to>
      <xdr:col>35</xdr:col>
      <xdr:colOff>425934</xdr:colOff>
      <xdr:row>55</xdr:row>
      <xdr:rowOff>97828</xdr:rowOff>
    </xdr:to>
    <xdr:graphicFrame macro="">
      <xdr:nvGraphicFramePr>
        <xdr:cNvPr id="6" name="Grafiek 5">
          <a:extLst>
            <a:ext uri="{FF2B5EF4-FFF2-40B4-BE49-F238E27FC236}">
              <a16:creationId xmlns:a16="http://schemas.microsoft.com/office/drawing/2014/main" id="{4CCFFABE-D92A-D856-5E3B-7F958E5D5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281940</xdr:colOff>
      <xdr:row>37</xdr:row>
      <xdr:rowOff>186690</xdr:rowOff>
    </xdr:from>
    <xdr:to>
      <xdr:col>16</xdr:col>
      <xdr:colOff>78105</xdr:colOff>
      <xdr:row>53</xdr:row>
      <xdr:rowOff>63817</xdr:rowOff>
    </xdr:to>
    <xdr:graphicFrame macro="">
      <xdr:nvGraphicFramePr>
        <xdr:cNvPr id="2" name="Grafiek 1">
          <a:extLst>
            <a:ext uri="{FF2B5EF4-FFF2-40B4-BE49-F238E27FC236}">
              <a16:creationId xmlns:a16="http://schemas.microsoft.com/office/drawing/2014/main" id="{5C4BA81E-4334-4A21-8965-C5EEAD3A4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992505</xdr:colOff>
      <xdr:row>39</xdr:row>
      <xdr:rowOff>60960</xdr:rowOff>
    </xdr:from>
    <xdr:to>
      <xdr:col>26</xdr:col>
      <xdr:colOff>504825</xdr:colOff>
      <xdr:row>54</xdr:row>
      <xdr:rowOff>85725</xdr:rowOff>
    </xdr:to>
    <xdr:graphicFrame macro="">
      <xdr:nvGraphicFramePr>
        <xdr:cNvPr id="3" name="Chart 2">
          <a:extLst>
            <a:ext uri="{FF2B5EF4-FFF2-40B4-BE49-F238E27FC236}">
              <a16:creationId xmlns:a16="http://schemas.microsoft.com/office/drawing/2014/main" id="{E25992A1-F1E0-43EA-93F8-8572CB8F107F}"/>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41463</xdr:colOff>
      <xdr:row>9</xdr:row>
      <xdr:rowOff>171113</xdr:rowOff>
    </xdr:from>
    <xdr:to>
      <xdr:col>62</xdr:col>
      <xdr:colOff>341780</xdr:colOff>
      <xdr:row>23</xdr:row>
      <xdr:rowOff>72276</xdr:rowOff>
    </xdr:to>
    <xdr:graphicFrame macro="">
      <xdr:nvGraphicFramePr>
        <xdr:cNvPr id="5" name="Chart 1">
          <a:extLst>
            <a:ext uri="{FF2B5EF4-FFF2-40B4-BE49-F238E27FC236}">
              <a16:creationId xmlns:a16="http://schemas.microsoft.com/office/drawing/2014/main" id="{240BBE72-031B-4C38-B310-50E69B029AAA}"/>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369906</xdr:colOff>
      <xdr:row>40</xdr:row>
      <xdr:rowOff>77656</xdr:rowOff>
    </xdr:from>
    <xdr:to>
      <xdr:col>35</xdr:col>
      <xdr:colOff>57822</xdr:colOff>
      <xdr:row>54</xdr:row>
      <xdr:rowOff>151951</xdr:rowOff>
    </xdr:to>
    <xdr:graphicFrame macro="">
      <xdr:nvGraphicFramePr>
        <xdr:cNvPr id="7" name="Grafiek 6">
          <a:extLst>
            <a:ext uri="{FF2B5EF4-FFF2-40B4-BE49-F238E27FC236}">
              <a16:creationId xmlns:a16="http://schemas.microsoft.com/office/drawing/2014/main" id="{3EA58976-8FBB-63DB-1AB6-178639D1F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281940</xdr:colOff>
      <xdr:row>34</xdr:row>
      <xdr:rowOff>186690</xdr:rowOff>
    </xdr:from>
    <xdr:to>
      <xdr:col>16</xdr:col>
      <xdr:colOff>78105</xdr:colOff>
      <xdr:row>50</xdr:row>
      <xdr:rowOff>63817</xdr:rowOff>
    </xdr:to>
    <xdr:graphicFrame macro="">
      <xdr:nvGraphicFramePr>
        <xdr:cNvPr id="2" name="Grafiek 1">
          <a:extLst>
            <a:ext uri="{FF2B5EF4-FFF2-40B4-BE49-F238E27FC236}">
              <a16:creationId xmlns:a16="http://schemas.microsoft.com/office/drawing/2014/main" id="{C3F0FFA1-2554-4405-86E7-87A90AD3A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992505</xdr:colOff>
      <xdr:row>36</xdr:row>
      <xdr:rowOff>60960</xdr:rowOff>
    </xdr:from>
    <xdr:to>
      <xdr:col>26</xdr:col>
      <xdr:colOff>504825</xdr:colOff>
      <xdr:row>51</xdr:row>
      <xdr:rowOff>85725</xdr:rowOff>
    </xdr:to>
    <xdr:graphicFrame macro="">
      <xdr:nvGraphicFramePr>
        <xdr:cNvPr id="3" name="Chart 2">
          <a:extLst>
            <a:ext uri="{FF2B5EF4-FFF2-40B4-BE49-F238E27FC236}">
              <a16:creationId xmlns:a16="http://schemas.microsoft.com/office/drawing/2014/main" id="{61B4F4EF-A009-49CB-A3FE-82BB57BA0695}"/>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217170</xdr:colOff>
      <xdr:row>35</xdr:row>
      <xdr:rowOff>173355</xdr:rowOff>
    </xdr:from>
    <xdr:to>
      <xdr:col>35</xdr:col>
      <xdr:colOff>379095</xdr:colOff>
      <xdr:row>51</xdr:row>
      <xdr:rowOff>7620</xdr:rowOff>
    </xdr:to>
    <xdr:graphicFrame macro="">
      <xdr:nvGraphicFramePr>
        <xdr:cNvPr id="4" name="Chart 3">
          <a:extLst>
            <a:ext uri="{FF2B5EF4-FFF2-40B4-BE49-F238E27FC236}">
              <a16:creationId xmlns:a16="http://schemas.microsoft.com/office/drawing/2014/main" id="{E55B2C83-DC62-491E-BCDC-4A06604DD0D3}"/>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413497</xdr:colOff>
      <xdr:row>8</xdr:row>
      <xdr:rowOff>133350</xdr:rowOff>
    </xdr:from>
    <xdr:to>
      <xdr:col>65</xdr:col>
      <xdr:colOff>108697</xdr:colOff>
      <xdr:row>21</xdr:row>
      <xdr:rowOff>9525</xdr:rowOff>
    </xdr:to>
    <xdr:graphicFrame macro="">
      <xdr:nvGraphicFramePr>
        <xdr:cNvPr id="5" name="Chart 1">
          <a:extLst>
            <a:ext uri="{FF2B5EF4-FFF2-40B4-BE49-F238E27FC236}">
              <a16:creationId xmlns:a16="http://schemas.microsoft.com/office/drawing/2014/main" id="{5E467C7D-EFD7-4CB8-909E-C3F27EB81D33}"/>
            </a:ext>
            <a:ext uri="{147F2762-F138-4A5C-976F-8EAC2B608ADB}">
              <a16:predDERef xmlns:a16="http://schemas.microsoft.com/office/drawing/2014/main" pred="{E55B2C83-DC62-491E-BCDC-4A06604DD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281940</xdr:colOff>
      <xdr:row>35</xdr:row>
      <xdr:rowOff>186690</xdr:rowOff>
    </xdr:from>
    <xdr:to>
      <xdr:col>16</xdr:col>
      <xdr:colOff>78105</xdr:colOff>
      <xdr:row>51</xdr:row>
      <xdr:rowOff>63817</xdr:rowOff>
    </xdr:to>
    <xdr:graphicFrame macro="">
      <xdr:nvGraphicFramePr>
        <xdr:cNvPr id="2" name="Grafiek 1">
          <a:extLst>
            <a:ext uri="{FF2B5EF4-FFF2-40B4-BE49-F238E27FC236}">
              <a16:creationId xmlns:a16="http://schemas.microsoft.com/office/drawing/2014/main" id="{98853836-420B-46D4-816D-F683DEF5E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992505</xdr:colOff>
      <xdr:row>37</xdr:row>
      <xdr:rowOff>60960</xdr:rowOff>
    </xdr:from>
    <xdr:to>
      <xdr:col>26</xdr:col>
      <xdr:colOff>504825</xdr:colOff>
      <xdr:row>52</xdr:row>
      <xdr:rowOff>85725</xdr:rowOff>
    </xdr:to>
    <xdr:graphicFrame macro="">
      <xdr:nvGraphicFramePr>
        <xdr:cNvPr id="3" name="Chart 2">
          <a:extLst>
            <a:ext uri="{FF2B5EF4-FFF2-40B4-BE49-F238E27FC236}">
              <a16:creationId xmlns:a16="http://schemas.microsoft.com/office/drawing/2014/main" id="{515611D4-F93B-481C-9F29-34B93EE2BB01}"/>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231578</xdr:colOff>
      <xdr:row>10</xdr:row>
      <xdr:rowOff>304713</xdr:rowOff>
    </xdr:from>
    <xdr:to>
      <xdr:col>63</xdr:col>
      <xdr:colOff>539881</xdr:colOff>
      <xdr:row>25</xdr:row>
      <xdr:rowOff>482</xdr:rowOff>
    </xdr:to>
    <xdr:graphicFrame macro="">
      <xdr:nvGraphicFramePr>
        <xdr:cNvPr id="5" name="Chart 1">
          <a:extLst>
            <a:ext uri="{FF2B5EF4-FFF2-40B4-BE49-F238E27FC236}">
              <a16:creationId xmlns:a16="http://schemas.microsoft.com/office/drawing/2014/main" id="{EDD76AFF-E576-47AA-A7B3-EEBFF4352222}"/>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133569</xdr:colOff>
      <xdr:row>37</xdr:row>
      <xdr:rowOff>119270</xdr:rowOff>
    </xdr:from>
    <xdr:to>
      <xdr:col>34</xdr:col>
      <xdr:colOff>391949</xdr:colOff>
      <xdr:row>52</xdr:row>
      <xdr:rowOff>72564</xdr:rowOff>
    </xdr:to>
    <xdr:graphicFrame macro="">
      <xdr:nvGraphicFramePr>
        <xdr:cNvPr id="8" name="Grafiek 7">
          <a:extLst>
            <a:ext uri="{FF2B5EF4-FFF2-40B4-BE49-F238E27FC236}">
              <a16:creationId xmlns:a16="http://schemas.microsoft.com/office/drawing/2014/main" id="{55B21D50-9B54-265F-0117-76445E63A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285750</xdr:colOff>
      <xdr:row>38</xdr:row>
      <xdr:rowOff>74631</xdr:rowOff>
    </xdr:from>
    <xdr:to>
      <xdr:col>16</xdr:col>
      <xdr:colOff>78105</xdr:colOff>
      <xdr:row>53</xdr:row>
      <xdr:rowOff>138448</xdr:rowOff>
    </xdr:to>
    <xdr:graphicFrame macro="">
      <xdr:nvGraphicFramePr>
        <xdr:cNvPr id="2" name="Grafiek 1">
          <a:extLst>
            <a:ext uri="{FF2B5EF4-FFF2-40B4-BE49-F238E27FC236}">
              <a16:creationId xmlns:a16="http://schemas.microsoft.com/office/drawing/2014/main" id="{4C384CB6-1ABA-47DB-8016-DE678FDE1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970093</xdr:colOff>
      <xdr:row>39</xdr:row>
      <xdr:rowOff>45944</xdr:rowOff>
    </xdr:from>
    <xdr:to>
      <xdr:col>26</xdr:col>
      <xdr:colOff>484318</xdr:colOff>
      <xdr:row>54</xdr:row>
      <xdr:rowOff>76424</xdr:rowOff>
    </xdr:to>
    <xdr:graphicFrame macro="">
      <xdr:nvGraphicFramePr>
        <xdr:cNvPr id="3" name="Chart 2">
          <a:extLst>
            <a:ext uri="{FF2B5EF4-FFF2-40B4-BE49-F238E27FC236}">
              <a16:creationId xmlns:a16="http://schemas.microsoft.com/office/drawing/2014/main" id="{D31E559F-82B0-43CC-A589-34771C8BF5EC}"/>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417698</xdr:colOff>
      <xdr:row>10</xdr:row>
      <xdr:rowOff>282817</xdr:rowOff>
    </xdr:from>
    <xdr:to>
      <xdr:col>63</xdr:col>
      <xdr:colOff>112898</xdr:colOff>
      <xdr:row>24</xdr:row>
      <xdr:rowOff>164707</xdr:rowOff>
    </xdr:to>
    <xdr:graphicFrame macro="">
      <xdr:nvGraphicFramePr>
        <xdr:cNvPr id="5" name="Chart 1">
          <a:extLst>
            <a:ext uri="{FF2B5EF4-FFF2-40B4-BE49-F238E27FC236}">
              <a16:creationId xmlns:a16="http://schemas.microsoft.com/office/drawing/2014/main" id="{7CD6299D-3C60-45FA-B012-6B92EB699D26}"/>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42172</xdr:colOff>
      <xdr:row>39</xdr:row>
      <xdr:rowOff>137357</xdr:rowOff>
    </xdr:from>
    <xdr:to>
      <xdr:col>34</xdr:col>
      <xdr:colOff>296742</xdr:colOff>
      <xdr:row>54</xdr:row>
      <xdr:rowOff>90652</xdr:rowOff>
    </xdr:to>
    <xdr:graphicFrame macro="">
      <xdr:nvGraphicFramePr>
        <xdr:cNvPr id="6" name="Grafiek 5">
          <a:extLst>
            <a:ext uri="{FF2B5EF4-FFF2-40B4-BE49-F238E27FC236}">
              <a16:creationId xmlns:a16="http://schemas.microsoft.com/office/drawing/2014/main" id="{16A54334-1CAD-F01C-0FED-C387A6A7F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285750</xdr:colOff>
      <xdr:row>38</xdr:row>
      <xdr:rowOff>74631</xdr:rowOff>
    </xdr:from>
    <xdr:to>
      <xdr:col>16</xdr:col>
      <xdr:colOff>78105</xdr:colOff>
      <xdr:row>53</xdr:row>
      <xdr:rowOff>138448</xdr:rowOff>
    </xdr:to>
    <xdr:graphicFrame macro="">
      <xdr:nvGraphicFramePr>
        <xdr:cNvPr id="2" name="Grafiek 1">
          <a:extLst>
            <a:ext uri="{FF2B5EF4-FFF2-40B4-BE49-F238E27FC236}">
              <a16:creationId xmlns:a16="http://schemas.microsoft.com/office/drawing/2014/main" id="{37A4875A-2D21-43D2-901C-28E04A31D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970093</xdr:colOff>
      <xdr:row>39</xdr:row>
      <xdr:rowOff>45944</xdr:rowOff>
    </xdr:from>
    <xdr:to>
      <xdr:col>26</xdr:col>
      <xdr:colOff>484318</xdr:colOff>
      <xdr:row>54</xdr:row>
      <xdr:rowOff>76424</xdr:rowOff>
    </xdr:to>
    <xdr:graphicFrame macro="">
      <xdr:nvGraphicFramePr>
        <xdr:cNvPr id="3" name="Chart 2">
          <a:extLst>
            <a:ext uri="{FF2B5EF4-FFF2-40B4-BE49-F238E27FC236}">
              <a16:creationId xmlns:a16="http://schemas.microsoft.com/office/drawing/2014/main" id="{18DEE87B-0E44-402E-A64B-34B2A3C67F1C}"/>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198850</xdr:colOff>
      <xdr:row>10</xdr:row>
      <xdr:rowOff>0</xdr:rowOff>
    </xdr:from>
    <xdr:to>
      <xdr:col>62</xdr:col>
      <xdr:colOff>502029</xdr:colOff>
      <xdr:row>23</xdr:row>
      <xdr:rowOff>31696</xdr:rowOff>
    </xdr:to>
    <xdr:graphicFrame macro="">
      <xdr:nvGraphicFramePr>
        <xdr:cNvPr id="5" name="Chart 1">
          <a:extLst>
            <a:ext uri="{FF2B5EF4-FFF2-40B4-BE49-F238E27FC236}">
              <a16:creationId xmlns:a16="http://schemas.microsoft.com/office/drawing/2014/main" id="{5315A653-4DBA-4818-A72E-9E2847AC6D89}"/>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363126</xdr:colOff>
      <xdr:row>39</xdr:row>
      <xdr:rowOff>116043</xdr:rowOff>
    </xdr:from>
    <xdr:to>
      <xdr:col>35</xdr:col>
      <xdr:colOff>46612</xdr:colOff>
      <xdr:row>53</xdr:row>
      <xdr:rowOff>165775</xdr:rowOff>
    </xdr:to>
    <xdr:graphicFrame macro="">
      <xdr:nvGraphicFramePr>
        <xdr:cNvPr id="6" name="Grafiek 5">
          <a:extLst>
            <a:ext uri="{FF2B5EF4-FFF2-40B4-BE49-F238E27FC236}">
              <a16:creationId xmlns:a16="http://schemas.microsoft.com/office/drawing/2014/main" id="{7D8702C6-C74C-3652-6479-FEBBA9779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285750</xdr:colOff>
      <xdr:row>38</xdr:row>
      <xdr:rowOff>74631</xdr:rowOff>
    </xdr:from>
    <xdr:to>
      <xdr:col>16</xdr:col>
      <xdr:colOff>78105</xdr:colOff>
      <xdr:row>53</xdr:row>
      <xdr:rowOff>138448</xdr:rowOff>
    </xdr:to>
    <xdr:graphicFrame macro="">
      <xdr:nvGraphicFramePr>
        <xdr:cNvPr id="2" name="Grafiek 1">
          <a:extLst>
            <a:ext uri="{FF2B5EF4-FFF2-40B4-BE49-F238E27FC236}">
              <a16:creationId xmlns:a16="http://schemas.microsoft.com/office/drawing/2014/main" id="{FF42A8D9-F367-4407-8483-F72BD12D1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970093</xdr:colOff>
      <xdr:row>39</xdr:row>
      <xdr:rowOff>45944</xdr:rowOff>
    </xdr:from>
    <xdr:to>
      <xdr:col>26</xdr:col>
      <xdr:colOff>484318</xdr:colOff>
      <xdr:row>54</xdr:row>
      <xdr:rowOff>76424</xdr:rowOff>
    </xdr:to>
    <xdr:graphicFrame macro="">
      <xdr:nvGraphicFramePr>
        <xdr:cNvPr id="3" name="Chart 2">
          <a:extLst>
            <a:ext uri="{FF2B5EF4-FFF2-40B4-BE49-F238E27FC236}">
              <a16:creationId xmlns:a16="http://schemas.microsoft.com/office/drawing/2014/main" id="{2648438E-A22F-4FBA-9C51-C071D4CDBF85}"/>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69588</xdr:colOff>
      <xdr:row>41</xdr:row>
      <xdr:rowOff>46280</xdr:rowOff>
    </xdr:from>
    <xdr:to>
      <xdr:col>36</xdr:col>
      <xdr:colOff>199801</xdr:colOff>
      <xdr:row>56</xdr:row>
      <xdr:rowOff>76760</xdr:rowOff>
    </xdr:to>
    <xdr:graphicFrame macro="">
      <xdr:nvGraphicFramePr>
        <xdr:cNvPr id="4" name="Chart 3">
          <a:extLst>
            <a:ext uri="{FF2B5EF4-FFF2-40B4-BE49-F238E27FC236}">
              <a16:creationId xmlns:a16="http://schemas.microsoft.com/office/drawing/2014/main" id="{C82482E0-B090-4256-9B28-CECC9FEDBEEC}"/>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162485</xdr:colOff>
      <xdr:row>10</xdr:row>
      <xdr:rowOff>0</xdr:rowOff>
    </xdr:from>
    <xdr:to>
      <xdr:col>62</xdr:col>
      <xdr:colOff>462803</xdr:colOff>
      <xdr:row>22</xdr:row>
      <xdr:rowOff>93681</xdr:rowOff>
    </xdr:to>
    <xdr:graphicFrame macro="">
      <xdr:nvGraphicFramePr>
        <xdr:cNvPr id="5" name="Chart 1">
          <a:extLst>
            <a:ext uri="{FF2B5EF4-FFF2-40B4-BE49-F238E27FC236}">
              <a16:creationId xmlns:a16="http://schemas.microsoft.com/office/drawing/2014/main" id="{F03D2FE9-F0AA-4E9E-9713-E268D10FAD03}"/>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285750</xdr:colOff>
      <xdr:row>33</xdr:row>
      <xdr:rowOff>74631</xdr:rowOff>
    </xdr:from>
    <xdr:to>
      <xdr:col>16</xdr:col>
      <xdr:colOff>78105</xdr:colOff>
      <xdr:row>48</xdr:row>
      <xdr:rowOff>138448</xdr:rowOff>
    </xdr:to>
    <xdr:graphicFrame macro="">
      <xdr:nvGraphicFramePr>
        <xdr:cNvPr id="2" name="Grafiek 1">
          <a:extLst>
            <a:ext uri="{FF2B5EF4-FFF2-40B4-BE49-F238E27FC236}">
              <a16:creationId xmlns:a16="http://schemas.microsoft.com/office/drawing/2014/main" id="{B0540668-5D37-4587-995E-C731599FC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970093</xdr:colOff>
      <xdr:row>34</xdr:row>
      <xdr:rowOff>45944</xdr:rowOff>
    </xdr:from>
    <xdr:to>
      <xdr:col>26</xdr:col>
      <xdr:colOff>484318</xdr:colOff>
      <xdr:row>49</xdr:row>
      <xdr:rowOff>76424</xdr:rowOff>
    </xdr:to>
    <xdr:graphicFrame macro="">
      <xdr:nvGraphicFramePr>
        <xdr:cNvPr id="3" name="Chart 2">
          <a:extLst>
            <a:ext uri="{FF2B5EF4-FFF2-40B4-BE49-F238E27FC236}">
              <a16:creationId xmlns:a16="http://schemas.microsoft.com/office/drawing/2014/main" id="{DEDD4965-0FB5-4250-A5AA-3EDEA8B3ADC2}"/>
            </a:ext>
            <a:ext uri="{147F2762-F138-4A5C-976F-8EAC2B608ADB}">
              <a16:predDERef xmlns:a16="http://schemas.microsoft.com/office/drawing/2014/main" pred="{9139D88F-ED2D-0951-979B-2363B81F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69588</xdr:colOff>
      <xdr:row>36</xdr:row>
      <xdr:rowOff>46280</xdr:rowOff>
    </xdr:from>
    <xdr:to>
      <xdr:col>36</xdr:col>
      <xdr:colOff>199801</xdr:colOff>
      <xdr:row>51</xdr:row>
      <xdr:rowOff>76760</xdr:rowOff>
    </xdr:to>
    <xdr:graphicFrame macro="">
      <xdr:nvGraphicFramePr>
        <xdr:cNvPr id="4" name="Chart 3">
          <a:extLst>
            <a:ext uri="{FF2B5EF4-FFF2-40B4-BE49-F238E27FC236}">
              <a16:creationId xmlns:a16="http://schemas.microsoft.com/office/drawing/2014/main" id="{F274DAD0-3F94-4558-ADFA-8D488E5A8628}"/>
            </a:ext>
            <a:ext uri="{147F2762-F138-4A5C-976F-8EAC2B608ADB}">
              <a16:predDERef xmlns:a16="http://schemas.microsoft.com/office/drawing/2014/main" pred="{200110CF-6FCC-4552-8254-AD4FE9F3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452596</xdr:colOff>
      <xdr:row>6</xdr:row>
      <xdr:rowOff>159305</xdr:rowOff>
    </xdr:from>
    <xdr:to>
      <xdr:col>62</xdr:col>
      <xdr:colOff>147796</xdr:colOff>
      <xdr:row>20</xdr:row>
      <xdr:rowOff>21351</xdr:rowOff>
    </xdr:to>
    <xdr:graphicFrame macro="">
      <xdr:nvGraphicFramePr>
        <xdr:cNvPr id="5" name="Chart 1">
          <a:extLst>
            <a:ext uri="{FF2B5EF4-FFF2-40B4-BE49-F238E27FC236}">
              <a16:creationId xmlns:a16="http://schemas.microsoft.com/office/drawing/2014/main" id="{BEFE1664-F910-401F-8745-C81F3B052456}"/>
            </a:ext>
            <a:ext uri="{147F2762-F138-4A5C-976F-8EAC2B608ADB}">
              <a16:predDERef xmlns:a16="http://schemas.microsoft.com/office/drawing/2014/main" pred="{B11BC74D-DD68-4AAE-A399-B2BE9D98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thali Meza Ramos" id="{A33A915C-787B-4791-8440-90E1BE53E3DC}" userId="S::pmezaramos@tudelft.nl::2c0f40d6-2583-4281-bd3b-163f8d3883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3" dT="2023-06-01T07:37:51.80" personId="{A33A915C-787B-4791-8440-90E1BE53E3DC}" id="{63321E54-59DA-4677-A90C-95F149E84779}" done="1">
    <text>consider the hour of the measurement on that day</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3-06-01T07:38:35.45" personId="{A33A915C-787B-4791-8440-90E1BE53E3DC}" id="{246DDD80-AAC6-45C0-8B18-9E881575FF70}">
    <text>consider the atmospheric pressure that day</text>
  </threadedComment>
  <threadedComment ref="F13" dT="2023-06-01T07:39:24.63" personId="{A33A915C-787B-4791-8440-90E1BE53E3DC}" id="{C846B7F7-DF95-4B2A-B9C7-8383AEE6A0FE}">
    <text>consider an average of the pressure before the GC</text>
  </threadedComment>
  <threadedComment ref="X13" dT="2023-06-01T07:40:28.50" personId="{A33A915C-787B-4791-8440-90E1BE53E3DC}" id="{6BE7DF1A-86D8-4C2B-BDC3-91205977DC34}">
    <text>you'll have the moles of gas before the GC</text>
  </threadedComment>
  <threadedComment ref="Y13" dT="2023-06-01T07:40:56.85" personId="{A33A915C-787B-4791-8440-90E1BE53E3DC}" id="{335F8D1A-6FCE-456F-956C-7059DC3A93B7}">
    <text>with the gas composition, you'll have the moles of each gas</text>
  </threadedComment>
  <threadedComment ref="AE13" dT="2023-06-01T07:41:35.02" personId="{A33A915C-787B-4791-8440-90E1BE53E3DC}" id="{5E38B4C9-929E-48ED-9E1B-C6CA4C30FABB}">
    <text>In this case the moles before and after are the same as we didn't took a sample for the GC the first day.</text>
  </threadedComment>
  <threadedComment ref="AM14" dT="2023-06-01T07:43:16.10" personId="{A33A915C-787B-4791-8440-90E1BE53E3DC}" id="{D14705D3-32DE-471E-AABC-8206C28E965E}">
    <text>then, probably this value will be positive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363EE-8AEE-4761-8305-20E85BD5CA8D}">
  <dimension ref="A1:B8"/>
  <sheetViews>
    <sheetView workbookViewId="0">
      <selection activeCell="B13" sqref="B13"/>
    </sheetView>
  </sheetViews>
  <sheetFormatPr defaultRowHeight="14.4" x14ac:dyDescent="0.3"/>
  <cols>
    <col min="1" max="1" width="25.6640625" bestFit="1" customWidth="1"/>
    <col min="2" max="2" width="167.109375" customWidth="1"/>
  </cols>
  <sheetData>
    <row r="1" spans="1:2" x14ac:dyDescent="0.3">
      <c r="A1" s="16" t="s">
        <v>0</v>
      </c>
      <c r="B1" s="16" t="s">
        <v>1</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ht="43.2" x14ac:dyDescent="0.3">
      <c r="A6" t="s">
        <v>10</v>
      </c>
      <c r="B6" s="17" t="s">
        <v>128</v>
      </c>
    </row>
    <row r="7" spans="1:2" x14ac:dyDescent="0.3">
      <c r="A7" t="s">
        <v>11</v>
      </c>
      <c r="B7" t="s">
        <v>12</v>
      </c>
    </row>
    <row r="8" spans="1:2" x14ac:dyDescent="0.3">
      <c r="A8" t="s">
        <v>13</v>
      </c>
      <c r="B8"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A6DE-277A-405C-AF52-732F740C380C}">
  <dimension ref="A1:CA32"/>
  <sheetViews>
    <sheetView topLeftCell="AE5" zoomScale="115" zoomScaleNormal="115" workbookViewId="0">
      <selection activeCell="AX20" sqref="AX20"/>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123</v>
      </c>
      <c r="B13">
        <v>1</v>
      </c>
      <c r="C13" s="2">
        <v>45033</v>
      </c>
      <c r="D13" s="11">
        <v>0.63750000000000007</v>
      </c>
      <c r="E13" s="15">
        <v>1025.4000000000001</v>
      </c>
      <c r="F13">
        <f>SUM(F14:F32)/(31-14)</f>
        <v>1222.7862745098041</v>
      </c>
      <c r="M13" t="s">
        <v>4</v>
      </c>
      <c r="O13">
        <v>785.8</v>
      </c>
      <c r="P13" s="3">
        <f>C13+D13</f>
        <v>45033.637499999997</v>
      </c>
      <c r="Q13" s="4">
        <f>P13-$P$13</f>
        <v>0</v>
      </c>
      <c r="S13">
        <v>0</v>
      </c>
      <c r="T13">
        <v>0.03</v>
      </c>
      <c r="U13">
        <v>21.9</v>
      </c>
      <c r="V13">
        <v>78.069999999999993</v>
      </c>
      <c r="W13">
        <f>SUM(S13:V13)</f>
        <v>100</v>
      </c>
      <c r="X13" s="6">
        <f>F13*100*$D$3/($D$1*$D$2)</f>
        <v>4.8211196149099661E-2</v>
      </c>
      <c r="Y13" s="6">
        <f t="shared" ref="Y13:Y32" si="0">X13*T13/100</f>
        <v>1.4463358844729898E-5</v>
      </c>
      <c r="Z13" s="6">
        <f>X13*S13/100</f>
        <v>0</v>
      </c>
      <c r="AA13" s="6">
        <f t="shared" ref="AA13:AA32" si="1">X13*U13/100</f>
        <v>1.0558251956652824E-2</v>
      </c>
      <c r="AB13" s="6">
        <f t="shared" ref="AB13:AB32" si="2">X13*V13/100</f>
        <v>3.7638480833602099E-2</v>
      </c>
      <c r="AC13" s="6">
        <f>Y13+Z13</f>
        <v>1.4463358844729898E-5</v>
      </c>
      <c r="AD13" s="6">
        <f>X13</f>
        <v>4.8211196149099661E-2</v>
      </c>
      <c r="AE13" s="6">
        <f>Y13</f>
        <v>1.4463358844729898E-5</v>
      </c>
      <c r="AF13" s="6">
        <f t="shared" ref="AF13:AI13" si="3">Z13</f>
        <v>0</v>
      </c>
      <c r="AG13" s="6">
        <f t="shared" si="3"/>
        <v>1.0558251956652824E-2</v>
      </c>
      <c r="AH13" s="6">
        <f t="shared" si="3"/>
        <v>3.7638480833602099E-2</v>
      </c>
      <c r="AI13" s="6">
        <f t="shared" si="3"/>
        <v>1.4463358844729898E-5</v>
      </c>
      <c r="AJ13" s="22">
        <f>AC13-AI13</f>
        <v>0</v>
      </c>
      <c r="AK13" s="6">
        <f>AA13-AG13</f>
        <v>0</v>
      </c>
      <c r="AL13" s="23">
        <f>Y13-AE13</f>
        <v>0</v>
      </c>
      <c r="AM13" s="6">
        <f>AK13</f>
        <v>0</v>
      </c>
      <c r="AN13" s="6">
        <f>AL13</f>
        <v>0</v>
      </c>
      <c r="AO13" s="6">
        <f>AJ13</f>
        <v>0</v>
      </c>
      <c r="AP13" s="19">
        <f>AO13*$D$4*1000/$D$6</f>
        <v>0</v>
      </c>
      <c r="AQ13">
        <f>F13*100*T13/100</f>
        <v>36.683588235294117</v>
      </c>
      <c r="AR13" s="6">
        <f>AQ13*$D$7</f>
        <v>0.19185516647058823</v>
      </c>
      <c r="AS13" s="6">
        <f>AR13*$D$5/1000</f>
        <v>1.8801806314117645E-5</v>
      </c>
      <c r="AT13" s="6">
        <f>G13*100*T13/100</f>
        <v>0</v>
      </c>
      <c r="AU13" s="6">
        <f>AT13*$D$7</f>
        <v>0</v>
      </c>
      <c r="AV13" s="6">
        <f>AU13*$D$5/1000</f>
        <v>0</v>
      </c>
      <c r="AW13" s="6">
        <f>AS13-AV13</f>
        <v>1.8801806314117645E-5</v>
      </c>
      <c r="AX13" s="52">
        <f>AW13</f>
        <v>1.8801806314117645E-5</v>
      </c>
      <c r="AY13" s="53">
        <f>(AX13*$D$4*1000/$D$6)</f>
        <v>1.4688166703797298E-3</v>
      </c>
      <c r="AZ13" s="54">
        <f>AP13</f>
        <v>0</v>
      </c>
      <c r="BA13" s="23">
        <v>0</v>
      </c>
    </row>
    <row r="14" spans="1:56" ht="14.4" x14ac:dyDescent="0.3">
      <c r="A14" t="s">
        <v>123</v>
      </c>
      <c r="B14">
        <v>1</v>
      </c>
      <c r="C14" s="2">
        <v>45035</v>
      </c>
      <c r="D14" s="11">
        <v>0.65069444444444446</v>
      </c>
      <c r="E14" s="15">
        <v>1022.7</v>
      </c>
      <c r="F14">
        <v>1061.8</v>
      </c>
      <c r="G14">
        <v>1058.7</v>
      </c>
      <c r="H14">
        <v>0.14000000000000001</v>
      </c>
      <c r="I14">
        <v>3.27</v>
      </c>
      <c r="J14">
        <v>13.69</v>
      </c>
      <c r="K14">
        <v>81.11</v>
      </c>
      <c r="L14">
        <v>0</v>
      </c>
      <c r="N14" t="s">
        <v>99</v>
      </c>
      <c r="P14" s="3">
        <f t="shared" ref="P14:P32" si="4">C14+D14</f>
        <v>45035.650694444441</v>
      </c>
      <c r="Q14" s="4">
        <f t="shared" ref="Q14:Q32" si="5">P14-$P$13</f>
        <v>2.0131944444437977</v>
      </c>
      <c r="R14">
        <f>SUM(H14:K14)</f>
        <v>98.210000000000008</v>
      </c>
      <c r="S14">
        <f>H14 * 100/R14</f>
        <v>0.14255167498218105</v>
      </c>
      <c r="T14">
        <f>I14* 100/R14</f>
        <v>3.3295998370837996</v>
      </c>
      <c r="U14">
        <f>J14* 100/R14</f>
        <v>13.939517360757559</v>
      </c>
      <c r="V14">
        <f>K14* 100/R14</f>
        <v>82.588331127176446</v>
      </c>
      <c r="W14">
        <f>SUM(S14:V14)</f>
        <v>99.999999999999986</v>
      </c>
      <c r="X14" s="6">
        <f>F14*100*$D$3/($D$1*$D$2)</f>
        <v>4.1863937417547112E-2</v>
      </c>
      <c r="Y14" s="6">
        <f t="shared" si="0"/>
        <v>1.3939015920515123E-3</v>
      </c>
      <c r="Z14" s="6">
        <f t="shared" ref="Z14:Z32" si="6">X14*S14/100</f>
        <v>5.9677744002205437E-5</v>
      </c>
      <c r="AA14" s="6">
        <f t="shared" si="1"/>
        <v>5.8356308242156598E-3</v>
      </c>
      <c r="AB14" s="6">
        <f t="shared" si="2"/>
        <v>3.4574727257277726E-2</v>
      </c>
      <c r="AC14" s="6">
        <f>Y14+Z14</f>
        <v>1.4535793360537178E-3</v>
      </c>
      <c r="AD14" s="6">
        <f t="shared" ref="AD14:AD32" si="7">G14*100*$D$3/($D$1*$D$2)</f>
        <v>4.1741712699149676E-2</v>
      </c>
      <c r="AE14" s="6">
        <f t="shared" ref="AE14:AE32" si="8">AD14*T14/100</f>
        <v>1.3898319980268753E-3</v>
      </c>
      <c r="AF14" s="6">
        <f t="shared" ref="AF14:AF32" si="9">AD14*S14/100</f>
        <v>5.9503510618887636E-5</v>
      </c>
      <c r="AG14" s="6">
        <f t="shared" ref="AG14:AG32" si="10">AD14*U14/100</f>
        <v>5.8185932883755122E-3</v>
      </c>
      <c r="AH14" s="6">
        <f t="shared" ref="AH14:AH32" si="11">AD14*V14/100</f>
        <v>3.4473783902128394E-2</v>
      </c>
      <c r="AI14" s="6">
        <f>AE14+AF14</f>
        <v>1.449335508645763E-3</v>
      </c>
      <c r="AJ14" s="22">
        <f>AC14-AI13</f>
        <v>1.4391159772089879E-3</v>
      </c>
      <c r="AK14">
        <f>(AA14-AG13)*-1</f>
        <v>4.7226211324371643E-3</v>
      </c>
      <c r="AL14" s="25">
        <f>Y14-AE13</f>
        <v>1.3794382332067824E-3</v>
      </c>
      <c r="AM14" s="6">
        <f>AK14+AM13</f>
        <v>4.7226211324371643E-3</v>
      </c>
      <c r="AN14" s="6">
        <f>AL14+AN13</f>
        <v>1.3794382332067824E-3</v>
      </c>
      <c r="AO14" s="6">
        <f>AJ14+AO13</f>
        <v>1.4391159772089879E-3</v>
      </c>
      <c r="AP14" s="19">
        <f>AO14*$D$4*1000/$D$6</f>
        <v>0.11242523737451741</v>
      </c>
      <c r="AQ14">
        <f>F14*100*T14/100</f>
        <v>3535.3691070155783</v>
      </c>
      <c r="AR14" s="6">
        <f>AQ14*$D$7</f>
        <v>18.489980429691474</v>
      </c>
      <c r="AS14" s="6">
        <f>AR14*$D$5/1000</f>
        <v>1.8120180821097646E-3</v>
      </c>
      <c r="AT14" s="6">
        <f t="shared" ref="AT14:AT32" si="12">G14*100*T14/100</f>
        <v>3525.0473475206181</v>
      </c>
      <c r="AU14" s="6">
        <f t="shared" ref="AU14:AU32" si="13">AT14*$D$7</f>
        <v>18.435997627532835</v>
      </c>
      <c r="AV14" s="6">
        <f t="shared" ref="AV14:AV32" si="14">AU14*$D$5/1000</f>
        <v>1.8067277674982179E-3</v>
      </c>
      <c r="AW14" s="6">
        <f>AS14-AV13</f>
        <v>1.8120180821097646E-3</v>
      </c>
      <c r="AX14" s="52">
        <f>AW14+AX13</f>
        <v>1.8308198884238822E-3</v>
      </c>
      <c r="AY14" s="53">
        <f t="shared" ref="AY14:AY32" si="15">(AX14*$D$4*1000/$D$6)</f>
        <v>0.14302555444157358</v>
      </c>
      <c r="AZ14" s="54">
        <f>AY14+AP14</f>
        <v>0.25545079181609098</v>
      </c>
      <c r="BA14" s="23">
        <f t="shared" ref="BA14:BA32" si="16">AK14/(AL14+AW14)</f>
        <v>1.4797699438253937</v>
      </c>
    </row>
    <row r="15" spans="1:56" ht="14.4" x14ac:dyDescent="0.3">
      <c r="A15" t="s">
        <v>123</v>
      </c>
      <c r="B15">
        <v>1</v>
      </c>
      <c r="C15" s="2">
        <v>45035</v>
      </c>
      <c r="D15" s="11">
        <v>0.7368055555555556</v>
      </c>
      <c r="E15" s="15">
        <v>1021.3</v>
      </c>
      <c r="F15">
        <v>1127.5</v>
      </c>
      <c r="G15">
        <v>1121.0999999999999</v>
      </c>
      <c r="H15">
        <v>0</v>
      </c>
      <c r="I15">
        <v>0.38</v>
      </c>
      <c r="J15">
        <v>20.6</v>
      </c>
      <c r="K15">
        <v>76.67</v>
      </c>
      <c r="L15">
        <v>1</v>
      </c>
      <c r="M15" t="s">
        <v>122</v>
      </c>
      <c r="N15" t="s">
        <v>99</v>
      </c>
      <c r="O15">
        <v>785.72</v>
      </c>
      <c r="P15" s="3">
        <f t="shared" si="4"/>
        <v>45035.736805555556</v>
      </c>
      <c r="Q15" s="4">
        <f t="shared" si="5"/>
        <v>2.0993055555591127</v>
      </c>
      <c r="R15">
        <f t="shared" ref="R15:R31" si="17">SUM(H15:K15)</f>
        <v>97.65</v>
      </c>
      <c r="S15">
        <f t="shared" ref="S15:S32" si="18">H15 * 100/R15</f>
        <v>0</v>
      </c>
      <c r="T15">
        <f t="shared" ref="T15:T32" si="19">I15* 100/R15</f>
        <v>0.38914490527393752</v>
      </c>
      <c r="U15">
        <f t="shared" ref="U15:U32" si="20">J15* 100/R15</f>
        <v>21.095750128008191</v>
      </c>
      <c r="V15">
        <f t="shared" ref="V15:V32" si="21">K15* 100/R15</f>
        <v>78.515104966717871</v>
      </c>
      <c r="W15">
        <f t="shared" ref="W15:W32" si="22">SUM(S15:V15)</f>
        <v>100</v>
      </c>
      <c r="X15" s="6">
        <f t="shared" ref="X15:X32" si="23">F15*100*$D$3/($D$1*$D$2)</f>
        <v>4.4454312901002421E-2</v>
      </c>
      <c r="Y15" s="6">
        <f t="shared" si="0"/>
        <v>1.7299169382878566E-4</v>
      </c>
      <c r="Z15" s="6">
        <f t="shared" si="6"/>
        <v>0</v>
      </c>
      <c r="AA15" s="6">
        <f t="shared" si="1"/>
        <v>9.3779707707183808E-3</v>
      </c>
      <c r="AB15" s="6">
        <f t="shared" si="2"/>
        <v>3.4903350436455254E-2</v>
      </c>
      <c r="AC15" s="6">
        <f t="shared" ref="AC15:AC28" si="24">Y15+Z15</f>
        <v>1.7299169382878566E-4</v>
      </c>
      <c r="AD15" s="6">
        <f t="shared" si="7"/>
        <v>4.4201977998504484E-2</v>
      </c>
      <c r="AE15" s="6">
        <f t="shared" si="8"/>
        <v>1.72009745411487E-4</v>
      </c>
      <c r="AF15" s="6">
        <f t="shared" si="9"/>
        <v>0</v>
      </c>
      <c r="AG15" s="6">
        <f t="shared" si="10"/>
        <v>9.3247388302016617E-3</v>
      </c>
      <c r="AH15" s="6">
        <f t="shared" si="11"/>
        <v>3.470522942289133E-2</v>
      </c>
      <c r="AI15" s="6">
        <f t="shared" ref="AI15:AI28" si="25">AE15+AF15</f>
        <v>1.72009745411487E-4</v>
      </c>
      <c r="AJ15" s="22"/>
      <c r="AL15" s="25"/>
      <c r="AM15" s="6"/>
      <c r="AN15" s="6"/>
      <c r="AO15" s="6"/>
      <c r="AP15" s="19"/>
      <c r="AQ15">
        <f t="shared" ref="AQ15:AQ28" si="26">F15*100*T15/100</f>
        <v>438.76088069636455</v>
      </c>
      <c r="AR15" s="6">
        <f t="shared" ref="AR15:AR32" si="27">AQ15*$D$7</f>
        <v>2.2947194060419869</v>
      </c>
      <c r="AS15" s="6">
        <f t="shared" ref="AS15:AS32" si="28">AR15*$D$5/1000</f>
        <v>2.2488250179211473E-4</v>
      </c>
      <c r="AT15" s="6">
        <f t="shared" si="12"/>
        <v>436.27035330261134</v>
      </c>
      <c r="AU15" s="6">
        <f t="shared" si="13"/>
        <v>2.2816939477726574</v>
      </c>
      <c r="AV15" s="6">
        <f t="shared" si="14"/>
        <v>2.2360600688172045E-4</v>
      </c>
      <c r="AW15" s="6">
        <f t="shared" ref="AW15:AW32" si="29">AS15-AV14</f>
        <v>-1.5818452657061031E-3</v>
      </c>
      <c r="AX15" s="52">
        <f t="shared" ref="AX15:AX32" si="30">AW15+AX14</f>
        <v>2.4897462271777915E-4</v>
      </c>
      <c r="AY15" s="53">
        <f t="shared" si="15"/>
        <v>1.9450156556223397E-2</v>
      </c>
      <c r="AZ15" s="54"/>
      <c r="BA15" s="23">
        <f t="shared" si="16"/>
        <v>0</v>
      </c>
    </row>
    <row r="16" spans="1:56" s="7" customFormat="1" ht="14.4" x14ac:dyDescent="0.3">
      <c r="A16" t="s">
        <v>123</v>
      </c>
      <c r="B16">
        <v>1</v>
      </c>
      <c r="C16" s="2">
        <v>45040</v>
      </c>
      <c r="D16" s="11">
        <v>0.45763888888888887</v>
      </c>
      <c r="E16" s="15">
        <v>1003.2</v>
      </c>
      <c r="F16">
        <v>1062.4000000000001</v>
      </c>
      <c r="G16">
        <v>1058.9000000000001</v>
      </c>
      <c r="H16">
        <v>0</v>
      </c>
      <c r="I16">
        <v>3.52</v>
      </c>
      <c r="J16">
        <v>13.46</v>
      </c>
      <c r="K16">
        <v>81.5</v>
      </c>
      <c r="L16">
        <v>0</v>
      </c>
      <c r="M16"/>
      <c r="N16" t="s">
        <v>99</v>
      </c>
      <c r="O16"/>
      <c r="P16" s="8">
        <f t="shared" si="4"/>
        <v>45040.457638888889</v>
      </c>
      <c r="Q16" s="9">
        <f t="shared" si="5"/>
        <v>6.820138888891961</v>
      </c>
      <c r="R16">
        <f t="shared" si="17"/>
        <v>98.48</v>
      </c>
      <c r="S16">
        <f t="shared" si="18"/>
        <v>0</v>
      </c>
      <c r="T16">
        <f t="shared" si="19"/>
        <v>3.5743298131600323</v>
      </c>
      <c r="U16">
        <f t="shared" si="20"/>
        <v>13.667749796913078</v>
      </c>
      <c r="V16">
        <f t="shared" si="21"/>
        <v>82.75792038992688</v>
      </c>
      <c r="W16">
        <f t="shared" si="22"/>
        <v>100</v>
      </c>
      <c r="X16" s="10">
        <f t="shared" si="23"/>
        <v>4.1887593814656301E-2</v>
      </c>
      <c r="Y16" s="10">
        <f t="shared" si="0"/>
        <v>1.4972007537326379E-3</v>
      </c>
      <c r="Z16" s="10">
        <f t="shared" si="6"/>
        <v>0</v>
      </c>
      <c r="AA16" s="10">
        <f t="shared" si="1"/>
        <v>5.7250915185344618E-3</v>
      </c>
      <c r="AB16" s="10">
        <f t="shared" si="2"/>
        <v>3.4665301542389199E-2</v>
      </c>
      <c r="AC16" s="10">
        <f t="shared" si="24"/>
        <v>1.4972007537326379E-3</v>
      </c>
      <c r="AD16" s="10">
        <f t="shared" si="7"/>
        <v>4.1749598164852741E-2</v>
      </c>
      <c r="AE16" s="10">
        <f t="shared" si="8"/>
        <v>1.4922683340808452E-3</v>
      </c>
      <c r="AF16" s="10">
        <f t="shared" si="9"/>
        <v>0</v>
      </c>
      <c r="AG16" s="10">
        <f t="shared" si="10"/>
        <v>5.7062306183886871E-3</v>
      </c>
      <c r="AH16" s="10">
        <f t="shared" si="11"/>
        <v>3.4551099212383203E-2</v>
      </c>
      <c r="AI16" s="10">
        <f t="shared" si="25"/>
        <v>1.4922683340808452E-3</v>
      </c>
      <c r="AJ16" s="22">
        <f t="shared" ref="AJ16:AJ18" si="31">AC16-AI15</f>
        <v>1.3251910083211509E-3</v>
      </c>
      <c r="AK16">
        <f t="shared" ref="AK16:AK18" si="32">(AA16-AG15)*-1</f>
        <v>3.5996473116672E-3</v>
      </c>
      <c r="AL16" s="25">
        <f t="shared" ref="AL16:AL18" si="33">Y16-AE15</f>
        <v>1.3251910083211509E-3</v>
      </c>
      <c r="AM16" s="6">
        <f>AK16+AM14</f>
        <v>8.3222684441043651E-3</v>
      </c>
      <c r="AN16" s="6">
        <f>AL16+AN14</f>
        <v>2.7046292415279331E-3</v>
      </c>
      <c r="AO16" s="6">
        <f>AJ16+AO14</f>
        <v>2.7643069855301386E-3</v>
      </c>
      <c r="AP16" s="19">
        <f t="shared" ref="AP16:AP31" si="34">AO16*$D$4*1000/$D$6</f>
        <v>0.21595053765366645</v>
      </c>
      <c r="AQ16" s="7">
        <f t="shared" si="26"/>
        <v>3797.3679935012187</v>
      </c>
      <c r="AR16" s="10">
        <f t="shared" si="27"/>
        <v>19.860234606011375</v>
      </c>
      <c r="AS16" s="6">
        <f t="shared" si="28"/>
        <v>1.9463029913891147E-3</v>
      </c>
      <c r="AT16" s="6">
        <f t="shared" si="12"/>
        <v>3784.8578391551587</v>
      </c>
      <c r="AU16" s="6">
        <f t="shared" si="13"/>
        <v>19.79480649878148</v>
      </c>
      <c r="AV16" s="6">
        <f t="shared" si="14"/>
        <v>1.939891036880585E-3</v>
      </c>
      <c r="AW16" s="6">
        <f t="shared" si="29"/>
        <v>1.7226969845073941E-3</v>
      </c>
      <c r="AX16" s="52">
        <f t="shared" si="30"/>
        <v>1.9716716072251733E-3</v>
      </c>
      <c r="AY16" s="53">
        <f t="shared" si="15"/>
        <v>0.15402903725437284</v>
      </c>
      <c r="AZ16" s="54">
        <f t="shared" ref="AZ16:AZ31" si="35">AY16+AP16</f>
        <v>0.36997957490803929</v>
      </c>
      <c r="BA16" s="23">
        <f t="shared" si="16"/>
        <v>1.1810300510179192</v>
      </c>
      <c r="BB16"/>
      <c r="BC16"/>
      <c r="BD16"/>
    </row>
    <row r="17" spans="1:79" ht="14.4" x14ac:dyDescent="0.3">
      <c r="A17" t="s">
        <v>123</v>
      </c>
      <c r="B17">
        <v>1</v>
      </c>
      <c r="C17" s="2">
        <v>45040</v>
      </c>
      <c r="D17" s="11">
        <v>0.50902777777777775</v>
      </c>
      <c r="E17" s="15">
        <v>1004</v>
      </c>
      <c r="F17">
        <v>1102.2</v>
      </c>
      <c r="G17">
        <v>1098.7</v>
      </c>
      <c r="H17">
        <v>0</v>
      </c>
      <c r="I17">
        <v>0.35</v>
      </c>
      <c r="J17">
        <v>20.57</v>
      </c>
      <c r="K17">
        <v>76.38</v>
      </c>
      <c r="L17">
        <v>1</v>
      </c>
      <c r="N17" t="s">
        <v>99</v>
      </c>
      <c r="O17">
        <v>785.64</v>
      </c>
      <c r="P17" s="3">
        <f t="shared" si="4"/>
        <v>45040.509027777778</v>
      </c>
      <c r="Q17" s="4">
        <f t="shared" si="5"/>
        <v>6.8715277777810115</v>
      </c>
      <c r="R17">
        <f t="shared" si="17"/>
        <v>97.3</v>
      </c>
      <c r="S17">
        <f t="shared" si="18"/>
        <v>0</v>
      </c>
      <c r="T17">
        <f t="shared" si="19"/>
        <v>0.35971223021582732</v>
      </c>
      <c r="U17">
        <f t="shared" si="20"/>
        <v>21.140801644398767</v>
      </c>
      <c r="V17">
        <f t="shared" si="21"/>
        <v>78.499486125385403</v>
      </c>
      <c r="W17">
        <f t="shared" si="22"/>
        <v>100</v>
      </c>
      <c r="X17" s="6">
        <f t="shared" si="23"/>
        <v>4.3456801489565294E-2</v>
      </c>
      <c r="Y17" s="6">
        <f t="shared" si="0"/>
        <v>1.5631942981858017E-4</v>
      </c>
      <c r="Z17" s="6">
        <f t="shared" si="6"/>
        <v>0</v>
      </c>
      <c r="AA17" s="6">
        <f t="shared" si="1"/>
        <v>9.1871162039091278E-3</v>
      </c>
      <c r="AB17" s="6">
        <f t="shared" si="2"/>
        <v>3.4113365855837581E-2</v>
      </c>
      <c r="AC17" s="6">
        <f t="shared" si="24"/>
        <v>1.5631942981858017E-4</v>
      </c>
      <c r="AD17" s="6">
        <f t="shared" si="7"/>
        <v>4.3318805839761734E-2</v>
      </c>
      <c r="AE17" s="6">
        <f t="shared" si="8"/>
        <v>1.55823042589071E-4</v>
      </c>
      <c r="AF17" s="6">
        <f t="shared" si="9"/>
        <v>0</v>
      </c>
      <c r="AG17" s="6">
        <f t="shared" si="10"/>
        <v>9.1579428173062579E-3</v>
      </c>
      <c r="AH17" s="6">
        <f t="shared" si="11"/>
        <v>3.4005039979866404E-2</v>
      </c>
      <c r="AI17" s="6">
        <f t="shared" si="25"/>
        <v>1.55823042589071E-4</v>
      </c>
      <c r="AJ17" s="22"/>
      <c r="AL17" s="25"/>
      <c r="AM17" s="6"/>
      <c r="AN17" s="6"/>
      <c r="AO17" s="6"/>
      <c r="AP17" s="19"/>
      <c r="AQ17">
        <f t="shared" si="26"/>
        <v>396.47482014388487</v>
      </c>
      <c r="AR17" s="6">
        <f t="shared" si="27"/>
        <v>2.0735633093525179</v>
      </c>
      <c r="AS17" s="6">
        <f t="shared" si="28"/>
        <v>2.0320920431654677E-4</v>
      </c>
      <c r="AT17" s="6">
        <f t="shared" si="12"/>
        <v>395.21582733812943</v>
      </c>
      <c r="AU17" s="6">
        <f t="shared" si="13"/>
        <v>2.0669787769784169</v>
      </c>
      <c r="AV17" s="6">
        <f t="shared" si="14"/>
        <v>2.0256392014388487E-4</v>
      </c>
      <c r="AW17" s="6">
        <f t="shared" si="29"/>
        <v>-1.7366818325640382E-3</v>
      </c>
      <c r="AX17" s="52">
        <f t="shared" si="30"/>
        <v>2.3498977466113505E-4</v>
      </c>
      <c r="AY17" s="53">
        <f t="shared" si="15"/>
        <v>1.8357645676409542E-2</v>
      </c>
      <c r="AZ17" s="54"/>
      <c r="BA17" s="23">
        <f t="shared" si="16"/>
        <v>0</v>
      </c>
    </row>
    <row r="18" spans="1:79" s="7" customFormat="1" ht="14.4" x14ac:dyDescent="0.3">
      <c r="A18" t="s">
        <v>123</v>
      </c>
      <c r="B18">
        <v>1</v>
      </c>
      <c r="C18" s="2">
        <v>45042</v>
      </c>
      <c r="D18" s="11">
        <v>0.39166666666666666</v>
      </c>
      <c r="E18" s="15">
        <v>1017.1</v>
      </c>
      <c r="F18">
        <v>1086.3</v>
      </c>
      <c r="G18">
        <v>1082</v>
      </c>
      <c r="H18">
        <v>0</v>
      </c>
      <c r="I18">
        <v>1.7</v>
      </c>
      <c r="J18">
        <v>18.52</v>
      </c>
      <c r="K18">
        <v>77.87</v>
      </c>
      <c r="L18">
        <v>0</v>
      </c>
      <c r="M18"/>
      <c r="N18" t="s">
        <v>99</v>
      </c>
      <c r="O18"/>
      <c r="P18" s="8">
        <f t="shared" si="4"/>
        <v>45042.39166666667</v>
      </c>
      <c r="Q18" s="9">
        <f t="shared" si="5"/>
        <v>8.7541666666729725</v>
      </c>
      <c r="R18">
        <f t="shared" si="17"/>
        <v>98.09</v>
      </c>
      <c r="S18">
        <f t="shared" si="18"/>
        <v>0</v>
      </c>
      <c r="T18">
        <f t="shared" si="19"/>
        <v>1.733102253032929</v>
      </c>
      <c r="U18">
        <f t="shared" si="20"/>
        <v>18.880619838923437</v>
      </c>
      <c r="V18">
        <f t="shared" si="21"/>
        <v>79.386277908043624</v>
      </c>
      <c r="W18">
        <f t="shared" si="22"/>
        <v>99.999999999999986</v>
      </c>
      <c r="X18" s="10">
        <f t="shared" si="23"/>
        <v>4.2829906966171997E-2</v>
      </c>
      <c r="Y18" s="10">
        <f t="shared" si="0"/>
        <v>7.4228608260263425E-4</v>
      </c>
      <c r="Z18" s="10">
        <f t="shared" si="6"/>
        <v>0</v>
      </c>
      <c r="AA18" s="10">
        <f t="shared" si="1"/>
        <v>8.0865519116475222E-3</v>
      </c>
      <c r="AB18" s="10">
        <f t="shared" si="2"/>
        <v>3.4001068971921837E-2</v>
      </c>
      <c r="AC18" s="10">
        <f t="shared" si="24"/>
        <v>7.4228608260263425E-4</v>
      </c>
      <c r="AD18" s="10">
        <f t="shared" si="7"/>
        <v>4.2660369453556203E-2</v>
      </c>
      <c r="AE18" s="10">
        <f t="shared" si="8"/>
        <v>7.3934782415175401E-4</v>
      </c>
      <c r="AF18" s="10">
        <f t="shared" si="9"/>
        <v>0</v>
      </c>
      <c r="AG18" s="10">
        <f t="shared" si="10"/>
        <v>8.0545421784061662E-3</v>
      </c>
      <c r="AH18" s="10">
        <f t="shared" si="11"/>
        <v>3.3866479450998278E-2</v>
      </c>
      <c r="AI18" s="10">
        <f t="shared" si="25"/>
        <v>7.3934782415175401E-4</v>
      </c>
      <c r="AJ18" s="22">
        <f t="shared" si="31"/>
        <v>5.8646304001356328E-4</v>
      </c>
      <c r="AK18">
        <f t="shared" si="32"/>
        <v>1.0713909056587357E-3</v>
      </c>
      <c r="AL18" s="25">
        <f t="shared" si="33"/>
        <v>5.8646304001356328E-4</v>
      </c>
      <c r="AM18" s="6">
        <f>AK18+AM16</f>
        <v>9.3936593497631008E-3</v>
      </c>
      <c r="AN18" s="6">
        <f>AL18+AN16</f>
        <v>3.2910922815414965E-3</v>
      </c>
      <c r="AO18" s="6">
        <f>AJ18+AO16</f>
        <v>3.350770025543702E-3</v>
      </c>
      <c r="AP18" s="19">
        <f t="shared" si="34"/>
        <v>0.26176564048698808</v>
      </c>
      <c r="AQ18" s="7">
        <f t="shared" si="26"/>
        <v>1882.6689774696706</v>
      </c>
      <c r="AR18" s="10">
        <f t="shared" si="27"/>
        <v>9.8463587521663776</v>
      </c>
      <c r="AS18" s="6">
        <f t="shared" si="28"/>
        <v>9.6494315771230503E-4</v>
      </c>
      <c r="AT18" s="6">
        <f t="shared" si="12"/>
        <v>1875.2166377816291</v>
      </c>
      <c r="AU18" s="6">
        <f t="shared" si="13"/>
        <v>9.8073830155979209</v>
      </c>
      <c r="AV18" s="6">
        <f t="shared" si="14"/>
        <v>9.6112353552859633E-4</v>
      </c>
      <c r="AW18" s="6">
        <f t="shared" si="29"/>
        <v>7.6237923756842011E-4</v>
      </c>
      <c r="AX18" s="52">
        <f t="shared" si="30"/>
        <v>9.9736901222955516E-4</v>
      </c>
      <c r="AY18" s="53">
        <f t="shared" si="15"/>
        <v>7.7915504883323453E-2</v>
      </c>
      <c r="AZ18" s="54">
        <f t="shared" si="35"/>
        <v>0.33968114537031152</v>
      </c>
      <c r="BA18" s="23">
        <f t="shared" si="16"/>
        <v>0.79430406613542404</v>
      </c>
      <c r="BB18"/>
      <c r="BC18"/>
      <c r="BD18"/>
    </row>
    <row r="19" spans="1:79" ht="14.4" x14ac:dyDescent="0.3">
      <c r="A19" t="s">
        <v>123</v>
      </c>
      <c r="B19">
        <v>1</v>
      </c>
      <c r="C19" s="2">
        <v>45044</v>
      </c>
      <c r="D19" s="11">
        <v>0.42708333333333331</v>
      </c>
      <c r="E19" s="15">
        <v>1007</v>
      </c>
      <c r="F19">
        <v>1060.8</v>
      </c>
      <c r="G19">
        <v>1057.5</v>
      </c>
      <c r="H19">
        <v>0</v>
      </c>
      <c r="I19">
        <v>2.68</v>
      </c>
      <c r="J19">
        <v>16.14</v>
      </c>
      <c r="K19">
        <v>80.16</v>
      </c>
      <c r="L19">
        <v>0</v>
      </c>
      <c r="N19" t="s">
        <v>99</v>
      </c>
      <c r="P19" s="3">
        <f t="shared" si="4"/>
        <v>45044.427083333336</v>
      </c>
      <c r="Q19" s="4">
        <f t="shared" si="5"/>
        <v>10.789583333338669</v>
      </c>
      <c r="R19">
        <f t="shared" si="17"/>
        <v>98.97999999999999</v>
      </c>
      <c r="S19">
        <f t="shared" si="18"/>
        <v>0</v>
      </c>
      <c r="T19">
        <f t="shared" si="19"/>
        <v>2.7076177005455651</v>
      </c>
      <c r="U19">
        <f t="shared" si="20"/>
        <v>16.306324510002021</v>
      </c>
      <c r="V19">
        <f t="shared" si="21"/>
        <v>80.986057789452417</v>
      </c>
      <c r="W19">
        <f t="shared" si="22"/>
        <v>100</v>
      </c>
      <c r="X19" s="6">
        <f t="shared" si="23"/>
        <v>4.1824510089031812E-2</v>
      </c>
      <c r="Y19" s="6">
        <f t="shared" si="0"/>
        <v>1.1324478383370911E-3</v>
      </c>
      <c r="Z19" s="6">
        <f t="shared" si="6"/>
        <v>0</v>
      </c>
      <c r="AA19" s="6">
        <f t="shared" si="1"/>
        <v>6.8200403398360624E-3</v>
      </c>
      <c r="AB19" s="6">
        <f t="shared" si="2"/>
        <v>3.3872021910858661E-2</v>
      </c>
      <c r="AC19" s="6">
        <f t="shared" si="24"/>
        <v>1.1324478383370911E-3</v>
      </c>
      <c r="AD19" s="6">
        <f t="shared" si="7"/>
        <v>4.1694399904931317E-2</v>
      </c>
      <c r="AE19" s="6">
        <f t="shared" si="8"/>
        <v>1.1289249519621735E-3</v>
      </c>
      <c r="AF19" s="6">
        <f t="shared" si="9"/>
        <v>0</v>
      </c>
      <c r="AG19" s="6">
        <f t="shared" si="10"/>
        <v>6.7988241509960743E-3</v>
      </c>
      <c r="AH19" s="6">
        <f t="shared" si="11"/>
        <v>3.3766650801973074E-2</v>
      </c>
      <c r="AI19" s="6">
        <f t="shared" si="25"/>
        <v>1.1289249519621735E-3</v>
      </c>
      <c r="AJ19" s="22">
        <f t="shared" ref="AJ19:AJ31" si="36">AC19-AI18</f>
        <v>3.9310001418533711E-4</v>
      </c>
      <c r="AK19">
        <f t="shared" ref="AK19:AK31" si="37">(AA19-AG18)*-1</f>
        <v>1.2345018385701038E-3</v>
      </c>
      <c r="AL19" s="25">
        <f t="shared" ref="AL19:AL31" si="38">Y19-AE18</f>
        <v>3.9310001418533711E-4</v>
      </c>
      <c r="AM19" s="6">
        <f t="shared" ref="AM19:AM31" si="39">AK19+AM18</f>
        <v>1.0628161188333204E-2</v>
      </c>
      <c r="AN19" s="6">
        <f t="shared" ref="AN19:AN31" si="40">AL19+AN18</f>
        <v>3.6841922957268338E-3</v>
      </c>
      <c r="AO19" s="6">
        <f t="shared" ref="AO19:AO31" si="41">AJ19+AO18</f>
        <v>3.7438700397290393E-3</v>
      </c>
      <c r="AP19" s="19">
        <f t="shared" si="34"/>
        <v>0.29247502257058011</v>
      </c>
      <c r="AQ19">
        <f t="shared" si="26"/>
        <v>2872.2408567387356</v>
      </c>
      <c r="AR19" s="6">
        <f t="shared" si="27"/>
        <v>15.021819680743588</v>
      </c>
      <c r="AS19" s="6">
        <f t="shared" si="28"/>
        <v>1.4721383287128718E-3</v>
      </c>
      <c r="AT19" s="6">
        <f t="shared" si="12"/>
        <v>2863.3057183269352</v>
      </c>
      <c r="AU19" s="6">
        <f t="shared" si="13"/>
        <v>14.975088906849871</v>
      </c>
      <c r="AV19" s="6">
        <f t="shared" si="14"/>
        <v>1.4675587128712875E-3</v>
      </c>
      <c r="AW19" s="6">
        <f t="shared" si="29"/>
        <v>5.1101479318427549E-4</v>
      </c>
      <c r="AX19" s="52">
        <f t="shared" si="30"/>
        <v>1.5083838054138305E-3</v>
      </c>
      <c r="AY19" s="53">
        <f t="shared" si="15"/>
        <v>0.11783651217910242</v>
      </c>
      <c r="AZ19" s="54">
        <f t="shared" si="35"/>
        <v>0.41031153474968252</v>
      </c>
      <c r="BA19" s="23">
        <f t="shared" si="16"/>
        <v>1.365425970803092</v>
      </c>
    </row>
    <row r="20" spans="1:79" ht="14.4" x14ac:dyDescent="0.3">
      <c r="A20" t="s">
        <v>123</v>
      </c>
      <c r="B20">
        <v>1</v>
      </c>
      <c r="C20" s="2">
        <v>45044</v>
      </c>
      <c r="D20" s="11">
        <v>0.42777777777777781</v>
      </c>
      <c r="E20" s="15">
        <v>1007</v>
      </c>
      <c r="F20">
        <f t="shared" ref="F20:K20" si="42">AVERAGE(F15, F17, F22,F24,F28,F32)</f>
        <v>1115.1666666666667</v>
      </c>
      <c r="G20">
        <f t="shared" si="42"/>
        <v>1111.2666666666667</v>
      </c>
      <c r="H20">
        <f t="shared" si="42"/>
        <v>0</v>
      </c>
      <c r="I20">
        <f t="shared" si="42"/>
        <v>0.29166666666666669</v>
      </c>
      <c r="J20">
        <f t="shared" si="42"/>
        <v>20.478333333333332</v>
      </c>
      <c r="K20">
        <f t="shared" si="42"/>
        <v>76.06</v>
      </c>
      <c r="L20">
        <f>AVERAGE(L15, L17, L22,L24,L28,L32)</f>
        <v>1</v>
      </c>
      <c r="M20" t="s">
        <v>130</v>
      </c>
      <c r="N20" t="s">
        <v>99</v>
      </c>
      <c r="O20">
        <v>785.59</v>
      </c>
      <c r="P20" s="3">
        <f t="shared" ref="P20" si="43">C20+D20</f>
        <v>45044.427777777775</v>
      </c>
      <c r="Q20" s="4">
        <f t="shared" ref="Q20" si="44">P20-$P$13</f>
        <v>10.790277777778101</v>
      </c>
      <c r="R20">
        <f t="shared" ref="R20" si="45">SUM(H20:K20)</f>
        <v>96.83</v>
      </c>
      <c r="S20">
        <f t="shared" ref="S20" si="46">H20 * 100/R20</f>
        <v>0</v>
      </c>
      <c r="T20">
        <f t="shared" ref="T20" si="47">I20* 100/R20</f>
        <v>0.30121518813040038</v>
      </c>
      <c r="U20">
        <f t="shared" ref="U20" si="48">J20* 100/R20</f>
        <v>21.148748666047023</v>
      </c>
      <c r="V20">
        <f t="shared" ref="V20" si="49">K20* 100/R20</f>
        <v>78.550036145822574</v>
      </c>
      <c r="W20">
        <f t="shared" ref="W20" si="50">SUM(S20:V20)</f>
        <v>100</v>
      </c>
      <c r="X20" s="6">
        <f t="shared" ref="X20" si="51">F20*100*$D$3/($D$1*$D$2)</f>
        <v>4.3968042515980368E-2</v>
      </c>
      <c r="Y20" s="6">
        <f t="shared" ref="Y20" si="52">X20*T20/100</f>
        <v>1.3243842198176468E-4</v>
      </c>
      <c r="Z20" s="6">
        <f t="shared" ref="Z20" si="53">X20*S20/100</f>
        <v>0</v>
      </c>
      <c r="AA20" s="6">
        <f t="shared" ref="AA20" si="54">X20*U20/100</f>
        <v>9.2986908050853873E-3</v>
      </c>
      <c r="AB20" s="6">
        <f t="shared" ref="AB20" si="55">X20*V20/100</f>
        <v>3.4536913288913215E-2</v>
      </c>
      <c r="AC20" s="6">
        <f t="shared" ref="AC20" si="56">Y20+Z20</f>
        <v>1.3243842198176468E-4</v>
      </c>
      <c r="AD20" s="6">
        <f t="shared" ref="AD20" si="57">G20*100*$D$3/($D$1*$D$2)</f>
        <v>4.3814275934770698E-2</v>
      </c>
      <c r="AE20" s="6">
        <f t="shared" ref="AE20" si="58">AD20*T20/100</f>
        <v>1.3197525368489232E-4</v>
      </c>
      <c r="AF20" s="6">
        <f t="shared" ref="AF20" si="59">AD20*S20/100</f>
        <v>0</v>
      </c>
      <c r="AG20" s="6">
        <f t="shared" ref="AG20" si="60">AD20*U20/100</f>
        <v>9.2661710972929794E-3</v>
      </c>
      <c r="AH20" s="6">
        <f t="shared" ref="AH20" si="61">AD20*V20/100</f>
        <v>3.4416129583792823E-2</v>
      </c>
      <c r="AI20" s="6">
        <f t="shared" ref="AI20" si="62">AE20+AF20</f>
        <v>1.3197525368489232E-4</v>
      </c>
      <c r="AJ20" s="22"/>
      <c r="AL20" s="25"/>
      <c r="AM20" s="6"/>
      <c r="AN20" s="6"/>
      <c r="AO20" s="6"/>
      <c r="AP20" s="19"/>
      <c r="AQ20">
        <f t="shared" ref="AQ20:AQ21" si="63">F20*100*T20/100</f>
        <v>335.90513729675149</v>
      </c>
      <c r="AR20" s="6">
        <f t="shared" ref="AR20:AR21" si="64">AQ20*$D$7</f>
        <v>1.7567838680620105</v>
      </c>
      <c r="AS20" s="6">
        <f t="shared" ref="AS20:AS21" si="65">AR20*$D$5/1000</f>
        <v>1.7216481907007702E-4</v>
      </c>
      <c r="AT20" s="6">
        <f t="shared" ref="AT20:AT21" si="66">G20*100*T20/100</f>
        <v>334.73039806304297</v>
      </c>
      <c r="AU20" s="6">
        <f t="shared" ref="AU20:AU21" si="67">AT20*$D$7</f>
        <v>1.7506399818697149</v>
      </c>
      <c r="AV20" s="6">
        <f t="shared" ref="AV20:AV21" si="68">AU20*$D$5/1000</f>
        <v>1.7156271822323208E-4</v>
      </c>
      <c r="AW20" s="6">
        <f>AS20-AV19</f>
        <v>-1.2953938938012105E-3</v>
      </c>
      <c r="AX20" s="52">
        <f t="shared" ref="AX20:AX21" si="69">AW20+AX19</f>
        <v>2.1298991161262004E-4</v>
      </c>
      <c r="AY20" s="53">
        <f t="shared" ref="AY20:AY21" si="70">(AX20*$D$4*1000/$D$6)</f>
        <v>1.6638993486727819E-2</v>
      </c>
      <c r="AZ20" s="54"/>
      <c r="BA20" s="23">
        <f t="shared" ref="BA20:BA21" si="71">AK20/(AL20+AW20)</f>
        <v>0</v>
      </c>
    </row>
    <row r="21" spans="1:79" ht="14.4" x14ac:dyDescent="0.3">
      <c r="A21" t="s">
        <v>123</v>
      </c>
      <c r="B21">
        <v>1</v>
      </c>
      <c r="C21" s="2">
        <v>45047</v>
      </c>
      <c r="D21" s="11">
        <v>0.59375</v>
      </c>
      <c r="E21" s="15">
        <v>1013.3</v>
      </c>
      <c r="F21">
        <v>1077.5</v>
      </c>
      <c r="G21">
        <v>1073.8</v>
      </c>
      <c r="H21">
        <v>0</v>
      </c>
      <c r="I21">
        <v>3.34</v>
      </c>
      <c r="J21">
        <v>14.44</v>
      </c>
      <c r="K21">
        <v>80.150000000000006</v>
      </c>
      <c r="L21">
        <v>0</v>
      </c>
      <c r="N21" t="s">
        <v>99</v>
      </c>
      <c r="P21" s="3">
        <f t="shared" si="4"/>
        <v>45047.59375</v>
      </c>
      <c r="Q21" s="4">
        <f t="shared" si="5"/>
        <v>13.95625000000291</v>
      </c>
      <c r="R21">
        <f t="shared" si="17"/>
        <v>97.93</v>
      </c>
      <c r="S21">
        <f t="shared" si="18"/>
        <v>0</v>
      </c>
      <c r="T21">
        <f t="shared" si="19"/>
        <v>3.4105994077402224</v>
      </c>
      <c r="U21">
        <f t="shared" si="20"/>
        <v>14.745226181966711</v>
      </c>
      <c r="V21">
        <f t="shared" si="21"/>
        <v>81.844174410293064</v>
      </c>
      <c r="W21">
        <f t="shared" si="22"/>
        <v>100</v>
      </c>
      <c r="X21" s="6">
        <f t="shared" si="23"/>
        <v>4.248294647523735E-2</v>
      </c>
      <c r="Y21" s="6">
        <f t="shared" si="0"/>
        <v>1.4489231208750408E-3</v>
      </c>
      <c r="Z21" s="6">
        <f t="shared" si="6"/>
        <v>0</v>
      </c>
      <c r="AA21" s="6">
        <f t="shared" si="1"/>
        <v>6.2642065465376021E-3</v>
      </c>
      <c r="AB21" s="6">
        <f t="shared" si="2"/>
        <v>3.4769816807824705E-2</v>
      </c>
      <c r="AC21" s="6">
        <f t="shared" si="24"/>
        <v>1.4489231208750408E-3</v>
      </c>
      <c r="AD21" s="6">
        <f t="shared" si="7"/>
        <v>4.2337065359730731E-2</v>
      </c>
      <c r="AE21" s="6">
        <f t="shared" si="8"/>
        <v>1.4439477004135673E-3</v>
      </c>
      <c r="AF21" s="6">
        <f t="shared" si="9"/>
        <v>0</v>
      </c>
      <c r="AG21" s="6">
        <f t="shared" si="10"/>
        <v>6.2426960460993742E-3</v>
      </c>
      <c r="AH21" s="6">
        <f t="shared" si="11"/>
        <v>3.465042161321779E-2</v>
      </c>
      <c r="AI21" s="6">
        <f t="shared" si="25"/>
        <v>1.4439477004135673E-3</v>
      </c>
      <c r="AJ21" s="22">
        <f t="shared" ref="AJ21" si="72">AC21-AI20</f>
        <v>1.3169478671901484E-3</v>
      </c>
      <c r="AK21">
        <f t="shared" ref="AK21" si="73">(AA21-AG20)*-1</f>
        <v>3.0019645507553773E-3</v>
      </c>
      <c r="AL21" s="25">
        <f t="shared" ref="AL21" si="74">Y21-AE20</f>
        <v>1.3169478671901484E-3</v>
      </c>
      <c r="AM21" s="6">
        <f>AK21+AM19</f>
        <v>1.3630125739088582E-2</v>
      </c>
      <c r="AN21" s="6">
        <f>AL21+AN19</f>
        <v>5.0011401629169823E-3</v>
      </c>
      <c r="AO21" s="6">
        <f>AJ21+AO19</f>
        <v>5.0608179069191878E-3</v>
      </c>
      <c r="AP21" s="19">
        <f t="shared" si="34"/>
        <v>0.39535636008853325</v>
      </c>
      <c r="AQ21">
        <f t="shared" si="63"/>
        <v>3674.9208618400899</v>
      </c>
      <c r="AR21" s="6">
        <f t="shared" si="64"/>
        <v>19.219836107423671</v>
      </c>
      <c r="AS21" s="6">
        <f t="shared" si="65"/>
        <v>1.8835439385275199E-3</v>
      </c>
      <c r="AT21" s="6">
        <f t="shared" si="66"/>
        <v>3662.3016440314509</v>
      </c>
      <c r="AU21" s="6">
        <f t="shared" si="67"/>
        <v>19.15383759828449</v>
      </c>
      <c r="AV21" s="6">
        <f t="shared" si="68"/>
        <v>1.8770760846318802E-3</v>
      </c>
      <c r="AW21" s="6">
        <f t="shared" ref="AW20:AW21" si="75">AS21-AV20</f>
        <v>1.7119812203042878E-3</v>
      </c>
      <c r="AX21" s="52">
        <f t="shared" si="69"/>
        <v>1.9249711319169079E-3</v>
      </c>
      <c r="AY21" s="53">
        <f t="shared" si="70"/>
        <v>0.15038074753680822</v>
      </c>
      <c r="AZ21" s="54">
        <f t="shared" ref="AZ21" si="76">AY21+AP21</f>
        <v>0.54573710762534144</v>
      </c>
      <c r="BA21" s="23">
        <f t="shared" si="71"/>
        <v>0.99109766654809195</v>
      </c>
    </row>
    <row r="22" spans="1:79" s="7" customFormat="1" ht="14.4" x14ac:dyDescent="0.3">
      <c r="A22" t="s">
        <v>123</v>
      </c>
      <c r="B22">
        <v>1</v>
      </c>
      <c r="C22" s="2">
        <v>45047</v>
      </c>
      <c r="D22" s="11">
        <v>0.63402777777777775</v>
      </c>
      <c r="E22" s="15">
        <v>1013.4</v>
      </c>
      <c r="F22">
        <v>1113.7</v>
      </c>
      <c r="G22">
        <v>1110</v>
      </c>
      <c r="H22">
        <v>0</v>
      </c>
      <c r="I22">
        <v>0.3</v>
      </c>
      <c r="J22">
        <v>20.59</v>
      </c>
      <c r="K22">
        <v>76.61</v>
      </c>
      <c r="L22">
        <v>1</v>
      </c>
      <c r="M22"/>
      <c r="N22" t="s">
        <v>99</v>
      </c>
      <c r="O22">
        <v>785.51</v>
      </c>
      <c r="P22" s="8">
        <f t="shared" si="4"/>
        <v>45047.634027777778</v>
      </c>
      <c r="Q22" s="9">
        <f t="shared" si="5"/>
        <v>13.996527777781012</v>
      </c>
      <c r="R22">
        <f t="shared" si="17"/>
        <v>97.5</v>
      </c>
      <c r="S22">
        <f t="shared" si="18"/>
        <v>0</v>
      </c>
      <c r="T22">
        <f t="shared" si="19"/>
        <v>0.30769230769230771</v>
      </c>
      <c r="U22">
        <f t="shared" si="20"/>
        <v>21.117948717948718</v>
      </c>
      <c r="V22">
        <f t="shared" si="21"/>
        <v>78.574358974358972</v>
      </c>
      <c r="W22">
        <f t="shared" si="22"/>
        <v>100</v>
      </c>
      <c r="X22" s="10">
        <f t="shared" si="23"/>
        <v>4.391021576749126E-2</v>
      </c>
      <c r="Y22" s="10">
        <f t="shared" si="0"/>
        <v>1.3510835620766544E-4</v>
      </c>
      <c r="Z22" s="10">
        <f t="shared" si="6"/>
        <v>0</v>
      </c>
      <c r="AA22" s="10">
        <f t="shared" si="1"/>
        <v>9.272936847719437E-3</v>
      </c>
      <c r="AB22" s="10">
        <f t="shared" si="2"/>
        <v>3.4502170563564159E-2</v>
      </c>
      <c r="AC22" s="10">
        <f t="shared" si="24"/>
        <v>1.3510835620766544E-4</v>
      </c>
      <c r="AD22" s="10">
        <f t="shared" si="7"/>
        <v>4.3764334651984649E-2</v>
      </c>
      <c r="AE22" s="10">
        <f t="shared" si="8"/>
        <v>1.3465949123687586E-4</v>
      </c>
      <c r="AF22" s="10">
        <f t="shared" si="9"/>
        <v>0</v>
      </c>
      <c r="AG22" s="10">
        <f t="shared" si="10"/>
        <v>9.2421297485575787E-3</v>
      </c>
      <c r="AH22" s="10">
        <f t="shared" si="11"/>
        <v>3.438754541219019E-2</v>
      </c>
      <c r="AI22" s="10">
        <f t="shared" si="25"/>
        <v>1.3465949123687586E-4</v>
      </c>
      <c r="AJ22" s="22"/>
      <c r="AK22"/>
      <c r="AL22" s="25"/>
      <c r="AM22" s="6"/>
      <c r="AN22" s="6"/>
      <c r="AO22" s="6"/>
      <c r="AP22" s="19"/>
      <c r="AQ22" s="7">
        <f t="shared" si="26"/>
        <v>342.67692307692312</v>
      </c>
      <c r="AR22" s="10">
        <f t="shared" si="27"/>
        <v>1.7922003076923081</v>
      </c>
      <c r="AS22" s="6">
        <f t="shared" si="28"/>
        <v>1.756356301538462E-4</v>
      </c>
      <c r="AT22" s="6">
        <f t="shared" si="12"/>
        <v>341.53846153846155</v>
      </c>
      <c r="AU22" s="6">
        <f t="shared" si="13"/>
        <v>1.786246153846154</v>
      </c>
      <c r="AV22" s="6">
        <f t="shared" si="14"/>
        <v>1.7505212307692311E-4</v>
      </c>
      <c r="AW22" s="6">
        <f t="shared" si="29"/>
        <v>-1.701440454478034E-3</v>
      </c>
      <c r="AX22" s="52">
        <f t="shared" si="30"/>
        <v>2.2353067743887387E-4</v>
      </c>
      <c r="AY22" s="53">
        <f t="shared" si="15"/>
        <v>1.7462449079531438E-2</v>
      </c>
      <c r="AZ22" s="54"/>
      <c r="BA22" s="23">
        <f t="shared" si="16"/>
        <v>0</v>
      </c>
      <c r="BB22"/>
      <c r="BC22"/>
      <c r="BD22"/>
    </row>
    <row r="23" spans="1:79" ht="14.4" x14ac:dyDescent="0.3">
      <c r="A23" t="s">
        <v>123</v>
      </c>
      <c r="B23">
        <v>1</v>
      </c>
      <c r="C23" s="2">
        <v>45050</v>
      </c>
      <c r="D23" s="11">
        <v>0.42499999999999999</v>
      </c>
      <c r="E23" s="15">
        <v>1017.6</v>
      </c>
      <c r="F23">
        <v>1075</v>
      </c>
      <c r="G23">
        <v>1071.5</v>
      </c>
      <c r="H23">
        <v>0</v>
      </c>
      <c r="I23">
        <v>2.96</v>
      </c>
      <c r="J23">
        <v>15.27</v>
      </c>
      <c r="K23">
        <v>78.849999999999994</v>
      </c>
      <c r="L23">
        <v>0</v>
      </c>
      <c r="N23" t="s">
        <v>99</v>
      </c>
      <c r="P23" s="3">
        <f t="shared" si="4"/>
        <v>45050.425000000003</v>
      </c>
      <c r="Q23" s="4">
        <f t="shared" si="5"/>
        <v>16.787500000005821</v>
      </c>
      <c r="R23">
        <f t="shared" si="17"/>
        <v>97.08</v>
      </c>
      <c r="S23">
        <f t="shared" si="18"/>
        <v>0</v>
      </c>
      <c r="T23">
        <f t="shared" si="19"/>
        <v>3.0490317264112075</v>
      </c>
      <c r="U23">
        <f t="shared" si="20"/>
        <v>15.72929542645241</v>
      </c>
      <c r="V23">
        <f t="shared" si="21"/>
        <v>81.221672847136375</v>
      </c>
      <c r="W23">
        <f t="shared" si="22"/>
        <v>100</v>
      </c>
      <c r="X23" s="6">
        <f t="shared" si="23"/>
        <v>4.2384378153949097E-2</v>
      </c>
      <c r="Y23" s="6">
        <f t="shared" si="0"/>
        <v>1.2923131369560086E-3</v>
      </c>
      <c r="Z23" s="6">
        <f t="shared" si="6"/>
        <v>0</v>
      </c>
      <c r="AA23" s="6">
        <f t="shared" si="1"/>
        <v>6.6667640544994097E-3</v>
      </c>
      <c r="AB23" s="6">
        <f t="shared" si="2"/>
        <v>3.4425300962493674E-2</v>
      </c>
      <c r="AC23" s="6">
        <f t="shared" si="24"/>
        <v>1.2923131369560086E-3</v>
      </c>
      <c r="AD23" s="6">
        <f t="shared" si="7"/>
        <v>4.2246382504145537E-2</v>
      </c>
      <c r="AE23" s="6">
        <f t="shared" si="8"/>
        <v>1.2881056058124309E-3</v>
      </c>
      <c r="AF23" s="6">
        <f t="shared" si="9"/>
        <v>0</v>
      </c>
      <c r="AG23" s="6">
        <f t="shared" si="10"/>
        <v>6.6450583110661552E-3</v>
      </c>
      <c r="AH23" s="6">
        <f t="shared" si="11"/>
        <v>3.431321858726695E-2</v>
      </c>
      <c r="AI23" s="6">
        <f t="shared" si="25"/>
        <v>1.2881056058124309E-3</v>
      </c>
      <c r="AJ23" s="22">
        <f t="shared" si="36"/>
        <v>1.1576536457191327E-3</v>
      </c>
      <c r="AK23">
        <f t="shared" si="37"/>
        <v>2.575365694058169E-3</v>
      </c>
      <c r="AL23" s="25">
        <f t="shared" si="38"/>
        <v>1.1576536457191327E-3</v>
      </c>
      <c r="AM23" s="6">
        <f>AK23+AM21</f>
        <v>1.620549143314675E-2</v>
      </c>
      <c r="AN23" s="6">
        <f>AL23+AN21</f>
        <v>6.1587938086361147E-3</v>
      </c>
      <c r="AO23" s="6">
        <f>AJ23+AO21</f>
        <v>6.2184715526383202E-3</v>
      </c>
      <c r="AP23" s="19">
        <f t="shared" si="34"/>
        <v>0.48579346729782158</v>
      </c>
      <c r="AQ23">
        <f>F23*100*T23/100</f>
        <v>3277.7091058920482</v>
      </c>
      <c r="AR23" s="6">
        <f>AQ23*$D$7</f>
        <v>17.142418623815413</v>
      </c>
      <c r="AS23" s="6">
        <f t="shared" si="28"/>
        <v>1.6799570251339105E-3</v>
      </c>
      <c r="AT23" s="6">
        <f t="shared" si="12"/>
        <v>3267.0374948496087</v>
      </c>
      <c r="AU23" s="6">
        <f t="shared" si="13"/>
        <v>17.086606098063456</v>
      </c>
      <c r="AV23" s="6">
        <f t="shared" si="14"/>
        <v>1.6744873976102187E-3</v>
      </c>
      <c r="AW23" s="6">
        <f t="shared" si="29"/>
        <v>1.5049049020569873E-3</v>
      </c>
      <c r="AX23" s="52">
        <f t="shared" si="30"/>
        <v>1.7284355794958612E-3</v>
      </c>
      <c r="AY23" s="53">
        <f t="shared" si="15"/>
        <v>0.13502718570899774</v>
      </c>
      <c r="AZ23" s="54">
        <f t="shared" si="35"/>
        <v>0.62082065300681932</v>
      </c>
      <c r="BA23" s="23">
        <f t="shared" si="16"/>
        <v>0.9672522304567619</v>
      </c>
    </row>
    <row r="24" spans="1:79" s="7" customFormat="1" ht="14.4" x14ac:dyDescent="0.3">
      <c r="A24" t="s">
        <v>123</v>
      </c>
      <c r="B24">
        <v>1</v>
      </c>
      <c r="C24" s="2">
        <v>45050</v>
      </c>
      <c r="D24" s="11">
        <v>0.46180555555555558</v>
      </c>
      <c r="E24" s="15">
        <v>1017.1</v>
      </c>
      <c r="F24">
        <v>1118.3</v>
      </c>
      <c r="G24">
        <v>1115</v>
      </c>
      <c r="H24">
        <v>0</v>
      </c>
      <c r="I24">
        <v>0.22</v>
      </c>
      <c r="J24">
        <v>20.399999999999999</v>
      </c>
      <c r="K24">
        <v>75.64</v>
      </c>
      <c r="L24">
        <v>1</v>
      </c>
      <c r="M24"/>
      <c r="N24" t="s">
        <v>99</v>
      </c>
      <c r="O24">
        <v>785.41</v>
      </c>
      <c r="P24" s="8">
        <f t="shared" si="4"/>
        <v>45050.461805555555</v>
      </c>
      <c r="Q24" s="9">
        <f t="shared" si="5"/>
        <v>16.824305555557657</v>
      </c>
      <c r="R24">
        <f t="shared" si="17"/>
        <v>96.259999999999991</v>
      </c>
      <c r="S24">
        <f t="shared" si="18"/>
        <v>0</v>
      </c>
      <c r="T24">
        <f t="shared" si="19"/>
        <v>0.22854768335757325</v>
      </c>
      <c r="U24">
        <f t="shared" si="20"/>
        <v>21.192603365884064</v>
      </c>
      <c r="V24">
        <f t="shared" si="21"/>
        <v>78.578848950758371</v>
      </c>
      <c r="W24">
        <f t="shared" si="22"/>
        <v>100</v>
      </c>
      <c r="X24" s="10">
        <f t="shared" si="23"/>
        <v>4.4091581478661643E-2</v>
      </c>
      <c r="Y24" s="10">
        <f t="shared" si="0"/>
        <v>1.0077028802519802E-4</v>
      </c>
      <c r="Z24" s="10">
        <f t="shared" si="6"/>
        <v>0</v>
      </c>
      <c r="AA24" s="10">
        <f t="shared" si="1"/>
        <v>9.3441539805183618E-3</v>
      </c>
      <c r="AB24" s="10">
        <f t="shared" si="2"/>
        <v>3.4646657210118087E-2</v>
      </c>
      <c r="AC24" s="10">
        <f t="shared" si="24"/>
        <v>1.0077028802519802E-4</v>
      </c>
      <c r="AD24" s="10">
        <f t="shared" si="7"/>
        <v>4.3961471294561155E-2</v>
      </c>
      <c r="AE24" s="10">
        <f t="shared" si="8"/>
        <v>1.0047292421362408E-4</v>
      </c>
      <c r="AF24" s="10">
        <f t="shared" si="9"/>
        <v>0</v>
      </c>
      <c r="AG24" s="10">
        <f t="shared" si="10"/>
        <v>9.3165802452633232E-3</v>
      </c>
      <c r="AH24" s="10">
        <f t="shared" si="11"/>
        <v>3.4544418125084214E-2</v>
      </c>
      <c r="AI24" s="10">
        <f t="shared" si="25"/>
        <v>1.0047292421362408E-4</v>
      </c>
      <c r="AJ24" s="22"/>
      <c r="AK24"/>
      <c r="AL24" s="25"/>
      <c r="AM24" s="6"/>
      <c r="AN24" s="6"/>
      <c r="AO24" s="6"/>
      <c r="AP24" s="19"/>
      <c r="AQ24" s="7">
        <f t="shared" si="26"/>
        <v>255.58487429877417</v>
      </c>
      <c r="AR24" s="10">
        <f t="shared" si="27"/>
        <v>1.336708892582589</v>
      </c>
      <c r="AS24" s="6">
        <f t="shared" si="28"/>
        <v>1.3099747147309374E-4</v>
      </c>
      <c r="AT24" s="6">
        <f t="shared" si="12"/>
        <v>254.83066694369415</v>
      </c>
      <c r="AU24" s="6">
        <f t="shared" si="13"/>
        <v>1.3327643881155204</v>
      </c>
      <c r="AV24" s="6">
        <f t="shared" si="14"/>
        <v>1.3061091003532102E-4</v>
      </c>
      <c r="AW24" s="6">
        <f t="shared" si="29"/>
        <v>-1.543489926137125E-3</v>
      </c>
      <c r="AX24" s="52">
        <f t="shared" si="30"/>
        <v>1.849456533587362E-4</v>
      </c>
      <c r="AY24" s="53">
        <f t="shared" si="15"/>
        <v>1.4448146855103428E-2</v>
      </c>
      <c r="AZ24" s="54"/>
      <c r="BA24" s="23">
        <f t="shared" si="16"/>
        <v>0</v>
      </c>
      <c r="BB24"/>
      <c r="BC24"/>
      <c r="BD24"/>
    </row>
    <row r="25" spans="1:79" ht="14.4" x14ac:dyDescent="0.3">
      <c r="A25" t="s">
        <v>123</v>
      </c>
      <c r="B25">
        <v>1</v>
      </c>
      <c r="C25" s="2">
        <v>45054</v>
      </c>
      <c r="D25" s="11">
        <v>0.38958333333333334</v>
      </c>
      <c r="E25" s="15">
        <v>1018.7</v>
      </c>
      <c r="F25">
        <v>1104.7</v>
      </c>
      <c r="G25">
        <v>1101.5</v>
      </c>
      <c r="H25">
        <v>0</v>
      </c>
      <c r="I25">
        <v>2.13</v>
      </c>
      <c r="J25">
        <v>17.45</v>
      </c>
      <c r="K25">
        <v>77.44</v>
      </c>
      <c r="L25">
        <v>0</v>
      </c>
      <c r="N25" t="s">
        <v>99</v>
      </c>
      <c r="P25" s="3">
        <f t="shared" si="4"/>
        <v>45054.38958333333</v>
      </c>
      <c r="Q25" s="4">
        <f t="shared" si="5"/>
        <v>20.752083333332848</v>
      </c>
      <c r="R25">
        <f t="shared" si="17"/>
        <v>97.02</v>
      </c>
      <c r="S25">
        <f t="shared" si="18"/>
        <v>0</v>
      </c>
      <c r="T25">
        <f t="shared" si="19"/>
        <v>2.1954236239950529</v>
      </c>
      <c r="U25">
        <f t="shared" si="20"/>
        <v>17.985982271696557</v>
      </c>
      <c r="V25">
        <f t="shared" si="21"/>
        <v>79.818594104308389</v>
      </c>
      <c r="W25">
        <f t="shared" si="22"/>
        <v>100</v>
      </c>
      <c r="X25" s="6">
        <f t="shared" si="23"/>
        <v>4.3555369810853548E-2</v>
      </c>
      <c r="Y25" s="6">
        <f t="shared" si="0"/>
        <v>9.5622487834588819E-4</v>
      </c>
      <c r="Z25" s="6">
        <f t="shared" si="6"/>
        <v>0</v>
      </c>
      <c r="AA25" s="6">
        <f t="shared" si="1"/>
        <v>7.8338610925519931E-3</v>
      </c>
      <c r="AB25" s="6">
        <f t="shared" si="2"/>
        <v>3.4765283839955669E-2</v>
      </c>
      <c r="AC25" s="6">
        <f t="shared" si="24"/>
        <v>9.5622487834588819E-4</v>
      </c>
      <c r="AD25" s="6">
        <f t="shared" si="7"/>
        <v>4.3429202359604582E-2</v>
      </c>
      <c r="AE25" s="6">
        <f t="shared" si="8"/>
        <v>9.5345496831537586E-4</v>
      </c>
      <c r="AF25" s="6">
        <f t="shared" si="9"/>
        <v>0</v>
      </c>
      <c r="AG25" s="6">
        <f t="shared" si="10"/>
        <v>7.8111686371377031E-3</v>
      </c>
      <c r="AH25" s="6">
        <f t="shared" si="11"/>
        <v>3.46645787541515E-2</v>
      </c>
      <c r="AI25" s="6">
        <f t="shared" si="25"/>
        <v>9.5345496831537586E-4</v>
      </c>
      <c r="AJ25" s="22">
        <f t="shared" si="36"/>
        <v>8.5575195413226416E-4</v>
      </c>
      <c r="AK25">
        <f t="shared" si="37"/>
        <v>1.4827191527113301E-3</v>
      </c>
      <c r="AL25" s="25">
        <f t="shared" si="38"/>
        <v>8.5575195413226416E-4</v>
      </c>
      <c r="AM25" s="6">
        <f>AK25+AM23</f>
        <v>1.768821058585808E-2</v>
      </c>
      <c r="AN25" s="6">
        <f>AL25+AN23</f>
        <v>7.0145457627683785E-3</v>
      </c>
      <c r="AO25" s="6">
        <f>AJ25+AO23</f>
        <v>7.0742235067705848E-3</v>
      </c>
      <c r="AP25" s="19">
        <f>AO25*$D$4*1000/$D$6</f>
        <v>0.55264570026629467</v>
      </c>
      <c r="AQ25">
        <f t="shared" si="26"/>
        <v>2425.2844774273349</v>
      </c>
      <c r="AR25" s="6">
        <f t="shared" si="27"/>
        <v>12.684237816944963</v>
      </c>
      <c r="AS25" s="6">
        <f t="shared" si="28"/>
        <v>1.2430553060606064E-3</v>
      </c>
      <c r="AT25" s="6">
        <f t="shared" si="12"/>
        <v>2418.2591218305506</v>
      </c>
      <c r="AU25" s="6">
        <f t="shared" si="13"/>
        <v>12.64749520717378</v>
      </c>
      <c r="AV25" s="6">
        <f t="shared" si="14"/>
        <v>1.2394545303030305E-3</v>
      </c>
      <c r="AW25" s="6">
        <f t="shared" si="29"/>
        <v>1.1124443960252855E-3</v>
      </c>
      <c r="AX25" s="52">
        <f t="shared" si="30"/>
        <v>1.2973900493840217E-3</v>
      </c>
      <c r="AY25" s="53">
        <f t="shared" si="15"/>
        <v>0.10135346044327452</v>
      </c>
      <c r="AZ25" s="54">
        <f t="shared" si="35"/>
        <v>0.6539991607095692</v>
      </c>
      <c r="BA25" s="23">
        <f t="shared" si="16"/>
        <v>0.75333904190638379</v>
      </c>
    </row>
    <row r="26" spans="1:79" s="13" customFormat="1" ht="14.4" x14ac:dyDescent="0.3">
      <c r="A26" t="s">
        <v>123</v>
      </c>
      <c r="B26">
        <v>1</v>
      </c>
      <c r="C26" s="2">
        <v>45056</v>
      </c>
      <c r="D26" s="11">
        <v>0.41666666666666669</v>
      </c>
      <c r="E26">
        <v>1007.7</v>
      </c>
      <c r="F26">
        <v>1092</v>
      </c>
      <c r="G26">
        <v>1088.9000000000001</v>
      </c>
      <c r="H26">
        <v>0</v>
      </c>
      <c r="I26">
        <v>2.5</v>
      </c>
      <c r="J26">
        <v>16.3</v>
      </c>
      <c r="K26">
        <v>78.36</v>
      </c>
      <c r="L26">
        <v>0</v>
      </c>
      <c r="M26"/>
      <c r="N26" t="s">
        <v>99</v>
      </c>
      <c r="O26"/>
      <c r="P26" s="68">
        <f t="shared" si="4"/>
        <v>45056.416666666664</v>
      </c>
      <c r="Q26" s="69">
        <f t="shared" si="5"/>
        <v>22.779166666667152</v>
      </c>
      <c r="R26" s="13">
        <f t="shared" si="17"/>
        <v>97.16</v>
      </c>
      <c r="S26" s="13">
        <f t="shared" si="18"/>
        <v>0</v>
      </c>
      <c r="T26" s="13">
        <f t="shared" si="19"/>
        <v>2.5730753396459449</v>
      </c>
      <c r="U26" s="13">
        <f t="shared" si="20"/>
        <v>16.776451214491562</v>
      </c>
      <c r="V26" s="13">
        <f t="shared" si="21"/>
        <v>80.650473445862502</v>
      </c>
      <c r="W26" s="13">
        <f t="shared" si="22"/>
        <v>100.00000000000001</v>
      </c>
      <c r="X26" s="70">
        <f t="shared" si="23"/>
        <v>4.3054642738709216E-2</v>
      </c>
      <c r="Y26" s="70">
        <f t="shared" si="0"/>
        <v>1.1078283948823902E-3</v>
      </c>
      <c r="Z26" s="70">
        <f t="shared" si="6"/>
        <v>0</v>
      </c>
      <c r="AA26" s="70">
        <f t="shared" si="1"/>
        <v>7.223041134633186E-3</v>
      </c>
      <c r="AB26" s="70">
        <f t="shared" si="2"/>
        <v>3.4723773209193641E-2</v>
      </c>
      <c r="AC26" s="70">
        <f t="shared" si="24"/>
        <v>1.1078283948823902E-3</v>
      </c>
      <c r="AD26" s="70">
        <f t="shared" si="7"/>
        <v>4.2932418020311787E-2</v>
      </c>
      <c r="AE26" s="70">
        <f t="shared" si="8"/>
        <v>1.1046834607943545E-3</v>
      </c>
      <c r="AF26" s="70">
        <f t="shared" si="9"/>
        <v>0</v>
      </c>
      <c r="AG26" s="70">
        <f t="shared" si="10"/>
        <v>7.2025361643791906E-3</v>
      </c>
      <c r="AH26" s="70">
        <f t="shared" si="11"/>
        <v>3.4625198395138244E-2</v>
      </c>
      <c r="AI26" s="70">
        <f t="shared" si="25"/>
        <v>1.1046834607943545E-3</v>
      </c>
      <c r="AJ26" s="71">
        <f t="shared" si="36"/>
        <v>1.5437342656701432E-4</v>
      </c>
      <c r="AK26" s="13">
        <f t="shared" si="37"/>
        <v>5.8812750250451708E-4</v>
      </c>
      <c r="AL26" s="72">
        <f t="shared" si="38"/>
        <v>1.5437342656701432E-4</v>
      </c>
      <c r="AM26" s="70">
        <f t="shared" si="39"/>
        <v>1.8276338088362598E-2</v>
      </c>
      <c r="AN26" s="70">
        <f t="shared" si="40"/>
        <v>7.168919189335393E-3</v>
      </c>
      <c r="AO26" s="70">
        <f t="shared" si="41"/>
        <v>7.2285969333375994E-3</v>
      </c>
      <c r="AP26" s="73">
        <f t="shared" si="34"/>
        <v>0.56470551295753679</v>
      </c>
      <c r="AQ26" s="13">
        <f t="shared" si="26"/>
        <v>2809.7982708933719</v>
      </c>
      <c r="AR26" s="70">
        <f>AQ26*$D$7</f>
        <v>14.695244956772335</v>
      </c>
      <c r="AS26" s="70">
        <f t="shared" si="28"/>
        <v>1.4401340057636888E-3</v>
      </c>
      <c r="AT26" s="70">
        <f t="shared" si="12"/>
        <v>2801.82173734047</v>
      </c>
      <c r="AU26" s="70">
        <f t="shared" si="13"/>
        <v>14.653527686290658</v>
      </c>
      <c r="AV26" s="70">
        <f t="shared" si="14"/>
        <v>1.4360457132564846E-3</v>
      </c>
      <c r="AW26" s="70">
        <f t="shared" si="29"/>
        <v>2.0067947546065831E-4</v>
      </c>
      <c r="AX26" s="70">
        <f t="shared" si="30"/>
        <v>1.49806952484468E-3</v>
      </c>
      <c r="AY26" s="73">
        <f t="shared" si="15"/>
        <v>0.11703074985021561</v>
      </c>
      <c r="AZ26" s="74">
        <f t="shared" si="35"/>
        <v>0.68173626280775235</v>
      </c>
      <c r="BA26" s="74">
        <f t="shared" si="16"/>
        <v>1.6564503462604532</v>
      </c>
      <c r="BB26"/>
      <c r="BC26"/>
      <c r="BD26"/>
      <c r="BE26"/>
      <c r="BF26"/>
      <c r="BG26"/>
      <c r="BH26"/>
      <c r="BI26"/>
      <c r="BJ26"/>
      <c r="BK26"/>
      <c r="BL26"/>
      <c r="BM26"/>
      <c r="BN26"/>
      <c r="BO26"/>
      <c r="BP26"/>
      <c r="BQ26"/>
      <c r="BR26"/>
      <c r="BS26"/>
      <c r="BT26"/>
      <c r="BU26"/>
      <c r="BV26"/>
      <c r="BW26"/>
      <c r="BX26"/>
      <c r="BY26"/>
      <c r="BZ26"/>
      <c r="CA26"/>
    </row>
    <row r="27" spans="1:79" ht="14.4" x14ac:dyDescent="0.3">
      <c r="A27" t="s">
        <v>123</v>
      </c>
      <c r="B27">
        <v>1</v>
      </c>
      <c r="C27" s="2">
        <v>45058</v>
      </c>
      <c r="D27" s="11">
        <v>0.39513888888888887</v>
      </c>
      <c r="E27" s="15">
        <v>1014.7</v>
      </c>
      <c r="F27">
        <v>1079.9000000000001</v>
      </c>
      <c r="G27">
        <v>1076.3</v>
      </c>
      <c r="H27">
        <v>0</v>
      </c>
      <c r="I27">
        <v>3.09</v>
      </c>
      <c r="J27">
        <v>15.08</v>
      </c>
      <c r="K27">
        <v>79.19</v>
      </c>
      <c r="L27">
        <v>0</v>
      </c>
      <c r="N27" t="s">
        <v>99</v>
      </c>
      <c r="P27" s="3">
        <f t="shared" si="4"/>
        <v>45058.395138888889</v>
      </c>
      <c r="Q27" s="4">
        <f t="shared" si="5"/>
        <v>24.757638888891961</v>
      </c>
      <c r="R27">
        <f t="shared" si="17"/>
        <v>97.36</v>
      </c>
      <c r="S27">
        <f t="shared" si="18"/>
        <v>0</v>
      </c>
      <c r="T27">
        <f t="shared" si="19"/>
        <v>3.1737880032867709</v>
      </c>
      <c r="U27">
        <f t="shared" si="20"/>
        <v>15.488907148726376</v>
      </c>
      <c r="V27">
        <f t="shared" si="21"/>
        <v>81.337304847986857</v>
      </c>
      <c r="W27">
        <f t="shared" si="22"/>
        <v>100</v>
      </c>
      <c r="X27" s="6">
        <f t="shared" si="23"/>
        <v>4.2577572063674081E-2</v>
      </c>
      <c r="Y27" s="6">
        <f t="shared" si="0"/>
        <v>1.3513218742476677E-3</v>
      </c>
      <c r="Z27" s="6">
        <f t="shared" si="6"/>
        <v>0</v>
      </c>
      <c r="AA27" s="6">
        <f t="shared" si="1"/>
        <v>6.5948006031245386E-3</v>
      </c>
      <c r="AB27" s="6">
        <f t="shared" si="2"/>
        <v>3.4631449586301877E-2</v>
      </c>
      <c r="AC27" s="6">
        <f t="shared" si="24"/>
        <v>1.3513218742476677E-3</v>
      </c>
      <c r="AD27" s="6">
        <f t="shared" si="7"/>
        <v>4.2435633681018985E-2</v>
      </c>
      <c r="AE27" s="6">
        <f t="shared" si="8"/>
        <v>1.346817050886901E-3</v>
      </c>
      <c r="AF27" s="6">
        <f t="shared" si="9"/>
        <v>0</v>
      </c>
      <c r="AG27" s="6">
        <f t="shared" si="10"/>
        <v>6.5728158988266868E-3</v>
      </c>
      <c r="AH27" s="6">
        <f t="shared" si="11"/>
        <v>3.4516000731305396E-2</v>
      </c>
      <c r="AI27" s="6">
        <f t="shared" si="25"/>
        <v>1.346817050886901E-3</v>
      </c>
      <c r="AJ27" s="22">
        <f>AC27-AI26</f>
        <v>2.4663841345331323E-4</v>
      </c>
      <c r="AK27">
        <f t="shared" si="37"/>
        <v>6.07735561254652E-4</v>
      </c>
      <c r="AL27" s="25">
        <f t="shared" si="38"/>
        <v>2.4663841345331323E-4</v>
      </c>
      <c r="AM27" s="6">
        <f t="shared" si="39"/>
        <v>1.888407364961725E-2</v>
      </c>
      <c r="AN27" s="6">
        <f t="shared" si="40"/>
        <v>7.4155576027887058E-3</v>
      </c>
      <c r="AO27" s="6">
        <f>AJ27+AO26</f>
        <v>7.4752353467909122E-3</v>
      </c>
      <c r="AP27" s="19">
        <f>AO27*$D$4*1000/$D$6</f>
        <v>0.58397316241546249</v>
      </c>
      <c r="AQ27">
        <f t="shared" si="26"/>
        <v>3427.3736647493847</v>
      </c>
      <c r="AR27" s="6">
        <f t="shared" si="27"/>
        <v>17.925164266639282</v>
      </c>
      <c r="AS27" s="6">
        <f t="shared" si="28"/>
        <v>1.7566660981306497E-3</v>
      </c>
      <c r="AT27" s="6">
        <f t="shared" si="12"/>
        <v>3415.9480279375512</v>
      </c>
      <c r="AU27" s="6">
        <f t="shared" si="13"/>
        <v>17.865408186113392</v>
      </c>
      <c r="AV27" s="6">
        <f t="shared" si="14"/>
        <v>1.7508100022391123E-3</v>
      </c>
      <c r="AW27" s="6">
        <f t="shared" si="29"/>
        <v>3.2062038487416507E-4</v>
      </c>
      <c r="AX27" s="52">
        <f t="shared" si="30"/>
        <v>1.818689909718845E-3</v>
      </c>
      <c r="AY27" s="53">
        <f t="shared" si="15"/>
        <v>0.14207794788528583</v>
      </c>
      <c r="AZ27" s="54">
        <f t="shared" si="35"/>
        <v>0.72605111030074831</v>
      </c>
      <c r="BA27" s="23">
        <f t="shared" si="16"/>
        <v>1.0713550200481976</v>
      </c>
    </row>
    <row r="28" spans="1:79" s="7" customFormat="1" ht="14.4" x14ac:dyDescent="0.3">
      <c r="A28" t="s">
        <v>123</v>
      </c>
      <c r="B28">
        <v>1</v>
      </c>
      <c r="C28" s="2">
        <v>45058</v>
      </c>
      <c r="D28" s="11">
        <v>0.43611111111111112</v>
      </c>
      <c r="E28" s="15">
        <v>1015</v>
      </c>
      <c r="F28">
        <v>1115.4000000000001</v>
      </c>
      <c r="G28">
        <v>1112</v>
      </c>
      <c r="H28">
        <v>0</v>
      </c>
      <c r="I28">
        <v>0.17</v>
      </c>
      <c r="J28">
        <v>20.41</v>
      </c>
      <c r="K28">
        <v>75.59</v>
      </c>
      <c r="L28">
        <v>1</v>
      </c>
      <c r="M28"/>
      <c r="N28" t="s">
        <v>99</v>
      </c>
      <c r="O28">
        <v>785.37</v>
      </c>
      <c r="P28" s="8">
        <f t="shared" si="4"/>
        <v>45058.436111111114</v>
      </c>
      <c r="Q28" s="9">
        <f t="shared" si="5"/>
        <v>24.79861111111677</v>
      </c>
      <c r="R28">
        <f t="shared" si="17"/>
        <v>96.17</v>
      </c>
      <c r="S28">
        <f t="shared" si="18"/>
        <v>0</v>
      </c>
      <c r="T28">
        <f t="shared" si="19"/>
        <v>0.17677030258916501</v>
      </c>
      <c r="U28">
        <f t="shared" si="20"/>
        <v>21.222834563793281</v>
      </c>
      <c r="V28">
        <f t="shared" si="21"/>
        <v>78.600395133617553</v>
      </c>
      <c r="W28">
        <f t="shared" si="22"/>
        <v>100</v>
      </c>
      <c r="X28" s="10">
        <f t="shared" si="23"/>
        <v>4.3977242225967279E-2</v>
      </c>
      <c r="Y28" s="10">
        <f t="shared" si="0"/>
        <v>7.7738704153212403E-5</v>
      </c>
      <c r="Z28" s="10">
        <f t="shared" si="6"/>
        <v>0</v>
      </c>
      <c r="AA28" s="10">
        <f t="shared" si="1"/>
        <v>9.3332173633356771E-3</v>
      </c>
      <c r="AB28" s="10">
        <f t="shared" si="2"/>
        <v>3.4566286158478385E-2</v>
      </c>
      <c r="AC28" s="10">
        <f t="shared" si="24"/>
        <v>7.7738704153212403E-5</v>
      </c>
      <c r="AD28" s="10">
        <f t="shared" si="7"/>
        <v>4.3843189309015249E-2</v>
      </c>
      <c r="AE28" s="10">
        <f t="shared" si="8"/>
        <v>7.7501738406286693E-5</v>
      </c>
      <c r="AF28" s="10">
        <f t="shared" si="9"/>
        <v>0</v>
      </c>
      <c r="AG28" s="10">
        <f t="shared" si="10"/>
        <v>9.3047675345430091E-3</v>
      </c>
      <c r="AH28" s="10">
        <f t="shared" si="11"/>
        <v>3.4460920036065955E-2</v>
      </c>
      <c r="AI28" s="10">
        <f t="shared" si="25"/>
        <v>7.7501738406286693E-5</v>
      </c>
      <c r="AJ28" s="22"/>
      <c r="AK28"/>
      <c r="AL28" s="25"/>
      <c r="AM28" s="6"/>
      <c r="AN28" s="6"/>
      <c r="AO28" s="6"/>
      <c r="AP28" s="19"/>
      <c r="AQ28" s="7">
        <f t="shared" si="26"/>
        <v>197.16959550795468</v>
      </c>
      <c r="AR28" s="10">
        <f t="shared" si="27"/>
        <v>1.0311969845066031</v>
      </c>
      <c r="AS28" s="6">
        <f t="shared" si="28"/>
        <v>1.0105730448164711E-4</v>
      </c>
      <c r="AT28" s="6">
        <f t="shared" si="12"/>
        <v>196.56857647915149</v>
      </c>
      <c r="AU28" s="6">
        <f t="shared" si="13"/>
        <v>1.0280536549859622</v>
      </c>
      <c r="AV28" s="6">
        <f t="shared" si="14"/>
        <v>1.0074925818862431E-4</v>
      </c>
      <c r="AW28" s="6">
        <f t="shared" si="29"/>
        <v>-1.6497526977574653E-3</v>
      </c>
      <c r="AX28" s="52">
        <f t="shared" si="30"/>
        <v>1.6893721196137973E-4</v>
      </c>
      <c r="AY28" s="53">
        <f t="shared" si="15"/>
        <v>1.3197550758196574E-2</v>
      </c>
      <c r="AZ28" s="54"/>
      <c r="BA28" s="23">
        <f t="shared" si="16"/>
        <v>0</v>
      </c>
      <c r="BB28"/>
      <c r="BC28"/>
      <c r="BD28"/>
    </row>
    <row r="29" spans="1:79" ht="15" customHeight="1" x14ac:dyDescent="0.3">
      <c r="A29" t="s">
        <v>123</v>
      </c>
      <c r="B29">
        <v>1</v>
      </c>
      <c r="C29" s="2">
        <v>45061</v>
      </c>
      <c r="D29" s="11">
        <v>0.42291666666666666</v>
      </c>
      <c r="E29" s="15">
        <v>1012.8</v>
      </c>
      <c r="F29">
        <v>1105.0999999999999</v>
      </c>
      <c r="G29">
        <v>1102</v>
      </c>
      <c r="H29">
        <v>0</v>
      </c>
      <c r="I29">
        <v>1.71</v>
      </c>
      <c r="J29">
        <v>18.86</v>
      </c>
      <c r="K29">
        <v>77.83</v>
      </c>
      <c r="L29">
        <v>0</v>
      </c>
      <c r="N29" t="s">
        <v>99</v>
      </c>
      <c r="P29" s="3">
        <f t="shared" si="4"/>
        <v>45061.42291666667</v>
      </c>
      <c r="Q29" s="4">
        <f t="shared" si="5"/>
        <v>27.785416666672972</v>
      </c>
      <c r="R29">
        <f t="shared" si="17"/>
        <v>98.4</v>
      </c>
      <c r="S29">
        <f t="shared" si="18"/>
        <v>0</v>
      </c>
      <c r="T29">
        <f t="shared" si="19"/>
        <v>1.7378048780487805</v>
      </c>
      <c r="U29">
        <f t="shared" si="20"/>
        <v>19.166666666666664</v>
      </c>
      <c r="V29">
        <f t="shared" si="21"/>
        <v>79.095528455284551</v>
      </c>
      <c r="W29">
        <f t="shared" si="22"/>
        <v>100</v>
      </c>
      <c r="X29" s="6">
        <f t="shared" si="23"/>
        <v>4.3571140742259665E-2</v>
      </c>
      <c r="Y29" s="6">
        <f t="shared" si="0"/>
        <v>7.5718140924048818E-4</v>
      </c>
      <c r="Z29" s="6">
        <f t="shared" si="6"/>
        <v>0</v>
      </c>
      <c r="AA29" s="6">
        <f t="shared" si="1"/>
        <v>8.3511353089331004E-3</v>
      </c>
      <c r="AB29" s="6">
        <f t="shared" si="2"/>
        <v>3.4462824024086076E-2</v>
      </c>
      <c r="AC29" s="6">
        <f>Y29+Z29</f>
        <v>7.5718140924048818E-4</v>
      </c>
      <c r="AD29" s="6">
        <f t="shared" si="7"/>
        <v>4.3448916023862236E-2</v>
      </c>
      <c r="AE29" s="6">
        <f t="shared" si="8"/>
        <v>7.5505738212199621E-4</v>
      </c>
      <c r="AF29" s="6">
        <f t="shared" si="9"/>
        <v>0</v>
      </c>
      <c r="AG29" s="6">
        <f t="shared" si="10"/>
        <v>8.3277089045735945E-3</v>
      </c>
      <c r="AH29" s="6">
        <f t="shared" si="11"/>
        <v>3.4366149737166646E-2</v>
      </c>
      <c r="AI29" s="6">
        <f>AE29+AF29</f>
        <v>7.5505738212199621E-4</v>
      </c>
      <c r="AJ29" s="22">
        <f t="shared" si="36"/>
        <v>6.7967967083420143E-4</v>
      </c>
      <c r="AK29">
        <f t="shared" si="37"/>
        <v>9.5363222560990862E-4</v>
      </c>
      <c r="AL29" s="25">
        <f t="shared" si="38"/>
        <v>6.7967967083420143E-4</v>
      </c>
      <c r="AM29" s="6">
        <f>AK29+AM27</f>
        <v>1.9837705875227159E-2</v>
      </c>
      <c r="AN29" s="6">
        <f>AL29+AN27</f>
        <v>8.0952372736229072E-3</v>
      </c>
      <c r="AO29" s="6">
        <f>AJ29+AO27</f>
        <v>8.1549150176251136E-3</v>
      </c>
      <c r="AP29" s="19">
        <f t="shared" si="34"/>
        <v>0.63707044542969471</v>
      </c>
      <c r="AQ29">
        <f>F29*100*T29/100</f>
        <v>1920.448170731707</v>
      </c>
      <c r="AR29" s="6">
        <f t="shared" si="27"/>
        <v>10.043943932926828</v>
      </c>
      <c r="AS29" s="6">
        <f t="shared" si="28"/>
        <v>9.8430650542682919E-4</v>
      </c>
      <c r="AT29" s="6">
        <f t="shared" si="12"/>
        <v>1915.060975609756</v>
      </c>
      <c r="AU29" s="6">
        <f t="shared" si="13"/>
        <v>10.015768902439024</v>
      </c>
      <c r="AV29" s="6">
        <f t="shared" si="14"/>
        <v>9.8154535243902448E-4</v>
      </c>
      <c r="AW29" s="6">
        <f t="shared" si="29"/>
        <v>8.8355724723820483E-4</v>
      </c>
      <c r="AX29" s="52">
        <f t="shared" si="30"/>
        <v>1.0524944591995846E-3</v>
      </c>
      <c r="AY29" s="53">
        <f t="shared" si="15"/>
        <v>8.2221962152320846E-2</v>
      </c>
      <c r="AZ29" s="54">
        <f t="shared" si="35"/>
        <v>0.71929240758201551</v>
      </c>
      <c r="BA29" s="23">
        <f t="shared" si="16"/>
        <v>0.61003691416513628</v>
      </c>
    </row>
    <row r="30" spans="1:79" ht="15" customHeight="1" x14ac:dyDescent="0.3">
      <c r="A30" t="s">
        <v>123</v>
      </c>
      <c r="B30">
        <v>1</v>
      </c>
      <c r="C30" s="2">
        <v>45063</v>
      </c>
      <c r="D30" s="11">
        <v>0.38680555555555557</v>
      </c>
      <c r="E30" s="15">
        <v>1025.3</v>
      </c>
      <c r="F30">
        <v>1095.8</v>
      </c>
      <c r="G30">
        <v>1092.9000000000001</v>
      </c>
      <c r="H30">
        <v>0</v>
      </c>
      <c r="I30">
        <v>2.2799999999999998</v>
      </c>
      <c r="J30">
        <v>17.97</v>
      </c>
      <c r="K30">
        <v>79.14</v>
      </c>
      <c r="L30">
        <v>0</v>
      </c>
      <c r="N30" t="s">
        <v>99</v>
      </c>
      <c r="P30" s="8">
        <f t="shared" si="4"/>
        <v>45063.386805555558</v>
      </c>
      <c r="Q30" s="9">
        <f t="shared" si="5"/>
        <v>29.749305555560568</v>
      </c>
      <c r="R30">
        <f t="shared" si="17"/>
        <v>99.39</v>
      </c>
      <c r="S30">
        <f t="shared" si="18"/>
        <v>0</v>
      </c>
      <c r="T30">
        <f t="shared" si="19"/>
        <v>2.2939933594929065</v>
      </c>
      <c r="U30">
        <f t="shared" si="20"/>
        <v>18.080289767582251</v>
      </c>
      <c r="V30">
        <f t="shared" si="21"/>
        <v>79.625716872924841</v>
      </c>
      <c r="W30">
        <f t="shared" si="22"/>
        <v>100</v>
      </c>
      <c r="X30" s="6">
        <f t="shared" si="23"/>
        <v>4.3204466587067364E-2</v>
      </c>
      <c r="Y30" s="6">
        <f t="shared" si="0"/>
        <v>9.9110759451165689E-4</v>
      </c>
      <c r="Z30" s="6">
        <f t="shared" si="6"/>
        <v>0</v>
      </c>
      <c r="AA30" s="6">
        <f t="shared" si="1"/>
        <v>7.8114927514800325E-3</v>
      </c>
      <c r="AB30" s="6">
        <f t="shared" si="2"/>
        <v>3.440186624107567E-2</v>
      </c>
      <c r="AC30" s="6">
        <f t="shared" ref="AC30:AC32" si="77">Y30+Z30</f>
        <v>9.9110759451165689E-4</v>
      </c>
      <c r="AD30" s="6">
        <f t="shared" si="7"/>
        <v>4.3090127334373E-2</v>
      </c>
      <c r="AE30" s="6">
        <f t="shared" si="8"/>
        <v>9.8848465964755444E-4</v>
      </c>
      <c r="AF30" s="6">
        <f t="shared" si="9"/>
        <v>0</v>
      </c>
      <c r="AG30" s="6">
        <f t="shared" si="10"/>
        <v>7.790819883274804E-3</v>
      </c>
      <c r="AH30" s="6">
        <f t="shared" si="11"/>
        <v>3.4310822791450639E-2</v>
      </c>
      <c r="AI30" s="6">
        <f t="shared" ref="AI30:AI32" si="78">AE30+AF30</f>
        <v>9.8848465964755444E-4</v>
      </c>
      <c r="AJ30" s="22">
        <f t="shared" si="36"/>
        <v>2.3605021238966067E-4</v>
      </c>
      <c r="AK30">
        <f t="shared" si="37"/>
        <v>5.1621615309356203E-4</v>
      </c>
      <c r="AL30" s="25">
        <f t="shared" si="38"/>
        <v>2.3605021238966067E-4</v>
      </c>
      <c r="AM30" s="6">
        <f t="shared" si="39"/>
        <v>2.0353922028320721E-2</v>
      </c>
      <c r="AN30" s="6">
        <f t="shared" si="40"/>
        <v>8.3312874860125685E-3</v>
      </c>
      <c r="AO30" s="6">
        <f t="shared" si="41"/>
        <v>8.3909652300147748E-3</v>
      </c>
      <c r="AP30" s="19">
        <f t="shared" si="34"/>
        <v>0.65551093360472046</v>
      </c>
      <c r="AQ30">
        <f t="shared" ref="AQ30:AQ32" si="79">F30*100*T30/100</f>
        <v>2513.7579233323272</v>
      </c>
      <c r="AR30" s="6">
        <f t="shared" si="27"/>
        <v>13.146953939028071</v>
      </c>
      <c r="AS30" s="6">
        <f t="shared" si="28"/>
        <v>1.288401486024751E-3</v>
      </c>
      <c r="AT30" s="6">
        <f t="shared" si="12"/>
        <v>2507.1053425897976</v>
      </c>
      <c r="AU30" s="6">
        <f t="shared" si="13"/>
        <v>13.112160941744643</v>
      </c>
      <c r="AV30" s="6">
        <f t="shared" si="14"/>
        <v>1.284991772290975E-3</v>
      </c>
      <c r="AW30" s="6">
        <f t="shared" si="29"/>
        <v>3.0685613358572656E-4</v>
      </c>
      <c r="AX30" s="52">
        <f t="shared" si="30"/>
        <v>1.3593505927853111E-3</v>
      </c>
      <c r="AY30" s="53">
        <f t="shared" si="15"/>
        <v>0.10619388255661506</v>
      </c>
      <c r="AZ30" s="54">
        <f t="shared" si="35"/>
        <v>0.76170481616133556</v>
      </c>
      <c r="BA30" s="23">
        <f t="shared" si="16"/>
        <v>0.95083831110157035</v>
      </c>
    </row>
    <row r="31" spans="1:79" ht="15" customHeight="1" x14ac:dyDescent="0.3">
      <c r="A31" t="s">
        <v>123</v>
      </c>
      <c r="B31">
        <v>1</v>
      </c>
      <c r="C31" s="2">
        <v>45068</v>
      </c>
      <c r="D31" s="11">
        <v>0.60902777777777783</v>
      </c>
      <c r="E31" s="15">
        <v>1013.4</v>
      </c>
      <c r="F31">
        <v>1079.9000000000001</v>
      </c>
      <c r="G31">
        <v>1077.5999999999999</v>
      </c>
      <c r="H31">
        <v>0.05</v>
      </c>
      <c r="I31">
        <v>3.79</v>
      </c>
      <c r="J31">
        <v>14.94</v>
      </c>
      <c r="K31">
        <v>79.78</v>
      </c>
      <c r="L31">
        <v>0</v>
      </c>
      <c r="N31" t="s">
        <v>99</v>
      </c>
      <c r="P31" s="3">
        <f t="shared" si="4"/>
        <v>45068.609027777777</v>
      </c>
      <c r="Q31" s="4">
        <f t="shared" si="5"/>
        <v>34.971527777779556</v>
      </c>
      <c r="R31">
        <f t="shared" si="17"/>
        <v>98.56</v>
      </c>
      <c r="S31">
        <f t="shared" si="18"/>
        <v>5.073051948051948E-2</v>
      </c>
      <c r="T31">
        <f t="shared" si="19"/>
        <v>3.8453733766233764</v>
      </c>
      <c r="U31">
        <f t="shared" si="20"/>
        <v>15.158279220779221</v>
      </c>
      <c r="V31">
        <f t="shared" si="21"/>
        <v>80.945616883116884</v>
      </c>
      <c r="W31">
        <f t="shared" si="22"/>
        <v>100</v>
      </c>
      <c r="X31" s="10">
        <f t="shared" si="23"/>
        <v>4.2577572063674081E-2</v>
      </c>
      <c r="Y31" s="10">
        <f t="shared" si="0"/>
        <v>1.6372666205491553E-3</v>
      </c>
      <c r="Z31" s="10">
        <f t="shared" si="6"/>
        <v>2.1599823490094397E-5</v>
      </c>
      <c r="AA31" s="10">
        <f t="shared" si="1"/>
        <v>6.4540272588402073E-3</v>
      </c>
      <c r="AB31" s="10">
        <f t="shared" si="2"/>
        <v>3.4464678360794622E-2</v>
      </c>
      <c r="AC31" s="10">
        <f t="shared" si="77"/>
        <v>1.6588664440392498E-3</v>
      </c>
      <c r="AD31" s="10">
        <f t="shared" si="7"/>
        <v>4.2486889208088872E-2</v>
      </c>
      <c r="AE31" s="10">
        <f t="shared" si="8"/>
        <v>1.6337795261633201E-3</v>
      </c>
      <c r="AF31" s="10">
        <f t="shared" si="9"/>
        <v>2.1553819606376256E-5</v>
      </c>
      <c r="AG31" s="10">
        <f t="shared" si="10"/>
        <v>6.4402812983852253E-3</v>
      </c>
      <c r="AH31" s="10">
        <f t="shared" si="11"/>
        <v>3.4391274563933955E-2</v>
      </c>
      <c r="AI31" s="10">
        <f t="shared" si="78"/>
        <v>1.6553333457696962E-3</v>
      </c>
      <c r="AJ31" s="22">
        <f t="shared" si="36"/>
        <v>6.7038178439169532E-4</v>
      </c>
      <c r="AK31">
        <f t="shared" si="37"/>
        <v>1.3367926244345968E-3</v>
      </c>
      <c r="AL31" s="25">
        <f t="shared" si="38"/>
        <v>6.4878196090160088E-4</v>
      </c>
      <c r="AM31" s="6">
        <f t="shared" si="39"/>
        <v>2.1690714652755318E-2</v>
      </c>
      <c r="AN31" s="6">
        <f t="shared" si="40"/>
        <v>8.9800694469141691E-3</v>
      </c>
      <c r="AO31" s="6">
        <f t="shared" si="41"/>
        <v>9.0613470144064699E-3</v>
      </c>
      <c r="AP31" s="19">
        <f t="shared" si="34"/>
        <v>0.70788185605668064</v>
      </c>
      <c r="AQ31" s="7">
        <f t="shared" si="79"/>
        <v>4152.6187094155848</v>
      </c>
      <c r="AR31" s="10">
        <f t="shared" si="27"/>
        <v>21.718195850243511</v>
      </c>
      <c r="AS31" s="6">
        <f t="shared" si="28"/>
        <v>2.128383193323864E-3</v>
      </c>
      <c r="AT31" s="6">
        <f t="shared" si="12"/>
        <v>4143.7743506493498</v>
      </c>
      <c r="AU31" s="6">
        <f t="shared" si="13"/>
        <v>21.671939853896102</v>
      </c>
      <c r="AV31" s="6">
        <f t="shared" si="14"/>
        <v>2.1238501056818179E-3</v>
      </c>
      <c r="AW31" s="6">
        <f t="shared" si="29"/>
        <v>8.4339142103288908E-4</v>
      </c>
      <c r="AX31" s="52">
        <f t="shared" si="30"/>
        <v>2.2027420138182002E-3</v>
      </c>
      <c r="AY31" s="53">
        <f t="shared" si="15"/>
        <v>0.17208049781964926</v>
      </c>
      <c r="AZ31" s="54">
        <f t="shared" si="35"/>
        <v>0.87996235387632993</v>
      </c>
      <c r="BA31" s="23">
        <f t="shared" si="16"/>
        <v>0.89586950190838155</v>
      </c>
    </row>
    <row r="32" spans="1:79" ht="15" customHeight="1" x14ac:dyDescent="0.3">
      <c r="A32" t="s">
        <v>123</v>
      </c>
      <c r="B32">
        <v>1</v>
      </c>
      <c r="C32" s="2">
        <v>45068</v>
      </c>
      <c r="D32" s="11">
        <v>0.64652777777777781</v>
      </c>
      <c r="E32" s="15">
        <v>1013.5</v>
      </c>
      <c r="F32">
        <v>1113.9000000000001</v>
      </c>
      <c r="G32">
        <v>1110.8</v>
      </c>
      <c r="H32">
        <v>0</v>
      </c>
      <c r="I32">
        <v>0.33</v>
      </c>
      <c r="J32">
        <v>20.3</v>
      </c>
      <c r="K32">
        <v>75.47</v>
      </c>
      <c r="L32">
        <v>1</v>
      </c>
      <c r="N32" t="s">
        <v>99</v>
      </c>
      <c r="O32">
        <v>785.27</v>
      </c>
      <c r="P32" s="8">
        <f t="shared" si="4"/>
        <v>45068.646527777775</v>
      </c>
      <c r="Q32" s="9">
        <f t="shared" si="5"/>
        <v>35.009027777778101</v>
      </c>
      <c r="R32">
        <f t="shared" ref="R32" si="80">SUM(H32:K32)</f>
        <v>96.1</v>
      </c>
      <c r="S32">
        <f t="shared" si="18"/>
        <v>0</v>
      </c>
      <c r="T32">
        <f t="shared" si="19"/>
        <v>0.3433922996878252</v>
      </c>
      <c r="U32">
        <f t="shared" si="20"/>
        <v>21.123829344432885</v>
      </c>
      <c r="V32">
        <f t="shared" si="21"/>
        <v>78.532778355879302</v>
      </c>
      <c r="W32">
        <f t="shared" si="22"/>
        <v>100.00000000000001</v>
      </c>
      <c r="X32" s="6">
        <f t="shared" si="23"/>
        <v>4.3918101233194326E-2</v>
      </c>
      <c r="Y32" s="6">
        <f t="shared" si="0"/>
        <v>1.5081137780389311E-4</v>
      </c>
      <c r="Z32" s="6">
        <f t="shared" si="6"/>
        <v>0</v>
      </c>
      <c r="AA32" s="6">
        <f t="shared" si="1"/>
        <v>9.2771847558152428E-3</v>
      </c>
      <c r="AB32" s="6">
        <f t="shared" si="2"/>
        <v>3.4490105099575195E-2</v>
      </c>
      <c r="AC32" s="6">
        <f t="shared" si="77"/>
        <v>1.5081137780389311E-4</v>
      </c>
      <c r="AD32" s="6">
        <f t="shared" si="7"/>
        <v>4.3795876514796883E-2</v>
      </c>
      <c r="AE32" s="6">
        <f t="shared" si="8"/>
        <v>1.5039166753260118E-4</v>
      </c>
      <c r="AF32" s="6">
        <f t="shared" si="9"/>
        <v>0</v>
      </c>
      <c r="AG32" s="6">
        <f t="shared" si="10"/>
        <v>9.2513662148842549E-3</v>
      </c>
      <c r="AH32" s="6">
        <f t="shared" si="11"/>
        <v>3.4394118632380032E-2</v>
      </c>
      <c r="AI32" s="6">
        <f t="shared" si="78"/>
        <v>1.5039166753260118E-4</v>
      </c>
      <c r="AJ32" s="22"/>
      <c r="AL32" s="25"/>
      <c r="AM32" s="6"/>
      <c r="AN32" s="6"/>
      <c r="AO32" s="6"/>
      <c r="AP32" s="19"/>
      <c r="AQ32">
        <f t="shared" si="79"/>
        <v>382.50468262226855</v>
      </c>
      <c r="AR32" s="6">
        <f t="shared" si="27"/>
        <v>2.0004994901144646</v>
      </c>
      <c r="AS32" s="6">
        <f t="shared" si="28"/>
        <v>1.9604895003121753E-4</v>
      </c>
      <c r="AT32" s="6">
        <f t="shared" si="12"/>
        <v>381.44016649323623</v>
      </c>
      <c r="AU32" s="6">
        <f t="shared" si="13"/>
        <v>1.9949320707596256</v>
      </c>
      <c r="AV32" s="6">
        <f t="shared" si="14"/>
        <v>1.9550334293444332E-4</v>
      </c>
      <c r="AW32" s="6">
        <f t="shared" si="29"/>
        <v>-1.9278011556506003E-3</v>
      </c>
      <c r="AX32" s="52">
        <f t="shared" si="30"/>
        <v>2.7494085816759991E-4</v>
      </c>
      <c r="AY32" s="53">
        <f t="shared" si="15"/>
        <v>2.1478665884450233E-2</v>
      </c>
      <c r="AZ32" s="54"/>
      <c r="BA32"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2">
    <cfRule type="expression" dxfId="15" priority="1">
      <formula>$L13=0</formula>
    </cfRule>
    <cfRule type="expression" dxfId="14" priority="2">
      <formula>$L13=1</formula>
    </cfRule>
  </conditionalFormatting>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24BC-9CDD-448B-BF89-FDB9294CD300}">
  <dimension ref="A1:BD32"/>
  <sheetViews>
    <sheetView topLeftCell="AH1" zoomScale="115" zoomScaleNormal="115" workbookViewId="0">
      <selection activeCell="AX22" sqref="AX22"/>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123</v>
      </c>
      <c r="B13">
        <v>2</v>
      </c>
      <c r="C13" s="2">
        <v>45033</v>
      </c>
      <c r="D13" s="11">
        <v>0.6381944444444444</v>
      </c>
      <c r="E13" s="15">
        <v>1025.4000000000001</v>
      </c>
      <c r="F13">
        <f>SUM(F14:F32)/(31-14)</f>
        <v>1229.193137254902</v>
      </c>
      <c r="M13" t="s">
        <v>121</v>
      </c>
      <c r="O13">
        <v>806.78</v>
      </c>
      <c r="P13" s="3">
        <f>C13+D13</f>
        <v>45033.638194444444</v>
      </c>
      <c r="Q13" s="4">
        <f>P13-$P$13</f>
        <v>0</v>
      </c>
      <c r="S13">
        <v>0</v>
      </c>
      <c r="T13">
        <v>0.03</v>
      </c>
      <c r="U13">
        <v>21.9</v>
      </c>
      <c r="V13">
        <v>78.069999999999993</v>
      </c>
      <c r="W13">
        <f>SUM(S13:V13)</f>
        <v>100</v>
      </c>
      <c r="X13" s="6">
        <f>F13*100*$D$3/($D$1*$D$2)</f>
        <v>4.846380163130308E-2</v>
      </c>
      <c r="Y13" s="6">
        <f t="shared" ref="Y13:Y32" si="0">X13*T13/100</f>
        <v>1.4539140489390923E-5</v>
      </c>
      <c r="Z13" s="6">
        <f>X13*S13/100</f>
        <v>0</v>
      </c>
      <c r="AA13" s="6">
        <f t="shared" ref="AA13:AA32" si="1">X13*U13/100</f>
        <v>1.0613572557255374E-2</v>
      </c>
      <c r="AB13" s="6">
        <f t="shared" ref="AB13:AB32" si="2">X13*V13/100</f>
        <v>3.7835689933558313E-2</v>
      </c>
      <c r="AC13" s="6">
        <f>Y13+Z13</f>
        <v>1.4539140489390923E-5</v>
      </c>
      <c r="AD13" s="6">
        <f>X13</f>
        <v>4.846380163130308E-2</v>
      </c>
      <c r="AE13" s="6">
        <f>Y13</f>
        <v>1.4539140489390923E-5</v>
      </c>
      <c r="AF13" s="6">
        <f t="shared" ref="AF13:AI13" si="3">Z13</f>
        <v>0</v>
      </c>
      <c r="AG13" s="6">
        <f t="shared" si="3"/>
        <v>1.0613572557255374E-2</v>
      </c>
      <c r="AH13" s="6">
        <f t="shared" si="3"/>
        <v>3.7835689933558313E-2</v>
      </c>
      <c r="AI13" s="6">
        <f t="shared" si="3"/>
        <v>1.4539140489390923E-5</v>
      </c>
      <c r="AJ13" s="22">
        <f>AC13-AI13</f>
        <v>0</v>
      </c>
      <c r="AK13" s="6">
        <f>AA13-AG13</f>
        <v>0</v>
      </c>
      <c r="AL13" s="23">
        <f>Y13-AE13</f>
        <v>0</v>
      </c>
      <c r="AM13" s="6">
        <f>AK13</f>
        <v>0</v>
      </c>
      <c r="AN13" s="6">
        <f>AL13</f>
        <v>0</v>
      </c>
      <c r="AO13" s="6">
        <f>AJ13</f>
        <v>0</v>
      </c>
      <c r="AP13" s="19">
        <f>AO13*$D$4*1000/$D$6</f>
        <v>0</v>
      </c>
      <c r="AQ13">
        <f>F13*100*T13/100</f>
        <v>36.875794117647054</v>
      </c>
      <c r="AR13" s="6">
        <f>AQ13*$D$7</f>
        <v>0.1928604032352941</v>
      </c>
      <c r="AS13" s="6">
        <f>AR13*$D$5/1000</f>
        <v>1.8900319517058823E-5</v>
      </c>
      <c r="AT13" s="6">
        <f>G13*100*T13/100</f>
        <v>0</v>
      </c>
      <c r="AU13" s="6">
        <f>AT13*$D$7</f>
        <v>0</v>
      </c>
      <c r="AV13" s="6">
        <f>AU13*$D$5/1000</f>
        <v>0</v>
      </c>
      <c r="AW13" s="6">
        <f>AS13-AV13</f>
        <v>1.8900319517058823E-5</v>
      </c>
      <c r="AX13" s="52">
        <f>AW13</f>
        <v>1.8900319517058823E-5</v>
      </c>
      <c r="AY13" s="53">
        <f>(AX13*$D$4*1000/$D$6)</f>
        <v>1.4765126242851721E-3</v>
      </c>
      <c r="AZ13" s="54">
        <f>AP13</f>
        <v>0</v>
      </c>
      <c r="BA13" s="23">
        <v>0</v>
      </c>
    </row>
    <row r="14" spans="1:56" ht="14.4" x14ac:dyDescent="0.3">
      <c r="A14" t="s">
        <v>123</v>
      </c>
      <c r="B14">
        <v>2</v>
      </c>
      <c r="C14" s="2">
        <v>45035</v>
      </c>
      <c r="D14" s="11">
        <v>0.65277777777777779</v>
      </c>
      <c r="E14" s="15">
        <v>1022.6</v>
      </c>
      <c r="F14">
        <v>1103.8</v>
      </c>
      <c r="G14">
        <v>1101.4000000000001</v>
      </c>
      <c r="H14">
        <v>0</v>
      </c>
      <c r="I14">
        <v>2.99</v>
      </c>
      <c r="J14">
        <v>17.43</v>
      </c>
      <c r="K14">
        <v>77.260000000000005</v>
      </c>
      <c r="L14">
        <v>0</v>
      </c>
      <c r="N14" t="s">
        <v>99</v>
      </c>
      <c r="P14" s="3">
        <f t="shared" ref="P14:P32" si="4">C14+D14</f>
        <v>45035.652777777781</v>
      </c>
      <c r="Q14" s="4">
        <f t="shared" ref="Q14:Q32" si="5">P14-$P$13</f>
        <v>2.0145833333372138</v>
      </c>
      <c r="R14">
        <f>SUM(H14:K14)</f>
        <v>97.68</v>
      </c>
      <c r="S14">
        <f>H14 * 100/R14</f>
        <v>0</v>
      </c>
      <c r="T14">
        <f>I14* 100/R14</f>
        <v>3.0610155610155609</v>
      </c>
      <c r="U14">
        <f>J14* 100/R14</f>
        <v>17.843980343980341</v>
      </c>
      <c r="V14">
        <f>K14* 100/R14</f>
        <v>79.0950040950041</v>
      </c>
      <c r="W14">
        <f>SUM(S14:V14)</f>
        <v>100</v>
      </c>
      <c r="X14" s="6">
        <f>F14*100*$D$3/($D$1*$D$2)</f>
        <v>4.3519885215189777E-2</v>
      </c>
      <c r="Y14" s="6">
        <f t="shared" si="0"/>
        <v>1.3321504585730695E-3</v>
      </c>
      <c r="Z14" s="6">
        <f t="shared" ref="Z14:Z32" si="6">X14*S14/100</f>
        <v>0</v>
      </c>
      <c r="AA14" s="6">
        <f t="shared" si="1"/>
        <v>7.7656797635212707E-3</v>
      </c>
      <c r="AB14" s="6">
        <f t="shared" si="2"/>
        <v>3.442205499309544E-2</v>
      </c>
      <c r="AC14" s="6">
        <f>Y14+Z14</f>
        <v>1.3321504585730695E-3</v>
      </c>
      <c r="AD14" s="6">
        <f t="shared" ref="AD14:AD32" si="7">G14*100*$D$3/($D$1*$D$2)</f>
        <v>4.342525962675306E-2</v>
      </c>
      <c r="AE14" s="6">
        <f t="shared" ref="AE14:AE32" si="8">AD14*T14/100</f>
        <v>1.3292539545863191E-3</v>
      </c>
      <c r="AF14" s="6">
        <f t="shared" ref="AF14:AF32" si="9">AD14*S14/100</f>
        <v>0</v>
      </c>
      <c r="AG14" s="6">
        <f t="shared" ref="AG14:AG32" si="10">AD14*U14/100</f>
        <v>7.7487947921202468E-3</v>
      </c>
      <c r="AH14" s="6">
        <f t="shared" ref="AH14:AH32" si="11">AD14*V14/100</f>
        <v>3.4347210880046497E-2</v>
      </c>
      <c r="AI14" s="6">
        <f>AE14+AF14</f>
        <v>1.3292539545863191E-3</v>
      </c>
      <c r="AJ14" s="22">
        <f>AC14-AI13</f>
        <v>1.3176113180836785E-3</v>
      </c>
      <c r="AK14">
        <f>(AA14-AG13)*-1</f>
        <v>2.8478927937341031E-3</v>
      </c>
      <c r="AL14" s="25">
        <f>Y14-AE13</f>
        <v>1.3176113180836785E-3</v>
      </c>
      <c r="AM14" s="6">
        <f>AK14+AM13</f>
        <v>2.8478927937341031E-3</v>
      </c>
      <c r="AN14" s="6">
        <f>AL14+AN13</f>
        <v>1.3176113180836785E-3</v>
      </c>
      <c r="AO14" s="6">
        <f>AJ14+AO13</f>
        <v>1.3176113180836785E-3</v>
      </c>
      <c r="AP14" s="19">
        <f>AO14*$D$4*1000/$D$6</f>
        <v>0.10293316699200021</v>
      </c>
      <c r="AQ14">
        <f>F14*100*T14/100</f>
        <v>3378.7489762489759</v>
      </c>
      <c r="AR14" s="6">
        <f>AQ14*$D$7</f>
        <v>17.670857145782144</v>
      </c>
      <c r="AS14" s="6">
        <f>AR14*$D$5/1000</f>
        <v>1.7317440002866502E-3</v>
      </c>
      <c r="AT14" s="6">
        <f t="shared" ref="AT14:AT32" si="12">G14*100*T14/100</f>
        <v>3371.4025389025396</v>
      </c>
      <c r="AU14" s="6">
        <f t="shared" ref="AU14:AU32" si="13">AT14*$D$7</f>
        <v>17.632435278460282</v>
      </c>
      <c r="AV14" s="6">
        <f t="shared" ref="AV14:AV32" si="14">AU14*$D$5/1000</f>
        <v>1.7279786572891075E-3</v>
      </c>
      <c r="AW14" s="6">
        <f>AS14-AV13</f>
        <v>1.7317440002866502E-3</v>
      </c>
      <c r="AX14" s="52">
        <f>AW14+AX13</f>
        <v>1.7506443198037089E-3</v>
      </c>
      <c r="AY14" s="53">
        <f t="shared" ref="AY14:AY32" si="15">(AX14*$D$4*1000/$D$6)</f>
        <v>0.13676215560749133</v>
      </c>
      <c r="AZ14" s="54">
        <f>AY14+AP14</f>
        <v>0.23969532259949156</v>
      </c>
      <c r="BA14" s="23">
        <f t="shared" ref="BA14:BA32" si="16">AK14/(AL14+AW14)</f>
        <v>0.93393274853128849</v>
      </c>
    </row>
    <row r="15" spans="1:56" ht="14.4" x14ac:dyDescent="0.3">
      <c r="A15" t="s">
        <v>123</v>
      </c>
      <c r="B15">
        <v>2</v>
      </c>
      <c r="C15" s="2">
        <v>45035</v>
      </c>
      <c r="D15" s="11">
        <v>0.74236111111111114</v>
      </c>
      <c r="E15" s="15">
        <v>1021.4</v>
      </c>
      <c r="F15">
        <v>1128.2</v>
      </c>
      <c r="G15">
        <v>1125</v>
      </c>
      <c r="H15">
        <v>0</v>
      </c>
      <c r="I15">
        <v>0.26</v>
      </c>
      <c r="J15">
        <v>20.62</v>
      </c>
      <c r="K15">
        <v>76.53</v>
      </c>
      <c r="L15">
        <v>1</v>
      </c>
      <c r="N15" t="s">
        <v>99</v>
      </c>
      <c r="O15">
        <v>806.64</v>
      </c>
      <c r="P15" s="3">
        <f t="shared" si="4"/>
        <v>45035.742361111108</v>
      </c>
      <c r="Q15" s="4">
        <f t="shared" si="5"/>
        <v>2.1041666666642413</v>
      </c>
      <c r="R15">
        <f t="shared" ref="R15:R31" si="17">SUM(H15:K15)</f>
        <v>97.41</v>
      </c>
      <c r="S15">
        <f t="shared" ref="S15:S32" si="18">H15 * 100/R15</f>
        <v>0</v>
      </c>
      <c r="T15">
        <f t="shared" ref="T15:T32" si="19">I15* 100/R15</f>
        <v>0.2669130479416898</v>
      </c>
      <c r="U15">
        <f t="shared" ref="U15:U32" si="20">J15* 100/R15</f>
        <v>21.168257879067859</v>
      </c>
      <c r="V15">
        <f t="shared" ref="V15:V32" si="21">K15* 100/R15</f>
        <v>78.564829072990449</v>
      </c>
      <c r="W15">
        <f t="shared" ref="W15:W32" si="22">SUM(S15:V15)</f>
        <v>100</v>
      </c>
      <c r="X15" s="6">
        <f t="shared" ref="X15:X32" si="23">F15*100*$D$3/($D$1*$D$2)</f>
        <v>4.4481912030963126E-2</v>
      </c>
      <c r="Y15" s="6">
        <f t="shared" si="0"/>
        <v>1.1872802718458488E-4</v>
      </c>
      <c r="Z15" s="6">
        <f t="shared" si="6"/>
        <v>0</v>
      </c>
      <c r="AA15" s="6">
        <f t="shared" si="1"/>
        <v>9.4160458482543865E-3</v>
      </c>
      <c r="AB15" s="6">
        <f t="shared" si="2"/>
        <v>3.4947138155524152E-2</v>
      </c>
      <c r="AC15" s="6">
        <f t="shared" ref="AC15:AC28" si="24">Y15+Z15</f>
        <v>1.1872802718458488E-4</v>
      </c>
      <c r="AD15" s="6">
        <f t="shared" si="7"/>
        <v>4.4355744579714168E-2</v>
      </c>
      <c r="AE15" s="6">
        <f t="shared" si="8"/>
        <v>1.1839126979494594E-4</v>
      </c>
      <c r="AF15" s="6">
        <f t="shared" si="9"/>
        <v>0</v>
      </c>
      <c r="AG15" s="6">
        <f t="shared" si="10"/>
        <v>9.3893383968145592E-3</v>
      </c>
      <c r="AH15" s="6">
        <f t="shared" si="11"/>
        <v>3.4848014913104658E-2</v>
      </c>
      <c r="AI15" s="6">
        <f t="shared" ref="AI15:AI28" si="25">AE15+AF15</f>
        <v>1.1839126979494594E-4</v>
      </c>
      <c r="AJ15" s="22"/>
      <c r="AL15" s="25"/>
      <c r="AM15" s="6"/>
      <c r="AN15" s="6"/>
      <c r="AO15" s="6"/>
      <c r="AP15" s="19"/>
      <c r="AQ15">
        <f t="shared" ref="AQ15:AQ28" si="26">F15*100*T15/100</f>
        <v>301.13130068781442</v>
      </c>
      <c r="AR15" s="6">
        <f t="shared" ref="AR15:AR32" si="27">AQ15*$D$7</f>
        <v>1.5749167025972695</v>
      </c>
      <c r="AS15" s="6">
        <f t="shared" ref="AS15:AS32" si="28">AR15*$D$5/1000</f>
        <v>1.543418368545324E-4</v>
      </c>
      <c r="AT15" s="6">
        <f t="shared" si="12"/>
        <v>300.27717893440104</v>
      </c>
      <c r="AU15" s="6">
        <f t="shared" si="13"/>
        <v>1.5704496458269175</v>
      </c>
      <c r="AV15" s="6">
        <f t="shared" si="14"/>
        <v>1.5390406529103791E-4</v>
      </c>
      <c r="AW15" s="6">
        <f t="shared" ref="AW15:AW32" si="29">AS15-AV14</f>
        <v>-1.5736368204345751E-3</v>
      </c>
      <c r="AX15" s="52">
        <f t="shared" ref="AX15:AX32" si="30">AW15+AX14</f>
        <v>1.7700749936913379E-4</v>
      </c>
      <c r="AY15" s="53">
        <f t="shared" si="15"/>
        <v>1.382801000669783E-2</v>
      </c>
      <c r="AZ15" s="54"/>
      <c r="BA15" s="23">
        <f t="shared" si="16"/>
        <v>0</v>
      </c>
    </row>
    <row r="16" spans="1:56" s="7" customFormat="1" ht="14.4" x14ac:dyDescent="0.3">
      <c r="A16" t="s">
        <v>123</v>
      </c>
      <c r="B16">
        <v>2</v>
      </c>
      <c r="C16" s="2">
        <v>45040</v>
      </c>
      <c r="D16" s="11">
        <v>0.4597222222222222</v>
      </c>
      <c r="E16" s="15">
        <v>1003.2</v>
      </c>
      <c r="F16">
        <v>1085.4000000000001</v>
      </c>
      <c r="G16">
        <v>1082.3</v>
      </c>
      <c r="H16">
        <v>0</v>
      </c>
      <c r="I16">
        <v>2.79</v>
      </c>
      <c r="J16">
        <v>15.69</v>
      </c>
      <c r="K16">
        <v>79.58</v>
      </c>
      <c r="L16">
        <v>0</v>
      </c>
      <c r="M16"/>
      <c r="N16" t="s">
        <v>99</v>
      </c>
      <c r="O16"/>
      <c r="P16" s="8">
        <f t="shared" si="4"/>
        <v>45040.459722222222</v>
      </c>
      <c r="Q16" s="9">
        <f t="shared" si="5"/>
        <v>6.8215277777781012</v>
      </c>
      <c r="R16">
        <f t="shared" si="17"/>
        <v>98.06</v>
      </c>
      <c r="S16">
        <f t="shared" si="18"/>
        <v>0</v>
      </c>
      <c r="T16">
        <f t="shared" si="19"/>
        <v>2.8451968182745255</v>
      </c>
      <c r="U16">
        <f t="shared" si="20"/>
        <v>16.000407913522334</v>
      </c>
      <c r="V16">
        <f t="shared" si="21"/>
        <v>81.154395268203146</v>
      </c>
      <c r="W16">
        <f t="shared" si="22"/>
        <v>100</v>
      </c>
      <c r="X16" s="10">
        <f t="shared" si="23"/>
        <v>4.2794422370508234E-2</v>
      </c>
      <c r="Y16" s="10">
        <f t="shared" si="0"/>
        <v>1.2175855436846622E-3</v>
      </c>
      <c r="Z16" s="10">
        <f t="shared" si="6"/>
        <v>0</v>
      </c>
      <c r="AA16" s="10">
        <f t="shared" si="1"/>
        <v>6.8472821435169714E-3</v>
      </c>
      <c r="AB16" s="10">
        <f t="shared" si="2"/>
        <v>3.4729554683306602E-2</v>
      </c>
      <c r="AC16" s="10">
        <f t="shared" si="24"/>
        <v>1.2175855436846622E-3</v>
      </c>
      <c r="AD16" s="10">
        <f t="shared" si="7"/>
        <v>4.2672197652110798E-2</v>
      </c>
      <c r="AE16" s="10">
        <f t="shared" si="8"/>
        <v>1.2141080098856732E-3</v>
      </c>
      <c r="AF16" s="10">
        <f t="shared" si="9"/>
        <v>0</v>
      </c>
      <c r="AG16" s="10">
        <f t="shared" si="10"/>
        <v>6.8277256900022279E-3</v>
      </c>
      <c r="AH16" s="10">
        <f t="shared" si="11"/>
        <v>3.4630363952222895E-2</v>
      </c>
      <c r="AI16" s="10">
        <f t="shared" si="25"/>
        <v>1.2141080098856732E-3</v>
      </c>
      <c r="AJ16" s="22">
        <f t="shared" ref="AJ16:AJ31" si="31">AC16-AI15</f>
        <v>1.0991942738897162E-3</v>
      </c>
      <c r="AK16">
        <f t="shared" ref="AK16:AK31" si="32">(AA16-AG15)*-1</f>
        <v>2.5420562532975878E-3</v>
      </c>
      <c r="AL16" s="25">
        <f t="shared" ref="AL16:AL31" si="33">Y16-AE15</f>
        <v>1.0991942738897162E-3</v>
      </c>
      <c r="AM16" s="6">
        <f>AK16+AM14</f>
        <v>5.3899490470316908E-3</v>
      </c>
      <c r="AN16" s="6">
        <f>AL16+AN14</f>
        <v>2.416805591973395E-3</v>
      </c>
      <c r="AO16" s="6">
        <f>AJ16+AO14</f>
        <v>2.416805591973395E-3</v>
      </c>
      <c r="AP16" s="19">
        <f t="shared" ref="AP16:AP31" si="34">AO16*$D$4*1000/$D$6</f>
        <v>0.1888033672537098</v>
      </c>
      <c r="AQ16" s="7">
        <f t="shared" si="26"/>
        <v>3088.1766265551705</v>
      </c>
      <c r="AR16" s="10">
        <f t="shared" si="27"/>
        <v>16.151163756883541</v>
      </c>
      <c r="AS16" s="6">
        <f t="shared" si="28"/>
        <v>1.5828140481745872E-3</v>
      </c>
      <c r="AT16" s="6">
        <f t="shared" si="12"/>
        <v>3079.3565164185188</v>
      </c>
      <c r="AU16" s="6">
        <f t="shared" si="13"/>
        <v>16.105034580868853</v>
      </c>
      <c r="AV16" s="6">
        <f t="shared" si="14"/>
        <v>1.5782933889251477E-3</v>
      </c>
      <c r="AW16" s="6">
        <f t="shared" si="29"/>
        <v>1.4289099828835494E-3</v>
      </c>
      <c r="AX16" s="52">
        <f t="shared" si="30"/>
        <v>1.6059174822526832E-3</v>
      </c>
      <c r="AY16" s="53">
        <f t="shared" si="15"/>
        <v>0.12545594448634664</v>
      </c>
      <c r="AZ16" s="54">
        <f t="shared" ref="AZ16:AZ31" si="35">AY16+AP16</f>
        <v>0.31425931174005645</v>
      </c>
      <c r="BA16" s="23">
        <f t="shared" si="16"/>
        <v>1.0055187583688221</v>
      </c>
      <c r="BB16"/>
      <c r="BC16"/>
      <c r="BD16"/>
    </row>
    <row r="17" spans="1:56" ht="14.4" x14ac:dyDescent="0.3">
      <c r="A17" t="s">
        <v>123</v>
      </c>
      <c r="B17">
        <v>2</v>
      </c>
      <c r="C17" s="2">
        <v>45040</v>
      </c>
      <c r="D17" s="11">
        <v>0.51041666666666663</v>
      </c>
      <c r="E17" s="15">
        <v>1004</v>
      </c>
      <c r="F17">
        <v>1104.5999999999999</v>
      </c>
      <c r="G17">
        <v>1101.4000000000001</v>
      </c>
      <c r="H17">
        <v>0</v>
      </c>
      <c r="I17">
        <v>0.3</v>
      </c>
      <c r="J17">
        <v>20.58</v>
      </c>
      <c r="K17">
        <v>76.42</v>
      </c>
      <c r="L17">
        <v>1</v>
      </c>
      <c r="N17" t="s">
        <v>99</v>
      </c>
      <c r="O17">
        <v>806.52</v>
      </c>
      <c r="P17" s="3">
        <f t="shared" si="4"/>
        <v>45040.510416666664</v>
      </c>
      <c r="Q17" s="4">
        <f t="shared" si="5"/>
        <v>6.8722222222204437</v>
      </c>
      <c r="R17">
        <f t="shared" si="17"/>
        <v>97.3</v>
      </c>
      <c r="S17">
        <f t="shared" si="18"/>
        <v>0</v>
      </c>
      <c r="T17">
        <f t="shared" si="19"/>
        <v>0.30832476875642345</v>
      </c>
      <c r="U17">
        <f t="shared" si="20"/>
        <v>21.151079136690647</v>
      </c>
      <c r="V17">
        <f t="shared" si="21"/>
        <v>78.540596094552924</v>
      </c>
      <c r="W17">
        <f t="shared" si="22"/>
        <v>100</v>
      </c>
      <c r="X17" s="6">
        <f t="shared" si="23"/>
        <v>4.3551427078002011E-2</v>
      </c>
      <c r="Y17" s="6">
        <f t="shared" si="0"/>
        <v>1.3427983682837209E-4</v>
      </c>
      <c r="Z17" s="6">
        <f t="shared" si="6"/>
        <v>0</v>
      </c>
      <c r="AA17" s="6">
        <f t="shared" si="1"/>
        <v>9.211596806426324E-3</v>
      </c>
      <c r="AB17" s="6">
        <f t="shared" si="2"/>
        <v>3.4205550434747309E-2</v>
      </c>
      <c r="AC17" s="6">
        <f t="shared" si="24"/>
        <v>1.3427983682837209E-4</v>
      </c>
      <c r="AD17" s="6">
        <f t="shared" si="7"/>
        <v>4.342525962675306E-2</v>
      </c>
      <c r="AE17" s="6">
        <f t="shared" si="8"/>
        <v>1.3389083132606287E-4</v>
      </c>
      <c r="AF17" s="6">
        <f t="shared" si="9"/>
        <v>0</v>
      </c>
      <c r="AG17" s="6">
        <f t="shared" si="10"/>
        <v>9.1849110289679136E-3</v>
      </c>
      <c r="AH17" s="6">
        <f t="shared" si="11"/>
        <v>3.4106457766459083E-2</v>
      </c>
      <c r="AI17" s="6">
        <f t="shared" si="25"/>
        <v>1.3389083132606287E-4</v>
      </c>
      <c r="AJ17" s="22"/>
      <c r="AL17" s="25"/>
      <c r="AM17" s="6"/>
      <c r="AN17" s="6"/>
      <c r="AO17" s="6"/>
      <c r="AP17" s="19"/>
      <c r="AQ17">
        <f t="shared" si="26"/>
        <v>340.57553956834528</v>
      </c>
      <c r="AR17" s="6">
        <f t="shared" si="27"/>
        <v>1.781210071942446</v>
      </c>
      <c r="AS17" s="6">
        <f t="shared" si="28"/>
        <v>1.7455858705035969E-4</v>
      </c>
      <c r="AT17" s="6">
        <f t="shared" si="12"/>
        <v>339.58890030832481</v>
      </c>
      <c r="AU17" s="6">
        <f t="shared" si="13"/>
        <v>1.776049948612539</v>
      </c>
      <c r="AV17" s="6">
        <f t="shared" si="14"/>
        <v>1.7405289496402881E-4</v>
      </c>
      <c r="AW17" s="6">
        <f t="shared" si="29"/>
        <v>-1.4037348018747879E-3</v>
      </c>
      <c r="AX17" s="52">
        <f t="shared" si="30"/>
        <v>2.0218268037789527E-4</v>
      </c>
      <c r="AY17" s="53">
        <f t="shared" si="15"/>
        <v>1.5794721338987783E-2</v>
      </c>
      <c r="AZ17" s="54"/>
      <c r="BA17" s="23">
        <f t="shared" si="16"/>
        <v>0</v>
      </c>
    </row>
    <row r="18" spans="1:56" s="7" customFormat="1" ht="14.4" x14ac:dyDescent="0.3">
      <c r="A18" t="s">
        <v>123</v>
      </c>
      <c r="B18">
        <v>2</v>
      </c>
      <c r="C18" s="2">
        <v>45042</v>
      </c>
      <c r="D18" s="11">
        <v>0.39374999999999999</v>
      </c>
      <c r="E18" s="15">
        <v>1017.2</v>
      </c>
      <c r="F18">
        <v>1090.0999999999999</v>
      </c>
      <c r="G18">
        <v>1086</v>
      </c>
      <c r="H18">
        <v>0</v>
      </c>
      <c r="I18">
        <v>1.58</v>
      </c>
      <c r="J18">
        <v>18.829999999999998</v>
      </c>
      <c r="K18">
        <v>77.39</v>
      </c>
      <c r="L18">
        <v>0</v>
      </c>
      <c r="M18"/>
      <c r="N18" t="s">
        <v>99</v>
      </c>
      <c r="O18"/>
      <c r="P18" s="8">
        <f t="shared" si="4"/>
        <v>45042.393750000003</v>
      </c>
      <c r="Q18" s="9">
        <f t="shared" si="5"/>
        <v>8.7555555555591127</v>
      </c>
      <c r="R18">
        <f t="shared" si="17"/>
        <v>97.8</v>
      </c>
      <c r="S18">
        <f t="shared" si="18"/>
        <v>0</v>
      </c>
      <c r="T18">
        <f t="shared" si="19"/>
        <v>1.6155419222903886</v>
      </c>
      <c r="U18">
        <f t="shared" si="20"/>
        <v>19.253578732106337</v>
      </c>
      <c r="V18">
        <f t="shared" si="21"/>
        <v>79.130879345603276</v>
      </c>
      <c r="W18">
        <f t="shared" si="22"/>
        <v>100</v>
      </c>
      <c r="X18" s="10">
        <f t="shared" si="23"/>
        <v>4.2979730814530138E-2</v>
      </c>
      <c r="Y18" s="10">
        <f t="shared" si="0"/>
        <v>6.9435556939629467E-4</v>
      </c>
      <c r="Z18" s="10">
        <f t="shared" si="6"/>
        <v>0</v>
      </c>
      <c r="AA18" s="10">
        <f t="shared" si="1"/>
        <v>8.2751363112229283E-3</v>
      </c>
      <c r="AB18" s="10">
        <f t="shared" si="2"/>
        <v>3.4010238933910919E-2</v>
      </c>
      <c r="AC18" s="10">
        <f t="shared" si="24"/>
        <v>6.9435556939629467E-4</v>
      </c>
      <c r="AD18" s="10">
        <f t="shared" si="7"/>
        <v>4.281807876761741E-2</v>
      </c>
      <c r="AE18" s="10">
        <f t="shared" si="8"/>
        <v>6.9174401281017902E-4</v>
      </c>
      <c r="AF18" s="10">
        <f t="shared" si="9"/>
        <v>0</v>
      </c>
      <c r="AG18" s="10">
        <f t="shared" si="10"/>
        <v>8.2440125070985248E-3</v>
      </c>
      <c r="AH18" s="10">
        <f t="shared" si="11"/>
        <v>3.3882322247708707E-2</v>
      </c>
      <c r="AI18" s="10">
        <f t="shared" si="25"/>
        <v>6.9174401281017902E-4</v>
      </c>
      <c r="AJ18" s="22">
        <f t="shared" si="31"/>
        <v>5.6046473807023177E-4</v>
      </c>
      <c r="AK18">
        <f t="shared" si="32"/>
        <v>9.0977471774498532E-4</v>
      </c>
      <c r="AL18" s="25">
        <f t="shared" si="33"/>
        <v>5.6046473807023177E-4</v>
      </c>
      <c r="AM18" s="6">
        <f>AK18+AM16</f>
        <v>6.2997237647766761E-3</v>
      </c>
      <c r="AN18" s="6">
        <f>AL18+AN16</f>
        <v>2.9772703300436267E-3</v>
      </c>
      <c r="AO18" s="6">
        <f>AJ18+AO16</f>
        <v>2.9772703300436267E-3</v>
      </c>
      <c r="AP18" s="19">
        <f t="shared" si="34"/>
        <v>0.23258745569097009</v>
      </c>
      <c r="AQ18" s="7">
        <f t="shared" si="26"/>
        <v>1761.1022494887522</v>
      </c>
      <c r="AR18" s="10">
        <f t="shared" si="27"/>
        <v>9.2105647648261755</v>
      </c>
      <c r="AS18" s="6">
        <f t="shared" si="28"/>
        <v>9.0263534695296521E-4</v>
      </c>
      <c r="AT18" s="6">
        <f t="shared" si="12"/>
        <v>1754.4785276073619</v>
      </c>
      <c r="AU18" s="6">
        <f t="shared" si="13"/>
        <v>9.1759226993865024</v>
      </c>
      <c r="AV18" s="6">
        <f t="shared" si="14"/>
        <v>8.9924042453987725E-4</v>
      </c>
      <c r="AW18" s="6">
        <f t="shared" si="29"/>
        <v>7.2858245198893638E-4</v>
      </c>
      <c r="AX18" s="52">
        <f t="shared" si="30"/>
        <v>9.3076513236683164E-4</v>
      </c>
      <c r="AY18" s="53">
        <f t="shared" si="15"/>
        <v>7.2712340494757194E-2</v>
      </c>
      <c r="AZ18" s="54">
        <f t="shared" si="35"/>
        <v>0.30529979618572728</v>
      </c>
      <c r="BA18" s="23">
        <f t="shared" si="16"/>
        <v>0.70577301185011387</v>
      </c>
      <c r="BB18"/>
      <c r="BC18"/>
      <c r="BD18"/>
    </row>
    <row r="19" spans="1:56" ht="14.4" x14ac:dyDescent="0.3">
      <c r="A19" t="s">
        <v>123</v>
      </c>
      <c r="B19">
        <v>2</v>
      </c>
      <c r="C19" s="2">
        <v>45044</v>
      </c>
      <c r="D19" s="11">
        <v>0.4284722222222222</v>
      </c>
      <c r="E19" s="15">
        <v>1007.1</v>
      </c>
      <c r="F19">
        <v>1072.5</v>
      </c>
      <c r="G19">
        <v>1069.2</v>
      </c>
      <c r="H19">
        <v>0</v>
      </c>
      <c r="I19">
        <v>2.29</v>
      </c>
      <c r="J19">
        <v>17.329999999999998</v>
      </c>
      <c r="K19">
        <v>79.28</v>
      </c>
      <c r="L19">
        <v>0</v>
      </c>
      <c r="N19" t="s">
        <v>99</v>
      </c>
      <c r="P19" s="3">
        <f t="shared" si="4"/>
        <v>45044.428472222222</v>
      </c>
      <c r="Q19" s="4">
        <f t="shared" si="5"/>
        <v>10.790277777778101</v>
      </c>
      <c r="R19">
        <f t="shared" si="17"/>
        <v>98.9</v>
      </c>
      <c r="S19">
        <f t="shared" si="18"/>
        <v>0</v>
      </c>
      <c r="T19">
        <f t="shared" si="19"/>
        <v>2.3154701718907988</v>
      </c>
      <c r="U19">
        <f t="shared" si="20"/>
        <v>17.522750252780583</v>
      </c>
      <c r="V19">
        <f t="shared" si="21"/>
        <v>80.161779575328609</v>
      </c>
      <c r="W19">
        <f t="shared" si="22"/>
        <v>99.999999999999986</v>
      </c>
      <c r="X19" s="6">
        <f t="shared" si="23"/>
        <v>4.2285809832660844E-2</v>
      </c>
      <c r="Y19" s="6">
        <f t="shared" si="0"/>
        <v>9.7911531361772838E-4</v>
      </c>
      <c r="Z19" s="6">
        <f t="shared" si="6"/>
        <v>0</v>
      </c>
      <c r="AA19" s="6">
        <f t="shared" si="1"/>
        <v>7.4096368493428945E-3</v>
      </c>
      <c r="AB19" s="6">
        <f t="shared" si="2"/>
        <v>3.3897057669700213E-2</v>
      </c>
      <c r="AC19" s="6">
        <f t="shared" si="24"/>
        <v>9.7911531361772838E-4</v>
      </c>
      <c r="AD19" s="6">
        <f t="shared" si="7"/>
        <v>4.2155699648560342E-2</v>
      </c>
      <c r="AE19" s="6">
        <f t="shared" si="8"/>
        <v>9.7610265111428907E-4</v>
      </c>
      <c r="AF19" s="6">
        <f t="shared" si="9"/>
        <v>0</v>
      </c>
      <c r="AG19" s="6">
        <f t="shared" si="10"/>
        <v>7.38683796672953E-3</v>
      </c>
      <c r="AH19" s="6">
        <f t="shared" si="11"/>
        <v>3.3792759030716518E-2</v>
      </c>
      <c r="AI19" s="6">
        <f t="shared" si="25"/>
        <v>9.7610265111428907E-4</v>
      </c>
      <c r="AJ19" s="22">
        <f t="shared" si="31"/>
        <v>2.8737130080754936E-4</v>
      </c>
      <c r="AK19">
        <f t="shared" si="32"/>
        <v>8.3437565775563039E-4</v>
      </c>
      <c r="AL19" s="25">
        <f t="shared" si="33"/>
        <v>2.8737130080754936E-4</v>
      </c>
      <c r="AM19" s="6">
        <f t="shared" ref="AM19:AN31" si="36">AK19+AM18</f>
        <v>7.1340994225323065E-3</v>
      </c>
      <c r="AN19" s="6">
        <f t="shared" si="36"/>
        <v>3.264641630851176E-3</v>
      </c>
      <c r="AO19" s="6">
        <f t="shared" ref="AO19:AO31" si="37">AJ19+AO18</f>
        <v>3.264641630851176E-3</v>
      </c>
      <c r="AP19" s="19">
        <f t="shared" si="34"/>
        <v>0.25503720068690161</v>
      </c>
      <c r="AQ19">
        <f t="shared" si="26"/>
        <v>2483.3417593528816</v>
      </c>
      <c r="AR19" s="6">
        <f t="shared" si="27"/>
        <v>12.987877401415572</v>
      </c>
      <c r="AS19" s="6">
        <f t="shared" si="28"/>
        <v>1.2728119853387262E-3</v>
      </c>
      <c r="AT19" s="6">
        <f t="shared" si="12"/>
        <v>2475.700707785642</v>
      </c>
      <c r="AU19" s="6">
        <f t="shared" si="13"/>
        <v>12.947914701718908</v>
      </c>
      <c r="AV19" s="6">
        <f t="shared" si="14"/>
        <v>1.268895640768453E-3</v>
      </c>
      <c r="AW19" s="6">
        <f t="shared" si="29"/>
        <v>3.7357156079884893E-4</v>
      </c>
      <c r="AX19" s="52">
        <f t="shared" si="30"/>
        <v>1.3043366931656806E-3</v>
      </c>
      <c r="AY19" s="53">
        <f t="shared" si="15"/>
        <v>0.10189613948268303</v>
      </c>
      <c r="AZ19" s="54">
        <f t="shared" si="35"/>
        <v>0.35693334016958467</v>
      </c>
      <c r="BA19" s="23">
        <f t="shared" si="16"/>
        <v>1.2624021019422311</v>
      </c>
    </row>
    <row r="20" spans="1:56" ht="14.4" x14ac:dyDescent="0.3">
      <c r="A20" t="s">
        <v>123</v>
      </c>
      <c r="B20">
        <v>2</v>
      </c>
      <c r="C20" s="2">
        <v>45044</v>
      </c>
      <c r="D20" s="11">
        <v>0.4291666666666667</v>
      </c>
      <c r="E20" s="15">
        <v>1007.1</v>
      </c>
      <c r="F20">
        <f t="shared" ref="F20:K20" si="38">AVERAGE(F15,F17,F23,F26,F29,F32)</f>
        <v>1115.3833333333334</v>
      </c>
      <c r="G20">
        <f t="shared" si="38"/>
        <v>1112.3333333333333</v>
      </c>
      <c r="H20">
        <f t="shared" si="38"/>
        <v>0</v>
      </c>
      <c r="I20">
        <f t="shared" si="38"/>
        <v>0.27166666666666667</v>
      </c>
      <c r="J20">
        <f t="shared" si="38"/>
        <v>20.463333333333335</v>
      </c>
      <c r="K20">
        <f t="shared" si="38"/>
        <v>75.939999999999984</v>
      </c>
      <c r="L20">
        <f>AVERAGE(L15,L17,L23,L26,L29,L32)</f>
        <v>1</v>
      </c>
      <c r="M20" t="s">
        <v>129</v>
      </c>
      <c r="N20" t="s">
        <v>99</v>
      </c>
      <c r="O20">
        <v>806.45</v>
      </c>
      <c r="P20" s="3">
        <f t="shared" ref="P20" si="39">C20+D20</f>
        <v>45044.429166666669</v>
      </c>
      <c r="Q20" s="4">
        <f t="shared" ref="Q20" si="40">P20-$P$13</f>
        <v>10.790972222224809</v>
      </c>
      <c r="R20">
        <f t="shared" ref="R20" si="41">SUM(H20:K20)</f>
        <v>96.674999999999983</v>
      </c>
      <c r="S20">
        <f t="shared" ref="S20" si="42">H20 * 100/R20</f>
        <v>0</v>
      </c>
      <c r="T20">
        <f t="shared" ref="T20" si="43">I20* 100/R20</f>
        <v>0.28101025773640209</v>
      </c>
      <c r="U20">
        <f t="shared" ref="U20" si="44">J20* 100/R20</f>
        <v>21.167140763727271</v>
      </c>
      <c r="V20">
        <f t="shared" ref="V20" si="45">K20* 100/R20</f>
        <v>78.551848978536327</v>
      </c>
      <c r="W20">
        <f t="shared" ref="W20" si="46">SUM(S20:V20)</f>
        <v>100</v>
      </c>
      <c r="X20" s="6">
        <f t="shared" ref="X20" si="47">F20*100*$D$3/($D$1*$D$2)</f>
        <v>4.397658510382535E-2</v>
      </c>
      <c r="Y20" s="6">
        <f t="shared" ref="Y20" si="48">X20*T20/100</f>
        <v>1.2357871514392783E-4</v>
      </c>
      <c r="Z20" s="6">
        <f t="shared" ref="Z20" si="49">X20*S20/100</f>
        <v>0</v>
      </c>
      <c r="AA20" s="6">
        <f t="shared" ref="AA20" si="50">X20*U20/100</f>
        <v>9.308585672007031E-3</v>
      </c>
      <c r="AB20" s="6">
        <f t="shared" ref="AB20" si="51">X20*V20/100</f>
        <v>3.4544420716674393E-2</v>
      </c>
      <c r="AC20" s="6">
        <f t="shared" ref="AC20" si="52">Y20+Z20</f>
        <v>1.2357871514392783E-4</v>
      </c>
      <c r="AD20" s="6">
        <f t="shared" ref="AD20" si="53">G20*100*$D$3/($D$1*$D$2)</f>
        <v>4.3856331751853682E-2</v>
      </c>
      <c r="AE20" s="6">
        <f t="shared" ref="AE20" si="54">AD20*T20/100</f>
        <v>1.2324079088961559E-4</v>
      </c>
      <c r="AF20" s="6">
        <f t="shared" ref="AF20" si="55">AD20*S20/100</f>
        <v>0</v>
      </c>
      <c r="AG20" s="6">
        <f t="shared" ref="AG20" si="56">AD20*U20/100</f>
        <v>9.2831314757220867E-3</v>
      </c>
      <c r="AH20" s="6">
        <f t="shared" ref="AH20" si="57">AD20*V20/100</f>
        <v>3.4449959485241981E-2</v>
      </c>
      <c r="AI20" s="6">
        <f t="shared" ref="AI20" si="58">AE20+AF20</f>
        <v>1.2324079088961559E-4</v>
      </c>
      <c r="AJ20" s="22"/>
      <c r="AL20" s="25"/>
      <c r="AM20" s="6"/>
      <c r="AN20" s="6"/>
      <c r="AO20" s="6"/>
      <c r="AP20" s="19"/>
      <c r="AQ20">
        <f t="shared" ref="AQ20" si="59">F20*100*T20/100</f>
        <v>313.43415797488728</v>
      </c>
      <c r="AR20" s="6">
        <f t="shared" ref="AR20" si="60">AQ20*$D$7</f>
        <v>1.6392606462086605</v>
      </c>
      <c r="AS20" s="6">
        <f t="shared" ref="AS20" si="61">AR20*$D$5/1000</f>
        <v>1.6064754332844876E-4</v>
      </c>
      <c r="AT20" s="6">
        <f t="shared" ref="AT20" si="62">G20*100*T20/100</f>
        <v>312.57707668879124</v>
      </c>
      <c r="AU20" s="6">
        <f t="shared" ref="AU20" si="63">AT20*$D$7</f>
        <v>1.6347781110823782</v>
      </c>
      <c r="AV20" s="6">
        <f t="shared" ref="AV20" si="64">AU20*$D$5/1000</f>
        <v>1.6020825488607306E-4</v>
      </c>
      <c r="AW20" s="6">
        <f t="shared" ref="AW20" si="65">AS20-AV19</f>
        <v>-1.1082480974400042E-3</v>
      </c>
      <c r="AX20" s="52">
        <f t="shared" ref="AX20" si="66">AW20+AX19</f>
        <v>1.9608859572567633E-4</v>
      </c>
      <c r="AY20" s="53">
        <f t="shared" ref="AY20" si="67">(AX20*$D$4*1000/$D$6)</f>
        <v>1.5318645105761017E-2</v>
      </c>
      <c r="AZ20" s="54"/>
      <c r="BA20" s="23">
        <f t="shared" ref="BA20" si="68">AK20/(AL20+AW20)</f>
        <v>0</v>
      </c>
    </row>
    <row r="21" spans="1:56" s="13" customFormat="1" ht="14.4" x14ac:dyDescent="0.3">
      <c r="A21" s="13" t="s">
        <v>123</v>
      </c>
      <c r="B21" s="13">
        <v>2</v>
      </c>
      <c r="C21" s="65">
        <v>45047</v>
      </c>
      <c r="D21" s="66">
        <v>0.59513888888888888</v>
      </c>
      <c r="E21" s="67">
        <v>1013.3</v>
      </c>
      <c r="F21" s="13">
        <v>1098.2</v>
      </c>
      <c r="G21" s="13">
        <v>1095</v>
      </c>
      <c r="H21" s="13">
        <v>0</v>
      </c>
      <c r="I21" s="13">
        <v>1.83</v>
      </c>
      <c r="J21" s="13">
        <v>17.989999999999998</v>
      </c>
      <c r="K21" s="13">
        <v>77.92</v>
      </c>
      <c r="L21" s="13">
        <v>0</v>
      </c>
      <c r="N21" s="13" t="s">
        <v>99</v>
      </c>
      <c r="P21" s="68">
        <f t="shared" si="4"/>
        <v>45047.595138888886</v>
      </c>
      <c r="Q21" s="69">
        <f t="shared" si="5"/>
        <v>13.956944444442343</v>
      </c>
      <c r="R21" s="13">
        <f t="shared" si="17"/>
        <v>97.740000000000009</v>
      </c>
      <c r="S21" s="13">
        <f t="shared" si="18"/>
        <v>0</v>
      </c>
      <c r="T21" s="13">
        <f t="shared" si="19"/>
        <v>1.8723143032535297</v>
      </c>
      <c r="U21" s="13">
        <f t="shared" si="20"/>
        <v>18.405975035809284</v>
      </c>
      <c r="V21" s="13">
        <f t="shared" si="21"/>
        <v>79.721710660937177</v>
      </c>
      <c r="W21" s="13">
        <f t="shared" si="22"/>
        <v>99.999999999999986</v>
      </c>
      <c r="X21" s="70">
        <f t="shared" si="23"/>
        <v>4.3299092175504088E-2</v>
      </c>
      <c r="Y21" s="70">
        <f t="shared" si="0"/>
        <v>8.10695095980893E-4</v>
      </c>
      <c r="Z21" s="70">
        <f t="shared" si="6"/>
        <v>0</v>
      </c>
      <c r="AA21" s="70">
        <f t="shared" si="1"/>
        <v>7.9696200965553333E-3</v>
      </c>
      <c r="AB21" s="70">
        <f t="shared" si="2"/>
        <v>3.4518776982967861E-2</v>
      </c>
      <c r="AC21" s="70">
        <f t="shared" si="24"/>
        <v>8.10695095980893E-4</v>
      </c>
      <c r="AD21" s="70">
        <f t="shared" si="7"/>
        <v>4.3172924724255123E-2</v>
      </c>
      <c r="AE21" s="70">
        <f t="shared" si="8"/>
        <v>8.083328447451081E-4</v>
      </c>
      <c r="AF21" s="70">
        <f t="shared" si="9"/>
        <v>0</v>
      </c>
      <c r="AG21" s="70">
        <f t="shared" si="10"/>
        <v>7.9463977469751319E-3</v>
      </c>
      <c r="AH21" s="70">
        <f t="shared" si="11"/>
        <v>3.4418194132534878E-2</v>
      </c>
      <c r="AI21" s="70">
        <f t="shared" si="25"/>
        <v>8.083328447451081E-4</v>
      </c>
      <c r="AJ21" s="22">
        <f t="shared" ref="AJ21" si="69">AC21-AI20</f>
        <v>6.8745430509127743E-4</v>
      </c>
      <c r="AK21">
        <f t="shared" ref="AK21" si="70">(AA21-AG20)*-1</f>
        <v>1.3135113791667534E-3</v>
      </c>
      <c r="AL21" s="25">
        <f t="shared" ref="AL21" si="71">Y21-AE20</f>
        <v>6.8745430509127743E-4</v>
      </c>
      <c r="AM21" s="70">
        <f>AK21+AM19</f>
        <v>8.4476108016990591E-3</v>
      </c>
      <c r="AN21" s="70">
        <f>AL21+AN19</f>
        <v>3.952095935942453E-3</v>
      </c>
      <c r="AO21" s="70">
        <f>AJ21+AO19</f>
        <v>3.952095935942453E-3</v>
      </c>
      <c r="AP21" s="73">
        <f t="shared" si="34"/>
        <v>0.30874184621791084</v>
      </c>
      <c r="AQ21" s="13">
        <f t="shared" si="26"/>
        <v>2056.1755678330264</v>
      </c>
      <c r="AR21" s="70">
        <f t="shared" si="27"/>
        <v>10.753798219766729</v>
      </c>
      <c r="AS21" s="70">
        <f t="shared" si="28"/>
        <v>1.0538722255371395E-3</v>
      </c>
      <c r="AT21" s="70">
        <f t="shared" si="12"/>
        <v>2050.1841620626151</v>
      </c>
      <c r="AU21" s="70">
        <f t="shared" si="13"/>
        <v>10.722463167587478</v>
      </c>
      <c r="AV21" s="70">
        <f t="shared" si="14"/>
        <v>1.0508013904235729E-3</v>
      </c>
      <c r="AW21" s="70">
        <f>AS21-AV20</f>
        <v>8.9366397065106641E-4</v>
      </c>
      <c r="AX21" s="70">
        <f>AW21+AX20</f>
        <v>1.0897525663767426E-3</v>
      </c>
      <c r="AY21" s="73">
        <f t="shared" si="15"/>
        <v>8.5132604247783406E-2</v>
      </c>
      <c r="AZ21" s="74">
        <f t="shared" si="35"/>
        <v>0.39387445046569425</v>
      </c>
      <c r="BA21" s="74">
        <f t="shared" si="16"/>
        <v>0.83074833762834888</v>
      </c>
    </row>
    <row r="22" spans="1:56" s="7" customFormat="1" ht="14.4" x14ac:dyDescent="0.3">
      <c r="A22" t="s">
        <v>123</v>
      </c>
      <c r="B22">
        <v>2</v>
      </c>
      <c r="C22" s="2">
        <v>45050</v>
      </c>
      <c r="D22" s="11">
        <v>0.42708333333333331</v>
      </c>
      <c r="E22" s="15">
        <v>1017.6</v>
      </c>
      <c r="F22">
        <v>1075</v>
      </c>
      <c r="G22">
        <v>1072.2</v>
      </c>
      <c r="H22">
        <v>0</v>
      </c>
      <c r="I22">
        <v>2.75</v>
      </c>
      <c r="J22">
        <v>15.98</v>
      </c>
      <c r="K22">
        <v>78.91</v>
      </c>
      <c r="L22">
        <v>0</v>
      </c>
      <c r="M22"/>
      <c r="N22" t="s">
        <v>99</v>
      </c>
      <c r="O22"/>
      <c r="P22" s="8">
        <f t="shared" si="4"/>
        <v>45050.427083333336</v>
      </c>
      <c r="Q22" s="9">
        <f t="shared" si="5"/>
        <v>16.788888888891961</v>
      </c>
      <c r="R22">
        <f t="shared" si="17"/>
        <v>97.64</v>
      </c>
      <c r="S22">
        <f t="shared" si="18"/>
        <v>0</v>
      </c>
      <c r="T22">
        <f t="shared" si="19"/>
        <v>2.8164686603850879</v>
      </c>
      <c r="U22">
        <f t="shared" si="20"/>
        <v>16.366243342892258</v>
      </c>
      <c r="V22">
        <f t="shared" si="21"/>
        <v>80.817287996722655</v>
      </c>
      <c r="W22">
        <f t="shared" si="22"/>
        <v>100</v>
      </c>
      <c r="X22" s="10">
        <f t="shared" si="23"/>
        <v>4.2384378153949097E-2</v>
      </c>
      <c r="Y22" s="10">
        <f t="shared" si="0"/>
        <v>1.1937427276050799E-3</v>
      </c>
      <c r="Z22" s="10">
        <f t="shared" si="6"/>
        <v>0</v>
      </c>
      <c r="AA22" s="10">
        <f t="shared" si="1"/>
        <v>6.9367304680469748E-3</v>
      </c>
      <c r="AB22" s="10">
        <f t="shared" si="2"/>
        <v>3.4253904958297041E-2</v>
      </c>
      <c r="AC22" s="10">
        <f t="shared" si="24"/>
        <v>1.1937427276050799E-3</v>
      </c>
      <c r="AD22" s="10">
        <f t="shared" si="7"/>
        <v>4.2273981634106249E-2</v>
      </c>
      <c r="AE22" s="10">
        <f t="shared" si="8"/>
        <v>1.1906334442215504E-3</v>
      </c>
      <c r="AF22" s="10">
        <f t="shared" si="9"/>
        <v>0</v>
      </c>
      <c r="AG22" s="10">
        <f t="shared" si="10"/>
        <v>6.9186627049674099E-3</v>
      </c>
      <c r="AH22" s="10">
        <f t="shared" si="11"/>
        <v>3.4164685484917287E-2</v>
      </c>
      <c r="AI22" s="10">
        <f t="shared" si="25"/>
        <v>1.1906334442215504E-3</v>
      </c>
      <c r="AJ22" s="22">
        <f t="shared" ref="AJ22" si="72">AC22-AI21</f>
        <v>3.8540988285997184E-4</v>
      </c>
      <c r="AK22">
        <f t="shared" ref="AK22" si="73">(AA22-AG21)*-1</f>
        <v>1.0096672789281572E-3</v>
      </c>
      <c r="AL22" s="25">
        <f t="shared" ref="AL22" si="74">Y22-AE21</f>
        <v>3.8540988285997184E-4</v>
      </c>
      <c r="AM22" s="6">
        <f t="shared" ref="AM22" si="75">AK22+AM21</f>
        <v>9.4572780806272162E-3</v>
      </c>
      <c r="AN22" s="6">
        <f t="shared" ref="AN22" si="76">AL22+AN21</f>
        <v>4.3375058188024245E-3</v>
      </c>
      <c r="AO22" s="6">
        <f t="shared" ref="AO22" si="77">AJ22+AO21</f>
        <v>4.3375058188024245E-3</v>
      </c>
      <c r="AP22" s="19">
        <f t="shared" si="34"/>
        <v>0.33885046724166656</v>
      </c>
      <c r="AQ22" s="7">
        <f t="shared" si="26"/>
        <v>3027.7038099139695</v>
      </c>
      <c r="AR22" s="10">
        <f t="shared" si="27"/>
        <v>15.834890925850061</v>
      </c>
      <c r="AS22" s="6">
        <f t="shared" si="28"/>
        <v>1.5518193107333061E-3</v>
      </c>
      <c r="AT22" s="6">
        <f t="shared" si="12"/>
        <v>3019.8176976648911</v>
      </c>
      <c r="AU22" s="6">
        <f t="shared" si="13"/>
        <v>15.793646558787382</v>
      </c>
      <c r="AV22" s="6">
        <f t="shared" si="14"/>
        <v>1.5477773627611635E-3</v>
      </c>
      <c r="AW22" s="6">
        <f t="shared" si="29"/>
        <v>5.0101792030973324E-4</v>
      </c>
      <c r="AX22" s="52">
        <f t="shared" si="30"/>
        <v>1.5907704866864759E-3</v>
      </c>
      <c r="AY22" s="53">
        <f t="shared" si="15"/>
        <v>0.12427264543400462</v>
      </c>
      <c r="AZ22" s="54">
        <f t="shared" si="35"/>
        <v>0.46312311267567119</v>
      </c>
      <c r="BA22" s="23">
        <f t="shared" si="16"/>
        <v>1.1390293437522718</v>
      </c>
      <c r="BB22"/>
      <c r="BC22"/>
      <c r="BD22"/>
    </row>
    <row r="23" spans="1:56" ht="14.4" x14ac:dyDescent="0.3">
      <c r="A23" t="s">
        <v>123</v>
      </c>
      <c r="B23">
        <v>2</v>
      </c>
      <c r="C23" s="2">
        <v>45050</v>
      </c>
      <c r="D23" s="11">
        <v>0.47569444444444442</v>
      </c>
      <c r="E23" s="15">
        <v>1016.8</v>
      </c>
      <c r="F23">
        <v>1120.4000000000001</v>
      </c>
      <c r="G23">
        <v>1116.8</v>
      </c>
      <c r="H23">
        <v>0</v>
      </c>
      <c r="I23">
        <v>0.28999999999999998</v>
      </c>
      <c r="J23">
        <v>20.45</v>
      </c>
      <c r="K23">
        <v>75.87</v>
      </c>
      <c r="L23">
        <v>1</v>
      </c>
      <c r="N23" t="s">
        <v>99</v>
      </c>
      <c r="O23">
        <v>806.36</v>
      </c>
      <c r="P23" s="3">
        <f t="shared" si="4"/>
        <v>45050.475694444445</v>
      </c>
      <c r="Q23" s="4">
        <f t="shared" si="5"/>
        <v>16.837500000001455</v>
      </c>
      <c r="R23">
        <f t="shared" si="17"/>
        <v>96.61</v>
      </c>
      <c r="S23">
        <f t="shared" si="18"/>
        <v>0</v>
      </c>
      <c r="T23">
        <f t="shared" si="19"/>
        <v>0.3001759652209916</v>
      </c>
      <c r="U23">
        <f t="shared" si="20"/>
        <v>21.167580995756133</v>
      </c>
      <c r="V23">
        <f t="shared" si="21"/>
        <v>78.532243039022873</v>
      </c>
      <c r="W23">
        <f t="shared" si="22"/>
        <v>100</v>
      </c>
      <c r="X23" s="6">
        <f t="shared" si="23"/>
        <v>4.4174378868543786E-2</v>
      </c>
      <c r="Y23" s="6">
        <f t="shared" si="0"/>
        <v>1.3260086814902906E-4</v>
      </c>
      <c r="Z23" s="6">
        <f t="shared" si="6"/>
        <v>0</v>
      </c>
      <c r="AA23" s="6">
        <f t="shared" si="1"/>
        <v>9.3506474263711867E-3</v>
      </c>
      <c r="AB23" s="6">
        <f t="shared" si="2"/>
        <v>3.4691130574023565E-2</v>
      </c>
      <c r="AC23" s="6">
        <f t="shared" si="24"/>
        <v>1.3260086814902906E-4</v>
      </c>
      <c r="AD23" s="6">
        <f t="shared" si="7"/>
        <v>4.4032440485888696E-2</v>
      </c>
      <c r="AE23" s="6">
        <f t="shared" si="8"/>
        <v>1.3217480323887508E-4</v>
      </c>
      <c r="AF23" s="6">
        <f t="shared" si="9"/>
        <v>0</v>
      </c>
      <c r="AG23" s="6">
        <f t="shared" si="10"/>
        <v>9.3206025042586044E-3</v>
      </c>
      <c r="AH23" s="6">
        <f t="shared" si="11"/>
        <v>3.4579663178391215E-2</v>
      </c>
      <c r="AI23" s="6">
        <f t="shared" si="25"/>
        <v>1.3217480323887508E-4</v>
      </c>
      <c r="AJ23" s="22"/>
      <c r="AL23" s="25"/>
      <c r="AM23" s="6"/>
      <c r="AN23" s="6"/>
      <c r="AO23" s="6"/>
      <c r="AP23" s="19"/>
      <c r="AQ23">
        <f>F23*100*T23/100</f>
        <v>336.31715143359907</v>
      </c>
      <c r="AR23" s="6">
        <f>AQ23*$D$7</f>
        <v>1.7589387019977232</v>
      </c>
      <c r="AS23" s="6">
        <f t="shared" si="28"/>
        <v>1.7237599279577688E-4</v>
      </c>
      <c r="AT23" s="6">
        <f t="shared" si="12"/>
        <v>335.23651795880346</v>
      </c>
      <c r="AU23" s="6">
        <f t="shared" si="13"/>
        <v>1.7532869889245422</v>
      </c>
      <c r="AV23" s="6">
        <f t="shared" si="14"/>
        <v>1.7182212491460513E-4</v>
      </c>
      <c r="AW23" s="6">
        <f t="shared" si="29"/>
        <v>-1.3754013699653867E-3</v>
      </c>
      <c r="AX23" s="52">
        <f t="shared" si="30"/>
        <v>2.1536911672108915E-4</v>
      </c>
      <c r="AY23" s="53">
        <f t="shared" si="15"/>
        <v>1.6824859465091189E-2</v>
      </c>
      <c r="AZ23" s="54"/>
      <c r="BA23" s="23">
        <f t="shared" si="16"/>
        <v>0</v>
      </c>
    </row>
    <row r="24" spans="1:56" s="7" customFormat="1" ht="14.4" x14ac:dyDescent="0.3">
      <c r="A24" t="s">
        <v>123</v>
      </c>
      <c r="B24">
        <v>2</v>
      </c>
      <c r="C24" s="2">
        <v>45054</v>
      </c>
      <c r="D24" s="11">
        <v>0.39027777777777778</v>
      </c>
      <c r="E24" s="15">
        <v>1018.7</v>
      </c>
      <c r="F24">
        <v>1102.4000000000001</v>
      </c>
      <c r="G24">
        <v>1099.9000000000001</v>
      </c>
      <c r="H24">
        <v>0</v>
      </c>
      <c r="I24">
        <v>2.19</v>
      </c>
      <c r="J24">
        <v>17.55</v>
      </c>
      <c r="K24">
        <v>77.25</v>
      </c>
      <c r="L24">
        <v>0</v>
      </c>
      <c r="M24"/>
      <c r="N24" t="s">
        <v>99</v>
      </c>
      <c r="O24"/>
      <c r="P24" s="8">
        <f t="shared" si="4"/>
        <v>45054.390277777777</v>
      </c>
      <c r="Q24" s="9">
        <f t="shared" si="5"/>
        <v>20.752083333332848</v>
      </c>
      <c r="R24">
        <f t="shared" si="17"/>
        <v>96.990000000000009</v>
      </c>
      <c r="S24">
        <f t="shared" si="18"/>
        <v>0</v>
      </c>
      <c r="T24">
        <f t="shared" si="19"/>
        <v>2.2579647386328485</v>
      </c>
      <c r="U24">
        <f t="shared" si="20"/>
        <v>18.094648932879675</v>
      </c>
      <c r="V24">
        <f t="shared" si="21"/>
        <v>79.647386328487471</v>
      </c>
      <c r="W24">
        <f t="shared" si="22"/>
        <v>100</v>
      </c>
      <c r="X24" s="10">
        <f t="shared" si="23"/>
        <v>4.346468695526836E-2</v>
      </c>
      <c r="Y24" s="10">
        <f t="shared" si="0"/>
        <v>9.8141730520711116E-4</v>
      </c>
      <c r="Z24" s="10">
        <f t="shared" si="6"/>
        <v>0</v>
      </c>
      <c r="AA24" s="10">
        <f t="shared" si="1"/>
        <v>7.8647825143309587E-3</v>
      </c>
      <c r="AB24" s="10">
        <f t="shared" si="2"/>
        <v>3.4618487135730291E-2</v>
      </c>
      <c r="AC24" s="10">
        <f t="shared" si="24"/>
        <v>9.8141730520711116E-4</v>
      </c>
      <c r="AD24" s="10">
        <f t="shared" si="7"/>
        <v>4.3366118633980107E-2</v>
      </c>
      <c r="AE24" s="10">
        <f t="shared" si="8"/>
        <v>9.7919166726895984E-4</v>
      </c>
      <c r="AF24" s="10">
        <f t="shared" si="9"/>
        <v>0</v>
      </c>
      <c r="AG24" s="10">
        <f t="shared" si="10"/>
        <v>7.8469469226348162E-3</v>
      </c>
      <c r="AH24" s="10">
        <f t="shared" si="11"/>
        <v>3.4539980044076331E-2</v>
      </c>
      <c r="AI24" s="10">
        <f t="shared" si="25"/>
        <v>9.7919166726895984E-4</v>
      </c>
      <c r="AJ24" s="22">
        <f t="shared" ref="AJ24" si="78">AC24-AI23</f>
        <v>8.4924250196823613E-4</v>
      </c>
      <c r="AK24">
        <f t="shared" ref="AK24" si="79">(AA24-AG23)*-1</f>
        <v>1.4558199899276456E-3</v>
      </c>
      <c r="AL24" s="25">
        <f t="shared" ref="AL24" si="80">Y24-AE23</f>
        <v>8.4924250196823613E-4</v>
      </c>
      <c r="AM24" s="6">
        <f>AK24+AM22</f>
        <v>1.0913098070554862E-2</v>
      </c>
      <c r="AN24" s="6">
        <f>AL24+AN22</f>
        <v>5.1867483207706606E-3</v>
      </c>
      <c r="AO24" s="6">
        <f>AJ24+AO22</f>
        <v>5.1867483207706606E-3</v>
      </c>
      <c r="AP24" s="19">
        <f t="shared" si="34"/>
        <v>0.40519417503474803</v>
      </c>
      <c r="AQ24" s="7">
        <f t="shared" si="26"/>
        <v>2489.1803278688526</v>
      </c>
      <c r="AR24" s="10">
        <f t="shared" si="27"/>
        <v>13.0184131147541</v>
      </c>
      <c r="AS24" s="6">
        <f t="shared" si="28"/>
        <v>1.2758044852459018E-3</v>
      </c>
      <c r="AT24" s="6">
        <f t="shared" si="12"/>
        <v>2483.5354160222705</v>
      </c>
      <c r="AU24" s="6">
        <f t="shared" si="13"/>
        <v>12.988890225796476</v>
      </c>
      <c r="AV24" s="6">
        <f t="shared" si="14"/>
        <v>1.2729112421280546E-3</v>
      </c>
      <c r="AW24" s="6">
        <f t="shared" si="29"/>
        <v>1.1039823603312966E-3</v>
      </c>
      <c r="AX24" s="52">
        <f t="shared" si="30"/>
        <v>1.3193514770523857E-3</v>
      </c>
      <c r="AY24" s="53">
        <f t="shared" si="15"/>
        <v>0.10306911002107126</v>
      </c>
      <c r="AZ24" s="54">
        <f t="shared" si="35"/>
        <v>0.5082632850558193</v>
      </c>
      <c r="BA24" s="23">
        <f t="shared" si="16"/>
        <v>0.74534172589514747</v>
      </c>
      <c r="BB24"/>
      <c r="BC24"/>
      <c r="BD24"/>
    </row>
    <row r="25" spans="1:56" ht="14.4" x14ac:dyDescent="0.3">
      <c r="A25" t="s">
        <v>123</v>
      </c>
      <c r="B25">
        <v>2</v>
      </c>
      <c r="C25" s="2">
        <v>45056</v>
      </c>
      <c r="D25" s="11">
        <v>0.42083333333333334</v>
      </c>
      <c r="E25" s="15">
        <v>1007.7</v>
      </c>
      <c r="F25">
        <v>1088.4000000000001</v>
      </c>
      <c r="G25">
        <v>1085.7</v>
      </c>
      <c r="H25">
        <v>0</v>
      </c>
      <c r="I25">
        <v>2.84</v>
      </c>
      <c r="J25">
        <v>16.190000000000001</v>
      </c>
      <c r="K25">
        <v>78.14</v>
      </c>
      <c r="L25">
        <v>0</v>
      </c>
      <c r="N25" t="s">
        <v>99</v>
      </c>
      <c r="P25" s="3">
        <f t="shared" si="4"/>
        <v>45056.42083333333</v>
      </c>
      <c r="Q25" s="4">
        <f t="shared" si="5"/>
        <v>22.78263888888614</v>
      </c>
      <c r="R25">
        <f t="shared" si="17"/>
        <v>97.17</v>
      </c>
      <c r="S25">
        <f t="shared" si="18"/>
        <v>0</v>
      </c>
      <c r="T25">
        <f t="shared" si="19"/>
        <v>2.9227127714315118</v>
      </c>
      <c r="U25">
        <f t="shared" si="20"/>
        <v>16.661521045590206</v>
      </c>
      <c r="V25">
        <f t="shared" si="21"/>
        <v>80.415766182978288</v>
      </c>
      <c r="W25">
        <f t="shared" si="22"/>
        <v>100</v>
      </c>
      <c r="X25" s="6">
        <f t="shared" si="23"/>
        <v>4.2912704356054134E-2</v>
      </c>
      <c r="Y25" s="6">
        <f t="shared" si="0"/>
        <v>1.254215090781041E-3</v>
      </c>
      <c r="Z25" s="6">
        <f t="shared" si="6"/>
        <v>0</v>
      </c>
      <c r="AA25" s="6">
        <f t="shared" si="1"/>
        <v>7.1499092675158648E-3</v>
      </c>
      <c r="AB25" s="6">
        <f t="shared" si="2"/>
        <v>3.4508579997757229E-2</v>
      </c>
      <c r="AC25" s="6">
        <f t="shared" si="24"/>
        <v>1.254215090781041E-3</v>
      </c>
      <c r="AD25" s="6">
        <f t="shared" si="7"/>
        <v>4.2806250569062815E-2</v>
      </c>
      <c r="AE25" s="6">
        <f t="shared" si="8"/>
        <v>1.251103752352973E-3</v>
      </c>
      <c r="AF25" s="6">
        <f t="shared" si="9"/>
        <v>0</v>
      </c>
      <c r="AG25" s="6">
        <f t="shared" si="10"/>
        <v>7.132172447392479E-3</v>
      </c>
      <c r="AH25" s="6">
        <f t="shared" si="11"/>
        <v>3.4422974369317363E-2</v>
      </c>
      <c r="AI25" s="6">
        <f t="shared" si="25"/>
        <v>1.251103752352973E-3</v>
      </c>
      <c r="AJ25" s="22">
        <f t="shared" si="31"/>
        <v>2.750234235120812E-4</v>
      </c>
      <c r="AK25">
        <f t="shared" si="32"/>
        <v>6.9703765511895145E-4</v>
      </c>
      <c r="AL25" s="25">
        <f t="shared" si="33"/>
        <v>2.750234235120812E-4</v>
      </c>
      <c r="AM25" s="6">
        <f t="shared" si="36"/>
        <v>1.1610135725673813E-2</v>
      </c>
      <c r="AN25" s="6">
        <f t="shared" si="36"/>
        <v>5.461771744282742E-3</v>
      </c>
      <c r="AO25" s="6">
        <f t="shared" si="37"/>
        <v>5.461771744282742E-3</v>
      </c>
      <c r="AP25" s="19">
        <f t="shared" si="34"/>
        <v>0.42667929100980889</v>
      </c>
      <c r="AQ25">
        <f t="shared" si="26"/>
        <v>3181.0805804260576</v>
      </c>
      <c r="AR25" s="6">
        <f t="shared" si="27"/>
        <v>16.637051435628283</v>
      </c>
      <c r="AS25" s="6">
        <f t="shared" si="28"/>
        <v>1.6304310406915718E-3</v>
      </c>
      <c r="AT25" s="6">
        <f t="shared" si="12"/>
        <v>3173.1892559431926</v>
      </c>
      <c r="AU25" s="6">
        <f t="shared" si="13"/>
        <v>16.595779808582897</v>
      </c>
      <c r="AV25" s="6">
        <f t="shared" si="14"/>
        <v>1.6263864212411239E-3</v>
      </c>
      <c r="AW25" s="6">
        <f t="shared" si="29"/>
        <v>3.5751979856351711E-4</v>
      </c>
      <c r="AX25" s="52">
        <f t="shared" si="30"/>
        <v>1.6768712756159028E-3</v>
      </c>
      <c r="AY25" s="53">
        <f t="shared" si="15"/>
        <v>0.13099892864315724</v>
      </c>
      <c r="AZ25" s="54">
        <f t="shared" si="35"/>
        <v>0.55767821965296616</v>
      </c>
      <c r="BA25" s="23">
        <f t="shared" si="16"/>
        <v>1.1019605155703416</v>
      </c>
    </row>
    <row r="26" spans="1:56" s="7" customFormat="1" ht="14.4" x14ac:dyDescent="0.3">
      <c r="A26" t="s">
        <v>123</v>
      </c>
      <c r="B26">
        <v>2</v>
      </c>
      <c r="C26" s="2">
        <v>45056</v>
      </c>
      <c r="D26" s="11">
        <v>0.4513888888888889</v>
      </c>
      <c r="E26" s="15">
        <v>1008.2</v>
      </c>
      <c r="F26">
        <v>1107</v>
      </c>
      <c r="G26">
        <v>1105.2</v>
      </c>
      <c r="H26">
        <v>0</v>
      </c>
      <c r="I26">
        <v>0.24</v>
      </c>
      <c r="J26">
        <v>20.329999999999998</v>
      </c>
      <c r="K26">
        <v>75.22</v>
      </c>
      <c r="L26">
        <v>1</v>
      </c>
      <c r="M26"/>
      <c r="N26" t="s">
        <v>99</v>
      </c>
      <c r="O26">
        <v>806.28</v>
      </c>
      <c r="P26" s="8">
        <f t="shared" si="4"/>
        <v>45056.451388888891</v>
      </c>
      <c r="Q26" s="9">
        <f t="shared" si="5"/>
        <v>22.813194444446708</v>
      </c>
      <c r="R26">
        <f t="shared" si="17"/>
        <v>95.789999999999992</v>
      </c>
      <c r="S26">
        <f t="shared" si="18"/>
        <v>0</v>
      </c>
      <c r="T26">
        <f t="shared" si="19"/>
        <v>0.25054807391168182</v>
      </c>
      <c r="U26">
        <f t="shared" si="20"/>
        <v>21.223509760935379</v>
      </c>
      <c r="V26">
        <f t="shared" si="21"/>
        <v>78.525942165152941</v>
      </c>
      <c r="W26">
        <f t="shared" si="22"/>
        <v>100</v>
      </c>
      <c r="X26" s="10">
        <f t="shared" si="23"/>
        <v>4.3646052666438742E-2</v>
      </c>
      <c r="Y26" s="10">
        <f t="shared" si="0"/>
        <v>1.0935434429424051E-4</v>
      </c>
      <c r="Z26" s="10">
        <f t="shared" si="6"/>
        <v>0</v>
      </c>
      <c r="AA26" s="10">
        <f t="shared" si="1"/>
        <v>9.2632242479246223E-3</v>
      </c>
      <c r="AB26" s="10">
        <f t="shared" si="2"/>
        <v>3.4273474074219878E-2</v>
      </c>
      <c r="AC26" s="10">
        <f t="shared" si="24"/>
        <v>1.0935434429424051E-4</v>
      </c>
      <c r="AD26" s="10">
        <f t="shared" si="7"/>
        <v>4.3575083475111201E-2</v>
      </c>
      <c r="AE26" s="10">
        <f t="shared" si="8"/>
        <v>1.0917653235229866E-4</v>
      </c>
      <c r="AF26" s="10">
        <f t="shared" si="9"/>
        <v>0</v>
      </c>
      <c r="AG26" s="10">
        <f t="shared" si="10"/>
        <v>9.248162094675964E-3</v>
      </c>
      <c r="AH26" s="10">
        <f t="shared" si="11"/>
        <v>3.4217744848082939E-2</v>
      </c>
      <c r="AI26" s="10">
        <f t="shared" si="25"/>
        <v>1.0917653235229866E-4</v>
      </c>
      <c r="AJ26" s="22"/>
      <c r="AK26"/>
      <c r="AL26" s="25"/>
      <c r="AM26" s="6"/>
      <c r="AN26" s="6"/>
      <c r="AO26" s="6"/>
      <c r="AP26" s="19"/>
      <c r="AQ26" s="7">
        <f t="shared" si="26"/>
        <v>277.35671782023178</v>
      </c>
      <c r="AR26" s="10">
        <f>AQ26*$D$7</f>
        <v>1.4505756341998124</v>
      </c>
      <c r="AS26" s="6">
        <f t="shared" si="28"/>
        <v>1.4215641215158161E-4</v>
      </c>
      <c r="AT26" s="6">
        <f t="shared" si="12"/>
        <v>276.90573128719075</v>
      </c>
      <c r="AU26" s="6">
        <f t="shared" si="13"/>
        <v>1.4482169746320077</v>
      </c>
      <c r="AV26" s="6">
        <f t="shared" si="14"/>
        <v>1.4192526351393674E-4</v>
      </c>
      <c r="AW26" s="6">
        <f t="shared" si="29"/>
        <v>-1.4842300090895423E-3</v>
      </c>
      <c r="AX26" s="52">
        <f t="shared" si="30"/>
        <v>1.9264126652636057E-4</v>
      </c>
      <c r="AY26" s="53">
        <f t="shared" si="15"/>
        <v>1.5049336162160219E-2</v>
      </c>
      <c r="AZ26" s="54"/>
      <c r="BA26" s="23">
        <f t="shared" si="16"/>
        <v>0</v>
      </c>
      <c r="BB26"/>
      <c r="BC26"/>
      <c r="BD26"/>
    </row>
    <row r="27" spans="1:56" ht="14.4" x14ac:dyDescent="0.3">
      <c r="A27" t="s">
        <v>123</v>
      </c>
      <c r="B27">
        <v>2</v>
      </c>
      <c r="C27" s="2">
        <v>45058</v>
      </c>
      <c r="D27" s="11">
        <v>0.40138888888888885</v>
      </c>
      <c r="E27" s="15">
        <v>1014.7</v>
      </c>
      <c r="F27">
        <v>1097.4000000000001</v>
      </c>
      <c r="G27">
        <v>1094.8</v>
      </c>
      <c r="H27">
        <v>0</v>
      </c>
      <c r="I27">
        <v>1.56</v>
      </c>
      <c r="J27">
        <v>18.899999999999999</v>
      </c>
      <c r="K27">
        <v>75.900000000000006</v>
      </c>
      <c r="L27">
        <v>0</v>
      </c>
      <c r="N27" t="s">
        <v>99</v>
      </c>
      <c r="P27" s="3">
        <f t="shared" si="4"/>
        <v>45058.401388888888</v>
      </c>
      <c r="Q27" s="4">
        <f t="shared" si="5"/>
        <v>24.763194444443798</v>
      </c>
      <c r="R27">
        <f t="shared" si="17"/>
        <v>96.36</v>
      </c>
      <c r="S27">
        <f t="shared" si="18"/>
        <v>0</v>
      </c>
      <c r="T27">
        <f t="shared" si="19"/>
        <v>1.6189290161892902</v>
      </c>
      <c r="U27">
        <f t="shared" si="20"/>
        <v>19.613947696139476</v>
      </c>
      <c r="V27">
        <f t="shared" si="21"/>
        <v>78.767123287671239</v>
      </c>
      <c r="W27">
        <f t="shared" si="22"/>
        <v>100</v>
      </c>
      <c r="X27" s="6">
        <f t="shared" si="23"/>
        <v>4.3267550312691853E-2</v>
      </c>
      <c r="Y27" s="6">
        <f t="shared" si="0"/>
        <v>7.0047092660646833E-4</v>
      </c>
      <c r="Z27" s="6">
        <f t="shared" si="6"/>
        <v>0</v>
      </c>
      <c r="AA27" s="6">
        <f t="shared" si="1"/>
        <v>8.4864746877322123E-3</v>
      </c>
      <c r="AB27" s="6">
        <f t="shared" si="2"/>
        <v>3.4080604698353174E-2</v>
      </c>
      <c r="AC27" s="6">
        <f t="shared" si="24"/>
        <v>7.0047092660646833E-4</v>
      </c>
      <c r="AD27" s="6">
        <f t="shared" si="7"/>
        <v>4.3165039258552064E-2</v>
      </c>
      <c r="AE27" s="6">
        <f t="shared" si="8"/>
        <v>6.9881134540619781E-4</v>
      </c>
      <c r="AF27" s="6">
        <f t="shared" si="9"/>
        <v>0</v>
      </c>
      <c r="AG27" s="6">
        <f t="shared" si="10"/>
        <v>8.4663682231904732E-3</v>
      </c>
      <c r="AH27" s="6">
        <f t="shared" si="11"/>
        <v>3.3999859689955392E-2</v>
      </c>
      <c r="AI27" s="6">
        <f t="shared" si="25"/>
        <v>6.9881134540619781E-4</v>
      </c>
      <c r="AJ27" s="22">
        <f t="shared" si="31"/>
        <v>5.912943942541697E-4</v>
      </c>
      <c r="AK27">
        <f t="shared" si="32"/>
        <v>7.6168740694375174E-4</v>
      </c>
      <c r="AL27" s="25">
        <f t="shared" si="33"/>
        <v>5.912943942541697E-4</v>
      </c>
      <c r="AM27" s="6">
        <f>AK27+AM25</f>
        <v>1.2371823132617565E-2</v>
      </c>
      <c r="AN27" s="6">
        <f>AL27+AN25</f>
        <v>6.0530661385369122E-3</v>
      </c>
      <c r="AO27" s="6">
        <f>AJ27+AO25</f>
        <v>6.0530661385369122E-3</v>
      </c>
      <c r="AP27" s="19">
        <f t="shared" si="34"/>
        <v>0.47287182426287616</v>
      </c>
      <c r="AQ27">
        <f t="shared" si="26"/>
        <v>1776.6127023661275</v>
      </c>
      <c r="AR27" s="6">
        <f t="shared" si="27"/>
        <v>9.2916844333748472</v>
      </c>
      <c r="AS27" s="6">
        <f t="shared" si="28"/>
        <v>9.1058507447073513E-4</v>
      </c>
      <c r="AT27" s="6">
        <f t="shared" si="12"/>
        <v>1772.403486924035</v>
      </c>
      <c r="AU27" s="6">
        <f t="shared" si="13"/>
        <v>9.2696702366127024</v>
      </c>
      <c r="AV27" s="6">
        <f t="shared" si="14"/>
        <v>9.0842768318804494E-4</v>
      </c>
      <c r="AW27" s="6">
        <f t="shared" si="29"/>
        <v>7.6865981095679834E-4</v>
      </c>
      <c r="AX27" s="52">
        <f t="shared" si="30"/>
        <v>9.613010774831589E-4</v>
      </c>
      <c r="AY27" s="53">
        <f t="shared" si="15"/>
        <v>7.5097840296389787E-2</v>
      </c>
      <c r="AZ27" s="54">
        <f t="shared" si="35"/>
        <v>0.54796966455926599</v>
      </c>
      <c r="BA27" s="23">
        <f t="shared" si="16"/>
        <v>0.56008312928860138</v>
      </c>
    </row>
    <row r="28" spans="1:56" s="7" customFormat="1" ht="14.4" x14ac:dyDescent="0.3">
      <c r="A28" t="s">
        <v>123</v>
      </c>
      <c r="B28">
        <v>2</v>
      </c>
      <c r="C28" s="2">
        <v>45061</v>
      </c>
      <c r="D28" s="11">
        <v>0.4284722222222222</v>
      </c>
      <c r="E28" s="15">
        <v>1012.8</v>
      </c>
      <c r="F28">
        <v>1079.7</v>
      </c>
      <c r="G28">
        <v>1076.8</v>
      </c>
      <c r="H28">
        <v>0</v>
      </c>
      <c r="I28">
        <v>2.76</v>
      </c>
      <c r="J28">
        <v>17.21</v>
      </c>
      <c r="K28">
        <v>78.56</v>
      </c>
      <c r="L28">
        <v>0</v>
      </c>
      <c r="M28"/>
      <c r="N28" t="s">
        <v>99</v>
      </c>
      <c r="O28"/>
      <c r="P28" s="8">
        <f t="shared" si="4"/>
        <v>45061.428472222222</v>
      </c>
      <c r="Q28" s="9">
        <f t="shared" si="5"/>
        <v>27.790277777778101</v>
      </c>
      <c r="R28">
        <f t="shared" si="17"/>
        <v>98.53</v>
      </c>
      <c r="S28">
        <f t="shared" si="18"/>
        <v>0</v>
      </c>
      <c r="T28">
        <f t="shared" si="19"/>
        <v>2.8011773064041408</v>
      </c>
      <c r="U28">
        <f t="shared" si="20"/>
        <v>17.466761392469298</v>
      </c>
      <c r="V28">
        <f t="shared" si="21"/>
        <v>79.732061301126564</v>
      </c>
      <c r="W28">
        <f t="shared" si="22"/>
        <v>100</v>
      </c>
      <c r="X28" s="10">
        <f t="shared" si="23"/>
        <v>4.2569686597971008E-2</v>
      </c>
      <c r="Y28" s="10">
        <f t="shared" si="0"/>
        <v>1.1924524003897288E-3</v>
      </c>
      <c r="Z28" s="10">
        <f t="shared" si="6"/>
        <v>0</v>
      </c>
      <c r="AA28" s="10">
        <f t="shared" si="1"/>
        <v>7.4355455835895768E-3</v>
      </c>
      <c r="AB28" s="10">
        <f t="shared" si="2"/>
        <v>3.3941688613991702E-2</v>
      </c>
      <c r="AC28" s="10">
        <f t="shared" si="24"/>
        <v>1.1924524003897288E-3</v>
      </c>
      <c r="AD28" s="10">
        <f t="shared" si="7"/>
        <v>4.2455347345276638E-2</v>
      </c>
      <c r="AE28" s="10">
        <f t="shared" si="8"/>
        <v>1.1892495551909419E-3</v>
      </c>
      <c r="AF28" s="10">
        <f t="shared" si="9"/>
        <v>0</v>
      </c>
      <c r="AG28" s="10">
        <f t="shared" si="10"/>
        <v>7.4155742191435196E-3</v>
      </c>
      <c r="AH28" s="10">
        <f t="shared" si="11"/>
        <v>3.3850523570942176E-2</v>
      </c>
      <c r="AI28" s="10">
        <f t="shared" si="25"/>
        <v>1.1892495551909419E-3</v>
      </c>
      <c r="AJ28" s="22">
        <f t="shared" ref="AJ28" si="81">AC28-AI27</f>
        <v>4.9364105498353103E-4</v>
      </c>
      <c r="AK28">
        <f t="shared" ref="AK28" si="82">(AA28-AG27)*-1</f>
        <v>1.0308226396008964E-3</v>
      </c>
      <c r="AL28" s="25">
        <f t="shared" ref="AL28" si="83">Y28-AE27</f>
        <v>4.9364105498353103E-4</v>
      </c>
      <c r="AM28" s="6">
        <f t="shared" ref="AM28" si="84">AK28+AM27</f>
        <v>1.3402645772218461E-2</v>
      </c>
      <c r="AN28" s="6">
        <f t="shared" ref="AN28" si="85">AL28+AN27</f>
        <v>6.5467071935204433E-3</v>
      </c>
      <c r="AO28" s="6">
        <f t="shared" ref="AO28" si="86">AJ28+AO27</f>
        <v>6.5467071935204433E-3</v>
      </c>
      <c r="AP28" s="19">
        <f t="shared" si="34"/>
        <v>0.51143557705503317</v>
      </c>
      <c r="AQ28" s="7">
        <f t="shared" si="26"/>
        <v>3024.4311377245508</v>
      </c>
      <c r="AR28" s="10">
        <f t="shared" si="27"/>
        <v>15.817774850299401</v>
      </c>
      <c r="AS28" s="6">
        <f t="shared" si="28"/>
        <v>1.5501419353293412E-3</v>
      </c>
      <c r="AT28" s="6">
        <f t="shared" si="12"/>
        <v>3016.3077235359788</v>
      </c>
      <c r="AU28" s="6">
        <f t="shared" si="13"/>
        <v>15.77528939409317</v>
      </c>
      <c r="AV28" s="6">
        <f t="shared" si="14"/>
        <v>1.5459783606211305E-3</v>
      </c>
      <c r="AW28" s="6">
        <f t="shared" si="29"/>
        <v>6.4171425214129627E-4</v>
      </c>
      <c r="AX28" s="52">
        <f t="shared" si="30"/>
        <v>1.6030153296244551E-3</v>
      </c>
      <c r="AY28" s="53">
        <f t="shared" si="15"/>
        <v>0.12522922530367281</v>
      </c>
      <c r="AZ28" s="54">
        <f t="shared" si="35"/>
        <v>0.63666480235870604</v>
      </c>
      <c r="BA28" s="23">
        <f t="shared" si="16"/>
        <v>0.90792955573647749</v>
      </c>
      <c r="BB28"/>
      <c r="BC28"/>
      <c r="BD28"/>
    </row>
    <row r="29" spans="1:56" ht="15" customHeight="1" x14ac:dyDescent="0.3">
      <c r="A29" t="s">
        <v>123</v>
      </c>
      <c r="B29">
        <v>2</v>
      </c>
      <c r="C29" s="2">
        <v>45061</v>
      </c>
      <c r="D29" s="11">
        <v>0.45833333333333331</v>
      </c>
      <c r="E29" s="15">
        <v>1012.8</v>
      </c>
      <c r="F29">
        <v>1115.0999999999999</v>
      </c>
      <c r="G29">
        <v>1112</v>
      </c>
      <c r="H29">
        <v>0</v>
      </c>
      <c r="I29">
        <v>0.2</v>
      </c>
      <c r="J29">
        <v>20.49</v>
      </c>
      <c r="K29">
        <v>76.150000000000006</v>
      </c>
      <c r="L29">
        <v>1</v>
      </c>
      <c r="N29" t="s">
        <v>99</v>
      </c>
      <c r="O29">
        <v>806.19</v>
      </c>
      <c r="P29" s="3">
        <f t="shared" si="4"/>
        <v>45061.458333333336</v>
      </c>
      <c r="Q29" s="4">
        <f t="shared" si="5"/>
        <v>27.820138888891961</v>
      </c>
      <c r="R29">
        <f t="shared" si="17"/>
        <v>96.84</v>
      </c>
      <c r="S29">
        <f t="shared" si="18"/>
        <v>0</v>
      </c>
      <c r="T29">
        <f t="shared" si="19"/>
        <v>0.20652622883106153</v>
      </c>
      <c r="U29">
        <f t="shared" si="20"/>
        <v>21.158612143742253</v>
      </c>
      <c r="V29">
        <f t="shared" si="21"/>
        <v>78.634861627426687</v>
      </c>
      <c r="W29">
        <f t="shared" si="22"/>
        <v>100</v>
      </c>
      <c r="X29" s="6">
        <f t="shared" si="23"/>
        <v>4.3965414027412678E-2</v>
      </c>
      <c r="Y29" s="6">
        <f t="shared" si="0"/>
        <v>9.0800111580777927E-5</v>
      </c>
      <c r="Z29" s="6">
        <f t="shared" si="6"/>
        <v>0</v>
      </c>
      <c r="AA29" s="6">
        <f t="shared" si="1"/>
        <v>9.3024714314506977E-3</v>
      </c>
      <c r="AB29" s="6">
        <f t="shared" si="2"/>
        <v>3.4572142484381202E-2</v>
      </c>
      <c r="AC29" s="6">
        <f>Y29+Z29</f>
        <v>9.0800111580777927E-5</v>
      </c>
      <c r="AD29" s="6">
        <f t="shared" si="7"/>
        <v>4.3843189309015249E-2</v>
      </c>
      <c r="AE29" s="6">
        <f t="shared" si="8"/>
        <v>9.0547685479172338E-5</v>
      </c>
      <c r="AF29" s="6">
        <f t="shared" si="9"/>
        <v>0</v>
      </c>
      <c r="AG29" s="6">
        <f t="shared" si="10"/>
        <v>9.2766103773412063E-3</v>
      </c>
      <c r="AH29" s="6">
        <f t="shared" si="11"/>
        <v>3.4476031246194874E-2</v>
      </c>
      <c r="AI29" s="6">
        <f>AE29+AF29</f>
        <v>9.0547685479172338E-5</v>
      </c>
      <c r="AJ29" s="22"/>
      <c r="AL29" s="25"/>
      <c r="AM29" s="6"/>
      <c r="AN29" s="6"/>
      <c r="AO29" s="6"/>
      <c r="AP29" s="19"/>
      <c r="AQ29">
        <f>F29*100*T29/100</f>
        <v>230.29739776951669</v>
      </c>
      <c r="AR29" s="6">
        <f t="shared" si="27"/>
        <v>1.2044553903345723</v>
      </c>
      <c r="AS29" s="6">
        <f t="shared" si="28"/>
        <v>1.1803662825278808E-4</v>
      </c>
      <c r="AT29" s="6">
        <f t="shared" si="12"/>
        <v>229.65716646014044</v>
      </c>
      <c r="AU29" s="6">
        <f t="shared" si="13"/>
        <v>1.2011069805865346</v>
      </c>
      <c r="AV29" s="6">
        <f t="shared" si="14"/>
        <v>1.177084840974804E-4</v>
      </c>
      <c r="AW29" s="6">
        <f t="shared" si="29"/>
        <v>-1.4279417323683425E-3</v>
      </c>
      <c r="AX29" s="52">
        <f t="shared" si="30"/>
        <v>1.750735972561126E-4</v>
      </c>
      <c r="AY29" s="53">
        <f t="shared" si="15"/>
        <v>1.3676931561625492E-2</v>
      </c>
      <c r="AZ29" s="54"/>
      <c r="BA29" s="23">
        <f t="shared" si="16"/>
        <v>0</v>
      </c>
    </row>
    <row r="30" spans="1:56" ht="15" customHeight="1" x14ac:dyDescent="0.3">
      <c r="A30" t="s">
        <v>123</v>
      </c>
      <c r="B30">
        <v>2</v>
      </c>
      <c r="C30" s="2">
        <v>45063</v>
      </c>
      <c r="D30" s="11">
        <v>0.38819444444444445</v>
      </c>
      <c r="E30" s="15">
        <v>1025.4000000000001</v>
      </c>
      <c r="F30">
        <v>1108.2</v>
      </c>
      <c r="G30">
        <v>1105.4000000000001</v>
      </c>
      <c r="H30">
        <v>0</v>
      </c>
      <c r="I30">
        <v>1.49</v>
      </c>
      <c r="J30">
        <v>19.48</v>
      </c>
      <c r="K30">
        <v>77.78</v>
      </c>
      <c r="L30">
        <v>0</v>
      </c>
      <c r="N30" t="s">
        <v>99</v>
      </c>
      <c r="P30" s="8">
        <f t="shared" si="4"/>
        <v>45063.388194444444</v>
      </c>
      <c r="Q30" s="9">
        <f t="shared" si="5"/>
        <v>29.75</v>
      </c>
      <c r="R30">
        <f t="shared" si="17"/>
        <v>98.75</v>
      </c>
      <c r="S30">
        <f t="shared" si="18"/>
        <v>0</v>
      </c>
      <c r="T30">
        <f t="shared" si="19"/>
        <v>1.5088607594936709</v>
      </c>
      <c r="U30">
        <f t="shared" si="20"/>
        <v>19.726582278481011</v>
      </c>
      <c r="V30">
        <f t="shared" si="21"/>
        <v>78.76455696202531</v>
      </c>
      <c r="W30">
        <f t="shared" si="22"/>
        <v>100</v>
      </c>
      <c r="X30" s="6">
        <f t="shared" si="23"/>
        <v>4.3693365460657101E-2</v>
      </c>
      <c r="Y30" s="6">
        <f t="shared" si="0"/>
        <v>6.5927204593801611E-4</v>
      </c>
      <c r="Z30" s="6">
        <f t="shared" si="6"/>
        <v>0</v>
      </c>
      <c r="AA30" s="6">
        <f t="shared" si="1"/>
        <v>8.6192076878339255E-3</v>
      </c>
      <c r="AB30" s="6">
        <f t="shared" si="2"/>
        <v>3.4414885726885155E-2</v>
      </c>
      <c r="AC30" s="6">
        <f t="shared" ref="AC30:AC32" si="87">Y30+Z30</f>
        <v>6.5927204593801611E-4</v>
      </c>
      <c r="AD30" s="6">
        <f t="shared" si="7"/>
        <v>4.3582968940814266E-2</v>
      </c>
      <c r="AE30" s="6">
        <f t="shared" si="8"/>
        <v>6.5760631617026079E-4</v>
      </c>
      <c r="AF30" s="6">
        <f t="shared" si="9"/>
        <v>0</v>
      </c>
      <c r="AG30" s="6">
        <f t="shared" si="10"/>
        <v>8.5974302275145503E-3</v>
      </c>
      <c r="AH30" s="6">
        <f t="shared" si="11"/>
        <v>3.4327932397129453E-2</v>
      </c>
      <c r="AI30" s="6">
        <f t="shared" ref="AI30:AI32" si="88">AE30+AF30</f>
        <v>6.5760631617026079E-4</v>
      </c>
      <c r="AJ30" s="22">
        <f t="shared" si="31"/>
        <v>5.6872436045884382E-4</v>
      </c>
      <c r="AK30">
        <f t="shared" si="32"/>
        <v>6.5740268950728077E-4</v>
      </c>
      <c r="AL30" s="25">
        <f t="shared" si="33"/>
        <v>5.6872436045884382E-4</v>
      </c>
      <c r="AM30" s="6">
        <f>AK30+AM28</f>
        <v>1.4060048461725741E-2</v>
      </c>
      <c r="AN30" s="6">
        <f>AL30+AN28</f>
        <v>7.1154315539792871E-3</v>
      </c>
      <c r="AO30" s="6">
        <f>AJ30+AO28</f>
        <v>7.1154315539792871E-3</v>
      </c>
      <c r="AP30" s="19">
        <f t="shared" si="34"/>
        <v>0.55586491578648056</v>
      </c>
      <c r="AQ30">
        <f t="shared" ref="AQ30:AQ32" si="89">F30*100*T30/100</f>
        <v>1672.1194936708862</v>
      </c>
      <c r="AR30" s="6">
        <f t="shared" si="27"/>
        <v>8.7451849518987359</v>
      </c>
      <c r="AS30" s="6">
        <f t="shared" si="28"/>
        <v>8.5702812528607624E-4</v>
      </c>
      <c r="AT30" s="6">
        <f t="shared" si="12"/>
        <v>1667.8946835443039</v>
      </c>
      <c r="AU30" s="6">
        <f t="shared" si="13"/>
        <v>8.7230891949367102</v>
      </c>
      <c r="AV30" s="6">
        <f t="shared" si="14"/>
        <v>8.5486274110379765E-4</v>
      </c>
      <c r="AW30" s="6">
        <f t="shared" si="29"/>
        <v>7.3931964118859582E-4</v>
      </c>
      <c r="AX30" s="52">
        <f t="shared" si="30"/>
        <v>9.1439323844470842E-4</v>
      </c>
      <c r="AY30" s="53">
        <f t="shared" si="15"/>
        <v>7.1433351108484949E-2</v>
      </c>
      <c r="AZ30" s="54">
        <f t="shared" si="35"/>
        <v>0.62729826689496548</v>
      </c>
      <c r="BA30" s="23">
        <f t="shared" si="16"/>
        <v>0.50258453743092979</v>
      </c>
    </row>
    <row r="31" spans="1:56" ht="15" customHeight="1" x14ac:dyDescent="0.3">
      <c r="A31" t="s">
        <v>123</v>
      </c>
      <c r="B31">
        <v>2</v>
      </c>
      <c r="C31" s="2">
        <v>45068</v>
      </c>
      <c r="D31" s="11">
        <v>0.61111111111111105</v>
      </c>
      <c r="E31" s="15">
        <v>1013.4</v>
      </c>
      <c r="F31">
        <v>1087.5</v>
      </c>
      <c r="G31">
        <v>1085.5999999999999</v>
      </c>
      <c r="H31">
        <v>0</v>
      </c>
      <c r="I31">
        <v>3.65</v>
      </c>
      <c r="J31">
        <v>16.059999999999999</v>
      </c>
      <c r="K31">
        <v>78.98</v>
      </c>
      <c r="L31">
        <v>0</v>
      </c>
      <c r="N31" t="s">
        <v>99</v>
      </c>
      <c r="P31" s="3">
        <f t="shared" si="4"/>
        <v>45068.611111111109</v>
      </c>
      <c r="Q31" s="4">
        <f t="shared" si="5"/>
        <v>34.972916666665697</v>
      </c>
      <c r="R31">
        <f t="shared" si="17"/>
        <v>98.69</v>
      </c>
      <c r="S31">
        <f t="shared" si="18"/>
        <v>0</v>
      </c>
      <c r="T31">
        <f t="shared" si="19"/>
        <v>3.6984496909514641</v>
      </c>
      <c r="U31">
        <f t="shared" si="20"/>
        <v>16.27317864018644</v>
      </c>
      <c r="V31">
        <f t="shared" si="21"/>
        <v>80.028371668862093</v>
      </c>
      <c r="W31">
        <f t="shared" si="22"/>
        <v>100</v>
      </c>
      <c r="X31" s="10">
        <f t="shared" si="23"/>
        <v>4.2877219760390363E-2</v>
      </c>
      <c r="Y31" s="10">
        <f t="shared" si="0"/>
        <v>1.5857924017167375E-3</v>
      </c>
      <c r="Z31" s="10">
        <f t="shared" si="6"/>
        <v>0</v>
      </c>
      <c r="AA31" s="10">
        <f t="shared" si="1"/>
        <v>6.9774865675536445E-3</v>
      </c>
      <c r="AB31" s="10">
        <f t="shared" si="2"/>
        <v>3.4313940791119976E-2</v>
      </c>
      <c r="AC31" s="10">
        <f t="shared" si="87"/>
        <v>1.5857924017167375E-3</v>
      </c>
      <c r="AD31" s="10">
        <f t="shared" si="7"/>
        <v>4.2802307836211285E-2</v>
      </c>
      <c r="AE31" s="10">
        <f t="shared" si="8"/>
        <v>1.5830218218884507E-3</v>
      </c>
      <c r="AF31" s="10">
        <f t="shared" si="9"/>
        <v>0</v>
      </c>
      <c r="AG31" s="10">
        <f t="shared" si="10"/>
        <v>6.9652960163091816E-3</v>
      </c>
      <c r="AH31" s="10">
        <f t="shared" si="11"/>
        <v>3.4253989998013649E-2</v>
      </c>
      <c r="AI31" s="10">
        <f t="shared" si="88"/>
        <v>1.5830218218884507E-3</v>
      </c>
      <c r="AJ31" s="22">
        <f t="shared" si="31"/>
        <v>9.281860855464767E-4</v>
      </c>
      <c r="AK31">
        <f t="shared" si="32"/>
        <v>1.6199436599609058E-3</v>
      </c>
      <c r="AL31" s="25">
        <f t="shared" si="33"/>
        <v>9.281860855464767E-4</v>
      </c>
      <c r="AM31" s="6">
        <f t="shared" si="36"/>
        <v>1.5679992121686647E-2</v>
      </c>
      <c r="AN31" s="6">
        <f t="shared" si="36"/>
        <v>8.0436176395257634E-3</v>
      </c>
      <c r="AO31" s="6">
        <f t="shared" si="37"/>
        <v>8.0436176395257634E-3</v>
      </c>
      <c r="AP31" s="19">
        <f t="shared" si="34"/>
        <v>0.62837577846042958</v>
      </c>
      <c r="AQ31" s="7">
        <f t="shared" si="89"/>
        <v>4022.0640389097175</v>
      </c>
      <c r="AR31" s="10">
        <f t="shared" si="27"/>
        <v>21.035394923497822</v>
      </c>
      <c r="AS31" s="6">
        <f t="shared" si="28"/>
        <v>2.0614687025027867E-3</v>
      </c>
      <c r="AT31" s="6">
        <f t="shared" si="12"/>
        <v>4015.0369844969086</v>
      </c>
      <c r="AU31" s="6">
        <f t="shared" si="13"/>
        <v>20.998643428918832</v>
      </c>
      <c r="AV31" s="6">
        <f t="shared" si="14"/>
        <v>2.0578670560340456E-3</v>
      </c>
      <c r="AW31" s="6">
        <f t="shared" si="29"/>
        <v>1.206605961398989E-3</v>
      </c>
      <c r="AX31" s="52">
        <f t="shared" si="30"/>
        <v>2.1209991998436973E-3</v>
      </c>
      <c r="AY31" s="53">
        <f t="shared" si="15"/>
        <v>0.16569466414794795</v>
      </c>
      <c r="AZ31" s="54">
        <f t="shared" si="35"/>
        <v>0.79407044260837756</v>
      </c>
      <c r="BA31" s="23">
        <f t="shared" si="16"/>
        <v>0.75882972408426252</v>
      </c>
    </row>
    <row r="32" spans="1:56" ht="15" customHeight="1" x14ac:dyDescent="0.3">
      <c r="A32" t="s">
        <v>123</v>
      </c>
      <c r="B32">
        <v>2</v>
      </c>
      <c r="C32" s="2">
        <v>45068</v>
      </c>
      <c r="D32" s="11">
        <v>0.6479166666666667</v>
      </c>
      <c r="E32" s="15">
        <v>1013.5</v>
      </c>
      <c r="F32">
        <v>1117</v>
      </c>
      <c r="G32">
        <v>1113.5999999999999</v>
      </c>
      <c r="H32">
        <v>0</v>
      </c>
      <c r="I32">
        <v>0.34</v>
      </c>
      <c r="J32">
        <v>20.309999999999999</v>
      </c>
      <c r="K32">
        <v>75.45</v>
      </c>
      <c r="L32">
        <v>1</v>
      </c>
      <c r="N32" t="s">
        <v>99</v>
      </c>
      <c r="O32">
        <v>806.11</v>
      </c>
      <c r="P32" s="8">
        <f t="shared" si="4"/>
        <v>45068.647916666669</v>
      </c>
      <c r="Q32" s="9">
        <f t="shared" si="5"/>
        <v>35.009722222224809</v>
      </c>
      <c r="R32">
        <f t="shared" ref="R32" si="90">SUM(H32:K32)</f>
        <v>96.1</v>
      </c>
      <c r="S32">
        <f t="shared" si="18"/>
        <v>0</v>
      </c>
      <c r="T32">
        <f t="shared" si="19"/>
        <v>0.35379812695109264</v>
      </c>
      <c r="U32">
        <f t="shared" si="20"/>
        <v>21.134235171696147</v>
      </c>
      <c r="V32">
        <f t="shared" si="21"/>
        <v>78.511966701352762</v>
      </c>
      <c r="W32">
        <f t="shared" si="22"/>
        <v>100</v>
      </c>
      <c r="X32" s="6">
        <f t="shared" si="23"/>
        <v>4.4040325951591755E-2</v>
      </c>
      <c r="Y32" s="6">
        <f t="shared" si="0"/>
        <v>1.558138483198876E-4</v>
      </c>
      <c r="Z32" s="6">
        <f t="shared" si="6"/>
        <v>0</v>
      </c>
      <c r="AA32" s="6">
        <f t="shared" si="1"/>
        <v>9.3075860569909307E-3</v>
      </c>
      <c r="AB32" s="6">
        <f t="shared" si="2"/>
        <v>3.4576926046280938E-2</v>
      </c>
      <c r="AC32" s="6">
        <f t="shared" si="87"/>
        <v>1.558138483198876E-4</v>
      </c>
      <c r="AD32" s="6">
        <f t="shared" si="7"/>
        <v>4.3906273034639724E-2</v>
      </c>
      <c r="AE32" s="6">
        <f t="shared" si="8"/>
        <v>1.5533957161058802E-4</v>
      </c>
      <c r="AF32" s="6">
        <f t="shared" si="9"/>
        <v>0</v>
      </c>
      <c r="AG32" s="6">
        <f t="shared" si="10"/>
        <v>9.2792549982677695E-3</v>
      </c>
      <c r="AH32" s="6">
        <f t="shared" si="11"/>
        <v>3.4471678464761367E-2</v>
      </c>
      <c r="AI32" s="6">
        <f t="shared" si="88"/>
        <v>1.5533957161058802E-4</v>
      </c>
      <c r="AJ32" s="22"/>
      <c r="AL32" s="25"/>
      <c r="AM32" s="6"/>
      <c r="AN32" s="6"/>
      <c r="AO32" s="6"/>
      <c r="AP32" s="19"/>
      <c r="AQ32">
        <f t="shared" si="89"/>
        <v>395.19250780437045</v>
      </c>
      <c r="AR32" s="6">
        <f t="shared" si="27"/>
        <v>2.0668568158168577</v>
      </c>
      <c r="AS32" s="6">
        <f t="shared" si="28"/>
        <v>2.0255196795005207E-4</v>
      </c>
      <c r="AT32" s="6">
        <f t="shared" si="12"/>
        <v>393.9895941727367</v>
      </c>
      <c r="AU32" s="6">
        <f t="shared" si="13"/>
        <v>2.0605655775234131</v>
      </c>
      <c r="AV32" s="6">
        <f t="shared" si="14"/>
        <v>2.019354265972945E-4</v>
      </c>
      <c r="AW32" s="6">
        <f t="shared" si="29"/>
        <v>-1.8553150880839934E-3</v>
      </c>
      <c r="AX32" s="52">
        <f t="shared" si="30"/>
        <v>2.6568411175970389E-4</v>
      </c>
      <c r="AY32" s="53">
        <f t="shared" si="15"/>
        <v>2.0755519224483512E-2</v>
      </c>
      <c r="AZ32" s="54"/>
      <c r="BA32"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2">
    <cfRule type="expression" dxfId="13" priority="1">
      <formula>$L13=0</formula>
    </cfRule>
    <cfRule type="expression" dxfId="12" priority="2">
      <formula>$L13=1</formula>
    </cfRule>
  </conditionalFormatting>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B0FCC-CD6D-4739-8BD1-013B55475A10}">
  <dimension ref="A1:BD35"/>
  <sheetViews>
    <sheetView topLeftCell="AH1" zoomScaleNormal="100" workbookViewId="0">
      <selection activeCell="AW22" sqref="AW22"/>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124</v>
      </c>
      <c r="B13">
        <v>1</v>
      </c>
      <c r="C13" s="2">
        <v>45034</v>
      </c>
      <c r="D13" s="11">
        <v>0.63958333333333328</v>
      </c>
      <c r="E13" s="15">
        <v>1025.3</v>
      </c>
      <c r="F13">
        <f>SUM(F14:F35)/(34-14)</f>
        <v>1184.5627777777777</v>
      </c>
      <c r="M13" t="s">
        <v>121</v>
      </c>
      <c r="O13">
        <v>811.58</v>
      </c>
      <c r="P13" s="3">
        <f>C13+D13</f>
        <v>45034.63958333333</v>
      </c>
      <c r="Q13" s="4">
        <f>P13-$P$13</f>
        <v>0</v>
      </c>
      <c r="S13">
        <v>0</v>
      </c>
      <c r="T13">
        <v>0.03</v>
      </c>
      <c r="U13">
        <v>21.9</v>
      </c>
      <c r="V13">
        <v>78.069999999999993</v>
      </c>
      <c r="W13">
        <f>SUM(S13:V13)</f>
        <v>100</v>
      </c>
      <c r="X13" s="6">
        <f>F13*100*$D$3/($D$1*$D$2)</f>
        <v>4.6704145786442511E-2</v>
      </c>
      <c r="Y13" s="6">
        <f t="shared" ref="Y13:Y31" si="0">X13*T13/100</f>
        <v>1.4011243735932753E-5</v>
      </c>
      <c r="Z13" s="6">
        <f>X13*S13/100</f>
        <v>0</v>
      </c>
      <c r="AA13" s="6">
        <f t="shared" ref="AA13:AA31" si="1">X13*U13/100</f>
        <v>1.022820792723091E-2</v>
      </c>
      <c r="AB13" s="6">
        <f t="shared" ref="AB13:AB31" si="2">X13*V13/100</f>
        <v>3.6461926615475669E-2</v>
      </c>
      <c r="AC13" s="6">
        <f>Y13+Z13</f>
        <v>1.4011243735932753E-5</v>
      </c>
      <c r="AD13" s="6">
        <f>X13</f>
        <v>4.6704145786442511E-2</v>
      </c>
      <c r="AE13" s="6">
        <f>Y13</f>
        <v>1.4011243735932753E-5</v>
      </c>
      <c r="AF13" s="6">
        <f t="shared" ref="AF13:AI13" si="3">Z13</f>
        <v>0</v>
      </c>
      <c r="AG13" s="6">
        <f t="shared" si="3"/>
        <v>1.022820792723091E-2</v>
      </c>
      <c r="AH13" s="6">
        <f t="shared" si="3"/>
        <v>3.6461926615475669E-2</v>
      </c>
      <c r="AI13" s="6">
        <f t="shared" si="3"/>
        <v>1.4011243735932753E-5</v>
      </c>
      <c r="AJ13" s="22">
        <f>AC13-AI13</f>
        <v>0</v>
      </c>
      <c r="AK13" s="6">
        <f>AA13-AG13</f>
        <v>0</v>
      </c>
      <c r="AL13" s="23">
        <f>Y13-AE13</f>
        <v>0</v>
      </c>
      <c r="AM13" s="6">
        <f>AK13</f>
        <v>0</v>
      </c>
      <c r="AN13" s="6">
        <f>AL13</f>
        <v>0</v>
      </c>
      <c r="AO13" s="6">
        <f>AJ13</f>
        <v>0</v>
      </c>
      <c r="AP13" s="19">
        <f>AO13*$D$4*1000/$D$6</f>
        <v>0</v>
      </c>
      <c r="AQ13">
        <f>F13*100*T13/100</f>
        <v>35.536883333333328</v>
      </c>
      <c r="AR13" s="6">
        <f>AQ13*$D$7</f>
        <v>0.18585789983333331</v>
      </c>
      <c r="AS13" s="6">
        <f>AR13*$D$5/1000</f>
        <v>1.8214074183666665E-5</v>
      </c>
      <c r="AT13" s="6">
        <f>G13*100*T13/100</f>
        <v>0</v>
      </c>
      <c r="AU13" s="6">
        <f>AT13*$D$7</f>
        <v>0</v>
      </c>
      <c r="AV13" s="6">
        <f>AU13*$D$5/1000</f>
        <v>0</v>
      </c>
      <c r="AW13" s="6">
        <f>AS13-AV13</f>
        <v>1.8214074183666665E-5</v>
      </c>
      <c r="AX13" s="52">
        <f>AW13</f>
        <v>1.8214074183666665E-5</v>
      </c>
      <c r="AY13" s="53">
        <f>(AX13*$D$4*1000/$D$6)</f>
        <v>1.422902424881094E-3</v>
      </c>
      <c r="AZ13" s="54">
        <f>AP13</f>
        <v>0</v>
      </c>
      <c r="BA13" s="23">
        <v>0</v>
      </c>
    </row>
    <row r="14" spans="1:56" ht="14.4" x14ac:dyDescent="0.3">
      <c r="A14" t="s">
        <v>124</v>
      </c>
      <c r="B14">
        <v>1</v>
      </c>
      <c r="C14" s="2">
        <v>45035</v>
      </c>
      <c r="D14" s="11">
        <v>0.66249999999999998</v>
      </c>
      <c r="E14" s="15">
        <v>1022.5</v>
      </c>
      <c r="F14">
        <v>1002.3</v>
      </c>
      <c r="G14">
        <v>1001.5</v>
      </c>
      <c r="H14">
        <v>0.15</v>
      </c>
      <c r="I14">
        <v>2.44</v>
      </c>
      <c r="J14">
        <v>7.95</v>
      </c>
      <c r="K14">
        <v>88.54</v>
      </c>
      <c r="L14">
        <v>0</v>
      </c>
      <c r="N14" t="s">
        <v>99</v>
      </c>
      <c r="P14" s="3">
        <f t="shared" ref="P14:P31" si="4">C14+D14</f>
        <v>45035.662499999999</v>
      </c>
      <c r="Q14" s="4">
        <f t="shared" ref="Q14:Q31" si="5">P14-$P$13</f>
        <v>1.0229166666686069</v>
      </c>
      <c r="R14">
        <f>SUM(H14:K14)</f>
        <v>99.080000000000013</v>
      </c>
      <c r="S14">
        <f>H14 * 100/R14</f>
        <v>0.15139281388776743</v>
      </c>
      <c r="T14">
        <f>I14* 100/R14</f>
        <v>2.4626564392410168</v>
      </c>
      <c r="U14">
        <f>J14* 100/R14</f>
        <v>8.0238191360516744</v>
      </c>
      <c r="V14">
        <f>K14* 100/R14</f>
        <v>89.362131610819532</v>
      </c>
      <c r="W14">
        <f>SUM(S14:V14)</f>
        <v>99.999999999999986</v>
      </c>
      <c r="X14" s="6">
        <f>F14*100*$D$3/($D$1*$D$2)</f>
        <v>3.9518011370886674E-2</v>
      </c>
      <c r="Y14" s="6">
        <f t="shared" si="0"/>
        <v>9.7319285168513789E-4</v>
      </c>
      <c r="Z14" s="6">
        <f t="shared" ref="Z14:Z31" si="6">X14*S14/100</f>
        <v>5.9827429406873234E-5</v>
      </c>
      <c r="AA14" s="6">
        <f t="shared" si="1"/>
        <v>3.1708537585642817E-3</v>
      </c>
      <c r="AB14" s="6">
        <f t="shared" si="2"/>
        <v>3.5314137331230379E-2</v>
      </c>
      <c r="AC14" s="6">
        <f>Y14+Z14</f>
        <v>1.0330202810920112E-3</v>
      </c>
      <c r="AD14" s="6">
        <f t="shared" ref="AD14:AD31" si="7">G14*100*$D$3/($D$1*$D$2)</f>
        <v>3.9486469508074433E-2</v>
      </c>
      <c r="AE14" s="6">
        <f t="shared" ref="AE14:AE31" si="8">AD14*T14/100</f>
        <v>9.7241608396953579E-4</v>
      </c>
      <c r="AF14" s="6">
        <f t="shared" ref="AF14:AF31" si="9">AD14*S14/100</f>
        <v>5.9779677293209159E-5</v>
      </c>
      <c r="AG14" s="6">
        <f t="shared" ref="AG14:AG31" si="10">AD14*U14/100</f>
        <v>3.1683228965400856E-3</v>
      </c>
      <c r="AH14" s="6">
        <f t="shared" ref="AH14:AH31" si="11">AD14*V14/100</f>
        <v>3.52859508502716E-2</v>
      </c>
      <c r="AI14" s="6">
        <f>AE14+AF14</f>
        <v>1.032195761262745E-3</v>
      </c>
      <c r="AJ14" s="22">
        <f>AC14-AI13</f>
        <v>1.0190090373560785E-3</v>
      </c>
      <c r="AK14">
        <f>(AA14-AG13)*-1</f>
        <v>7.0573541686666276E-3</v>
      </c>
      <c r="AL14" s="25">
        <f>Y14-AE13</f>
        <v>9.5918160794920511E-4</v>
      </c>
      <c r="AM14" s="6">
        <f>AK14+AM13</f>
        <v>7.0573541686666276E-3</v>
      </c>
      <c r="AN14" s="6">
        <f>AL14+AN13</f>
        <v>9.5918160794920511E-4</v>
      </c>
      <c r="AO14" s="6">
        <f>AJ14+AO13</f>
        <v>1.0190090373560785E-3</v>
      </c>
      <c r="AP14" s="19">
        <f>AO14*$D$4*1000/$D$6</f>
        <v>7.9606046160169142E-2</v>
      </c>
      <c r="AQ14">
        <f>F14*100*T14/100</f>
        <v>2468.3205490512714</v>
      </c>
      <c r="AR14" s="6">
        <f>AQ14*$D$7</f>
        <v>12.909316471538149</v>
      </c>
      <c r="AS14" s="6">
        <f>AR14*$D$5/1000</f>
        <v>1.2651130142107387E-3</v>
      </c>
      <c r="AT14" s="6">
        <f t="shared" ref="AT14:AT32" si="12">G14*100*T14/100</f>
        <v>2466.3504238998785</v>
      </c>
      <c r="AU14" s="6">
        <f t="shared" ref="AU14:AU32" si="13">AT14*$D$7</f>
        <v>12.899012716996365</v>
      </c>
      <c r="AV14" s="6">
        <f t="shared" ref="AV14:AV32" si="14">AU14*$D$5/1000</f>
        <v>1.2641032462656439E-3</v>
      </c>
      <c r="AW14" s="6">
        <f>AS14-AV13</f>
        <v>1.2651130142107387E-3</v>
      </c>
      <c r="AX14" s="52">
        <f>AW14+AX13</f>
        <v>1.2833270883944054E-3</v>
      </c>
      <c r="AY14" s="53">
        <f t="shared" ref="AY14:AY32" si="15">(AX14*$D$4*1000/$D$6)</f>
        <v>0.10025484729986935</v>
      </c>
      <c r="AZ14" s="54">
        <f>AY14+AP14</f>
        <v>0.17986089346003847</v>
      </c>
      <c r="BA14" s="23">
        <f t="shared" ref="BA14:BA32" si="16">AK14/(AL14+AW14)</f>
        <v>3.1728504391263823</v>
      </c>
    </row>
    <row r="15" spans="1:56" ht="14.4" x14ac:dyDescent="0.3">
      <c r="A15" t="s">
        <v>124</v>
      </c>
      <c r="B15">
        <v>1</v>
      </c>
      <c r="C15" s="2">
        <v>45040</v>
      </c>
      <c r="D15" s="11">
        <v>0.46319444444444446</v>
      </c>
      <c r="E15" s="15">
        <v>1003.3</v>
      </c>
      <c r="F15">
        <v>956.2</v>
      </c>
      <c r="G15">
        <v>953.9</v>
      </c>
      <c r="H15">
        <v>0.25</v>
      </c>
      <c r="I15">
        <v>5.56</v>
      </c>
      <c r="J15">
        <v>1.5</v>
      </c>
      <c r="K15">
        <v>92.72</v>
      </c>
      <c r="L15">
        <v>0</v>
      </c>
      <c r="N15" t="s">
        <v>99</v>
      </c>
      <c r="P15" s="3">
        <f t="shared" si="4"/>
        <v>45040.463194444441</v>
      </c>
      <c r="Q15" s="4">
        <f t="shared" si="5"/>
        <v>5.8236111111109494</v>
      </c>
      <c r="R15">
        <f t="shared" ref="R15:R31" si="17">SUM(H15:K15)</f>
        <v>100.03</v>
      </c>
      <c r="S15">
        <f t="shared" ref="S15:S31" si="18">H15 * 100/R15</f>
        <v>0.24992502249325202</v>
      </c>
      <c r="T15">
        <f t="shared" ref="T15:T31" si="19">I15* 100/R15</f>
        <v>5.5583325002499251</v>
      </c>
      <c r="U15">
        <f t="shared" ref="U15:U31" si="20">J15* 100/R15</f>
        <v>1.4995501349595122</v>
      </c>
      <c r="V15">
        <f t="shared" ref="V15:V31" si="21">K15* 100/R15</f>
        <v>92.692192342297304</v>
      </c>
      <c r="W15">
        <f t="shared" ref="W15:W31" si="22">SUM(S15:V15)</f>
        <v>100</v>
      </c>
      <c r="X15" s="6">
        <f t="shared" ref="X15:X31" si="23">F15*100*$D$3/($D$1*$D$2)</f>
        <v>3.7700411526331273E-2</v>
      </c>
      <c r="Y15" s="6">
        <f t="shared" si="0"/>
        <v>2.0955142265960398E-3</v>
      </c>
      <c r="Z15" s="6">
        <f t="shared" si="6"/>
        <v>9.4222761987232013E-5</v>
      </c>
      <c r="AA15" s="6">
        <f t="shared" si="1"/>
        <v>5.6533657192339205E-4</v>
      </c>
      <c r="AB15" s="6">
        <f t="shared" si="2"/>
        <v>3.4945337965824608E-2</v>
      </c>
      <c r="AC15" s="6">
        <f t="shared" ref="AC15:AC28" si="24">Y15+Z15</f>
        <v>2.189736988583272E-3</v>
      </c>
      <c r="AD15" s="6">
        <f t="shared" si="7"/>
        <v>3.7609728670746086E-2</v>
      </c>
      <c r="AE15" s="6">
        <f t="shared" si="8"/>
        <v>2.090473771961894E-3</v>
      </c>
      <c r="AF15" s="6">
        <f t="shared" si="9"/>
        <v>9.3996122840013212E-5</v>
      </c>
      <c r="AG15" s="6">
        <f t="shared" si="10"/>
        <v>5.6397673704007925E-4</v>
      </c>
      <c r="AH15" s="6">
        <f t="shared" si="11"/>
        <v>3.4861282038904096E-2</v>
      </c>
      <c r="AI15" s="6">
        <f t="shared" ref="AI15:AI28" si="25">AE15+AF15</f>
        <v>2.1844698948019071E-3</v>
      </c>
      <c r="AJ15" s="22">
        <f>AC15-AI14</f>
        <v>1.157541227320527E-3</v>
      </c>
      <c r="AK15">
        <f t="shared" ref="AK15:AK34" si="26">(AA15-AG14)*-1</f>
        <v>2.6029863246166936E-3</v>
      </c>
      <c r="AL15" s="25">
        <f t="shared" ref="AL15:AL34" si="27">Y15-AE14</f>
        <v>1.123098142626504E-3</v>
      </c>
      <c r="AM15" s="6">
        <f t="shared" ref="AM15:AM34" si="28">AK15+AM14</f>
        <v>9.6603404932833203E-3</v>
      </c>
      <c r="AN15" s="6">
        <f t="shared" ref="AN15:AN34" si="29">AL15+AN14</f>
        <v>2.082279750575709E-3</v>
      </c>
      <c r="AO15" s="6">
        <f t="shared" ref="AO15:AO34" si="30">AJ15+AO14</f>
        <v>2.1765502646766055E-3</v>
      </c>
      <c r="AP15" s="19">
        <f t="shared" ref="AP15:AP34" si="31">AO15*$D$4*1000/$D$6</f>
        <v>0.17003437112719996</v>
      </c>
      <c r="AQ15">
        <f t="shared" ref="AQ15:AQ28" si="32">F15*100*T15/100</f>
        <v>5314.8775367389781</v>
      </c>
      <c r="AR15" s="6">
        <f t="shared" ref="AR15:AR32" si="33">AQ15*$D$7</f>
        <v>27.796809517144858</v>
      </c>
      <c r="AS15" s="6">
        <f t="shared" ref="AS15:AS32" si="34">AR15*$D$5/1000</f>
        <v>2.7240873326801964E-3</v>
      </c>
      <c r="AT15" s="6">
        <f t="shared" si="12"/>
        <v>5302.0933719884033</v>
      </c>
      <c r="AU15" s="6">
        <f t="shared" si="13"/>
        <v>27.729948335499351</v>
      </c>
      <c r="AV15" s="6">
        <f t="shared" si="14"/>
        <v>2.7175349368789362E-3</v>
      </c>
      <c r="AW15" s="6">
        <f t="shared" ref="AW15:AW32" si="35">AS15-AV14</f>
        <v>1.4599840864145525E-3</v>
      </c>
      <c r="AX15" s="52">
        <f t="shared" ref="AX15:AX32" si="36">AW15+AX14</f>
        <v>2.7433111748089581E-3</v>
      </c>
      <c r="AY15" s="53">
        <f t="shared" si="15"/>
        <v>0.2143103230763973</v>
      </c>
      <c r="AZ15" s="54">
        <f t="shared" ref="AZ15:AZ34" si="37">AY15+AP15</f>
        <v>0.38434469420359729</v>
      </c>
      <c r="BA15" s="23">
        <f t="shared" si="16"/>
        <v>1.0077055601838221</v>
      </c>
    </row>
    <row r="16" spans="1:56" s="7" customFormat="1" ht="14.4" x14ac:dyDescent="0.3">
      <c r="A16" t="s">
        <v>124</v>
      </c>
      <c r="B16">
        <v>1</v>
      </c>
      <c r="C16" s="2">
        <v>45040</v>
      </c>
      <c r="D16" s="11">
        <v>0.51250000000000007</v>
      </c>
      <c r="E16" s="15">
        <v>1004</v>
      </c>
      <c r="F16">
        <v>1101.9000000000001</v>
      </c>
      <c r="G16">
        <v>1098.3</v>
      </c>
      <c r="H16">
        <v>0</v>
      </c>
      <c r="I16">
        <v>0.94</v>
      </c>
      <c r="J16">
        <v>19.93</v>
      </c>
      <c r="K16">
        <v>76.540000000000006</v>
      </c>
      <c r="L16">
        <v>1</v>
      </c>
      <c r="M16"/>
      <c r="N16" t="s">
        <v>99</v>
      </c>
      <c r="O16">
        <v>811.61</v>
      </c>
      <c r="P16" s="8">
        <f t="shared" si="4"/>
        <v>45040.512499999997</v>
      </c>
      <c r="Q16" s="9">
        <f t="shared" si="5"/>
        <v>5.8729166666671517</v>
      </c>
      <c r="R16">
        <f t="shared" si="17"/>
        <v>97.410000000000011</v>
      </c>
      <c r="S16">
        <f t="shared" si="18"/>
        <v>0</v>
      </c>
      <c r="T16">
        <f t="shared" si="19"/>
        <v>0.96499332717380137</v>
      </c>
      <c r="U16">
        <f t="shared" si="20"/>
        <v>20.459911713376449</v>
      </c>
      <c r="V16">
        <f t="shared" si="21"/>
        <v>78.575094959449743</v>
      </c>
      <c r="W16">
        <f t="shared" si="22"/>
        <v>100</v>
      </c>
      <c r="X16" s="10">
        <f t="shared" si="23"/>
        <v>4.3444973291010706E-2</v>
      </c>
      <c r="Y16" s="10">
        <f t="shared" si="0"/>
        <v>4.1924109325069356E-4</v>
      </c>
      <c r="Z16" s="10">
        <f t="shared" si="6"/>
        <v>0</v>
      </c>
      <c r="AA16" s="10">
        <f t="shared" si="1"/>
        <v>8.8888031792407687E-3</v>
      </c>
      <c r="AB16" s="10">
        <f t="shared" si="2"/>
        <v>3.4136929018519238E-2</v>
      </c>
      <c r="AC16" s="10">
        <f t="shared" si="24"/>
        <v>4.1924109325069356E-4</v>
      </c>
      <c r="AD16" s="10">
        <f t="shared" si="7"/>
        <v>4.3303034908355617E-2</v>
      </c>
      <c r="AE16" s="10">
        <f t="shared" si="8"/>
        <v>4.178713973293735E-4</v>
      </c>
      <c r="AF16" s="10">
        <f t="shared" si="9"/>
        <v>0</v>
      </c>
      <c r="AG16" s="10">
        <f t="shared" si="10"/>
        <v>8.8597627114621429E-3</v>
      </c>
      <c r="AH16" s="10">
        <f t="shared" si="11"/>
        <v>3.4025400799564093E-2</v>
      </c>
      <c r="AI16" s="10">
        <f t="shared" si="25"/>
        <v>4.178713973293735E-4</v>
      </c>
      <c r="AJ16" s="22"/>
      <c r="AK16"/>
      <c r="AL16" s="25"/>
      <c r="AM16" s="6"/>
      <c r="AN16" s="6"/>
      <c r="AO16" s="6"/>
      <c r="AP16" s="19"/>
      <c r="AQ16" s="7">
        <f t="shared" si="32"/>
        <v>1063.326147212812</v>
      </c>
      <c r="AR16" s="10">
        <f t="shared" si="33"/>
        <v>5.5611957499230069</v>
      </c>
      <c r="AS16" s="6">
        <f t="shared" si="34"/>
        <v>5.4499718349245471E-4</v>
      </c>
      <c r="AT16" s="6">
        <f t="shared" si="12"/>
        <v>1059.8521712349859</v>
      </c>
      <c r="AU16" s="6">
        <f t="shared" si="13"/>
        <v>5.5430268555589768</v>
      </c>
      <c r="AV16" s="6">
        <f t="shared" si="14"/>
        <v>5.4321663184477974E-4</v>
      </c>
      <c r="AW16" s="6">
        <f t="shared" si="35"/>
        <v>-2.1725377533864812E-3</v>
      </c>
      <c r="AX16" s="52">
        <f t="shared" si="36"/>
        <v>5.7077342142247689E-4</v>
      </c>
      <c r="AY16" s="53">
        <f t="shared" si="15"/>
        <v>4.4589413505739139E-2</v>
      </c>
      <c r="AZ16" s="54"/>
      <c r="BA16" s="23">
        <f t="shared" si="16"/>
        <v>0</v>
      </c>
      <c r="BB16"/>
      <c r="BC16"/>
      <c r="BD16"/>
    </row>
    <row r="17" spans="1:56" ht="14.4" x14ac:dyDescent="0.3">
      <c r="A17" t="s">
        <v>124</v>
      </c>
      <c r="B17">
        <v>1</v>
      </c>
      <c r="C17" s="2">
        <v>45042</v>
      </c>
      <c r="D17" s="11">
        <v>0.39999999999999997</v>
      </c>
      <c r="E17" s="15">
        <v>1017.2</v>
      </c>
      <c r="F17">
        <v>1015.9</v>
      </c>
      <c r="G17">
        <v>1012.8</v>
      </c>
      <c r="H17">
        <v>0.03</v>
      </c>
      <c r="I17">
        <v>6.59</v>
      </c>
      <c r="J17">
        <v>8.59</v>
      </c>
      <c r="K17">
        <v>84.29</v>
      </c>
      <c r="L17">
        <v>0</v>
      </c>
      <c r="N17" t="s">
        <v>99</v>
      </c>
      <c r="P17" s="3">
        <f t="shared" si="4"/>
        <v>45042.400000000001</v>
      </c>
      <c r="Q17" s="4">
        <f t="shared" si="5"/>
        <v>7.7604166666715173</v>
      </c>
      <c r="R17">
        <f t="shared" si="17"/>
        <v>99.5</v>
      </c>
      <c r="S17">
        <f t="shared" si="18"/>
        <v>3.015075376884422E-2</v>
      </c>
      <c r="T17">
        <f t="shared" si="19"/>
        <v>6.6231155778894468</v>
      </c>
      <c r="U17">
        <f t="shared" si="20"/>
        <v>8.6331658291457281</v>
      </c>
      <c r="V17">
        <f t="shared" si="21"/>
        <v>84.713567839195974</v>
      </c>
      <c r="W17">
        <f t="shared" si="22"/>
        <v>100</v>
      </c>
      <c r="X17" s="6">
        <f t="shared" si="23"/>
        <v>4.0054223038694776E-2</v>
      </c>
      <c r="Y17" s="6">
        <f t="shared" si="0"/>
        <v>2.6528374856783776E-3</v>
      </c>
      <c r="Z17" s="6">
        <f t="shared" si="6"/>
        <v>1.2076650162420533E-5</v>
      </c>
      <c r="AA17" s="6">
        <f t="shared" si="1"/>
        <v>3.4579474965064135E-3</v>
      </c>
      <c r="AB17" s="6">
        <f t="shared" si="2"/>
        <v>3.3931361406347567E-2</v>
      </c>
      <c r="AC17" s="6">
        <f t="shared" si="24"/>
        <v>2.6649141358407982E-3</v>
      </c>
      <c r="AD17" s="6">
        <f t="shared" si="7"/>
        <v>3.9931998320297341E-2</v>
      </c>
      <c r="AE17" s="6">
        <f t="shared" si="8"/>
        <v>2.6447424013141653E-3</v>
      </c>
      <c r="AF17" s="6">
        <f t="shared" si="9"/>
        <v>1.203979848853186E-5</v>
      </c>
      <c r="AG17" s="6">
        <f t="shared" si="10"/>
        <v>3.4473956338829559E-3</v>
      </c>
      <c r="AH17" s="6">
        <f t="shared" si="11"/>
        <v>3.3827820486611683E-2</v>
      </c>
      <c r="AI17" s="6">
        <f t="shared" si="25"/>
        <v>2.6567821998026973E-3</v>
      </c>
      <c r="AJ17" s="22">
        <f>AC17-AI16</f>
        <v>2.2470427385114246E-3</v>
      </c>
      <c r="AK17">
        <f t="shared" si="26"/>
        <v>5.4018152149557293E-3</v>
      </c>
      <c r="AL17" s="25">
        <f t="shared" si="27"/>
        <v>2.234966088349004E-3</v>
      </c>
      <c r="AM17" s="6">
        <f>AK17+AM15</f>
        <v>1.506215570823905E-2</v>
      </c>
      <c r="AN17" s="6">
        <f>AL17+AN15</f>
        <v>4.3172458389247135E-3</v>
      </c>
      <c r="AO17" s="6">
        <f>AJ17+AO15</f>
        <v>4.4235930031880297E-3</v>
      </c>
      <c r="AP17" s="19">
        <f t="shared" si="31"/>
        <v>0.34557568764970181</v>
      </c>
      <c r="AQ17">
        <f t="shared" si="32"/>
        <v>6728.4231155778889</v>
      </c>
      <c r="AR17" s="6">
        <f t="shared" si="33"/>
        <v>35.18965289447236</v>
      </c>
      <c r="AS17" s="6">
        <f t="shared" si="34"/>
        <v>3.4485859836582912E-3</v>
      </c>
      <c r="AT17" s="6">
        <f t="shared" si="12"/>
        <v>6707.8914572864314</v>
      </c>
      <c r="AU17" s="6">
        <f t="shared" si="13"/>
        <v>35.082272321608038</v>
      </c>
      <c r="AV17" s="6">
        <f t="shared" si="14"/>
        <v>3.4380626875175875E-3</v>
      </c>
      <c r="AW17" s="6">
        <f t="shared" si="35"/>
        <v>2.9053693518135116E-3</v>
      </c>
      <c r="AX17" s="52">
        <f t="shared" si="36"/>
        <v>3.4761427732359885E-3</v>
      </c>
      <c r="AY17" s="53">
        <f t="shared" si="15"/>
        <v>0.27155988997265962</v>
      </c>
      <c r="AZ17" s="54">
        <f t="shared" si="37"/>
        <v>0.61713557762236149</v>
      </c>
      <c r="BA17" s="23">
        <f t="shared" si="16"/>
        <v>1.0508682318181453</v>
      </c>
    </row>
    <row r="18" spans="1:56" s="7" customFormat="1" ht="14.4" x14ac:dyDescent="0.3">
      <c r="A18" t="s">
        <v>124</v>
      </c>
      <c r="B18">
        <v>1</v>
      </c>
      <c r="C18" s="2">
        <v>45042</v>
      </c>
      <c r="D18" s="11">
        <v>0.4381944444444445</v>
      </c>
      <c r="E18" s="15">
        <v>1017.3</v>
      </c>
      <c r="F18">
        <v>1124.0999999999999</v>
      </c>
      <c r="G18">
        <v>1120.3</v>
      </c>
      <c r="H18">
        <v>0</v>
      </c>
      <c r="I18">
        <v>0.6</v>
      </c>
      <c r="J18">
        <v>20.53</v>
      </c>
      <c r="K18">
        <v>76.459999999999994</v>
      </c>
      <c r="L18">
        <v>1</v>
      </c>
      <c r="M18"/>
      <c r="N18" t="s">
        <v>99</v>
      </c>
      <c r="O18">
        <v>811.53</v>
      </c>
      <c r="P18" s="8">
        <f t="shared" si="4"/>
        <v>45042.438194444447</v>
      </c>
      <c r="Q18" s="9">
        <f t="shared" si="5"/>
        <v>7.7986111111167702</v>
      </c>
      <c r="R18">
        <f t="shared" si="17"/>
        <v>97.59</v>
      </c>
      <c r="S18">
        <f t="shared" si="18"/>
        <v>0</v>
      </c>
      <c r="T18">
        <f t="shared" si="19"/>
        <v>0.61481709191515521</v>
      </c>
      <c r="U18">
        <f t="shared" si="20"/>
        <v>21.036991495030229</v>
      </c>
      <c r="V18">
        <f t="shared" si="21"/>
        <v>78.348191413054607</v>
      </c>
      <c r="W18">
        <f t="shared" si="22"/>
        <v>100</v>
      </c>
      <c r="X18" s="10">
        <f t="shared" si="23"/>
        <v>4.4320259984050391E-2</v>
      </c>
      <c r="Y18" s="10">
        <f t="shared" si="0"/>
        <v>2.7248853356317485E-4</v>
      </c>
      <c r="Z18" s="10">
        <f t="shared" si="6"/>
        <v>0</v>
      </c>
      <c r="AA18" s="10">
        <f t="shared" si="1"/>
        <v>9.3236493234199677E-3</v>
      </c>
      <c r="AB18" s="10">
        <f t="shared" si="2"/>
        <v>3.4724122127067242E-2</v>
      </c>
      <c r="AC18" s="10">
        <f t="shared" si="24"/>
        <v>2.7248853356317485E-4</v>
      </c>
      <c r="AD18" s="10">
        <f t="shared" si="7"/>
        <v>4.417043613569225E-2</v>
      </c>
      <c r="AE18" s="10">
        <f t="shared" si="8"/>
        <v>2.7156739093570396E-4</v>
      </c>
      <c r="AF18" s="10">
        <f t="shared" si="9"/>
        <v>0</v>
      </c>
      <c r="AG18" s="10">
        <f t="shared" si="10"/>
        <v>9.2921308931833372E-3</v>
      </c>
      <c r="AH18" s="10">
        <f t="shared" si="11"/>
        <v>3.4606737851573206E-2</v>
      </c>
      <c r="AI18" s="10">
        <f t="shared" si="25"/>
        <v>2.7156739093570396E-4</v>
      </c>
      <c r="AJ18" s="22"/>
      <c r="AK18"/>
      <c r="AL18" s="25"/>
      <c r="AM18" s="6"/>
      <c r="AN18" s="6"/>
      <c r="AO18" s="6"/>
      <c r="AP18" s="19"/>
      <c r="AQ18" s="7">
        <f t="shared" si="32"/>
        <v>691.11589302182585</v>
      </c>
      <c r="AR18" s="10">
        <f t="shared" si="33"/>
        <v>3.6145361205041495</v>
      </c>
      <c r="AS18" s="6">
        <f t="shared" si="34"/>
        <v>3.5422453980940664E-4</v>
      </c>
      <c r="AT18" s="6">
        <f t="shared" si="12"/>
        <v>688.77958807254834</v>
      </c>
      <c r="AU18" s="6">
        <f t="shared" si="13"/>
        <v>3.6023172456194281</v>
      </c>
      <c r="AV18" s="6">
        <f t="shared" si="14"/>
        <v>3.5302709007070399E-4</v>
      </c>
      <c r="AW18" s="6">
        <f t="shared" si="35"/>
        <v>-3.083838147708181E-3</v>
      </c>
      <c r="AX18" s="52">
        <f t="shared" si="36"/>
        <v>3.9230462552780751E-4</v>
      </c>
      <c r="AY18" s="53">
        <f t="shared" si="15"/>
        <v>3.064724549415521E-2</v>
      </c>
      <c r="AZ18" s="54"/>
      <c r="BA18" s="23">
        <f t="shared" si="16"/>
        <v>0</v>
      </c>
      <c r="BB18"/>
      <c r="BC18"/>
      <c r="BD18"/>
    </row>
    <row r="19" spans="1:56" ht="14.4" x14ac:dyDescent="0.3">
      <c r="A19" t="s">
        <v>124</v>
      </c>
      <c r="B19">
        <v>1</v>
      </c>
      <c r="C19" s="2">
        <v>45044</v>
      </c>
      <c r="D19" s="11">
        <v>0.43055555555555558</v>
      </c>
      <c r="E19" s="15">
        <v>1007.1</v>
      </c>
      <c r="F19">
        <v>1046.2</v>
      </c>
      <c r="G19">
        <v>1043.4000000000001</v>
      </c>
      <c r="H19">
        <v>0.01</v>
      </c>
      <c r="I19">
        <v>6.82</v>
      </c>
      <c r="J19">
        <v>9.25</v>
      </c>
      <c r="K19">
        <v>85.38</v>
      </c>
      <c r="L19">
        <v>0</v>
      </c>
      <c r="N19" t="s">
        <v>99</v>
      </c>
      <c r="P19" s="3">
        <f t="shared" si="4"/>
        <v>45044.430555555555</v>
      </c>
      <c r="Q19" s="4">
        <f t="shared" si="5"/>
        <v>9.7909722222248092</v>
      </c>
      <c r="R19">
        <f t="shared" si="17"/>
        <v>101.46</v>
      </c>
      <c r="S19">
        <f t="shared" si="18"/>
        <v>9.8561009264734878E-3</v>
      </c>
      <c r="T19">
        <f t="shared" si="19"/>
        <v>6.7218608318549187</v>
      </c>
      <c r="U19">
        <f t="shared" si="20"/>
        <v>9.1168933569879762</v>
      </c>
      <c r="V19">
        <f t="shared" si="21"/>
        <v>84.151389710230632</v>
      </c>
      <c r="W19">
        <f t="shared" si="22"/>
        <v>100</v>
      </c>
      <c r="X19" s="6">
        <f t="shared" si="23"/>
        <v>4.124887109270841E-2</v>
      </c>
      <c r="Y19" s="6">
        <f t="shared" si="0"/>
        <v>2.7726917095630926E-3</v>
      </c>
      <c r="Z19" s="6">
        <f t="shared" si="6"/>
        <v>4.0655303659282882E-6</v>
      </c>
      <c r="AA19" s="6">
        <f t="shared" si="1"/>
        <v>3.7606155884836669E-3</v>
      </c>
      <c r="AB19" s="6">
        <f t="shared" si="2"/>
        <v>3.4711498264295725E-2</v>
      </c>
      <c r="AC19" s="6">
        <f t="shared" si="24"/>
        <v>2.776757239929021E-3</v>
      </c>
      <c r="AD19" s="6">
        <f t="shared" si="7"/>
        <v>4.1138474572865569E-2</v>
      </c>
      <c r="AE19" s="6">
        <f t="shared" si="8"/>
        <v>2.7652710091360454E-3</v>
      </c>
      <c r="AF19" s="6">
        <f t="shared" si="9"/>
        <v>4.0546495735132633E-6</v>
      </c>
      <c r="AG19" s="6">
        <f t="shared" si="10"/>
        <v>3.7505508554997683E-3</v>
      </c>
      <c r="AH19" s="6">
        <f t="shared" si="11"/>
        <v>3.461859805865624E-2</v>
      </c>
      <c r="AI19" s="6">
        <f t="shared" si="25"/>
        <v>2.7693256587095587E-3</v>
      </c>
      <c r="AJ19" s="22">
        <f t="shared" ref="AJ19:AJ34" si="38">AC19-AI18</f>
        <v>2.5051898489933172E-3</v>
      </c>
      <c r="AK19">
        <f t="shared" si="26"/>
        <v>5.5315153046996707E-3</v>
      </c>
      <c r="AL19" s="25">
        <f t="shared" si="27"/>
        <v>2.5011243186273888E-3</v>
      </c>
      <c r="AM19" s="6">
        <f>AK19+AM17</f>
        <v>2.059367101293872E-2</v>
      </c>
      <c r="AN19" s="6">
        <f>AL19+AN17</f>
        <v>6.8183701575521023E-3</v>
      </c>
      <c r="AO19" s="6">
        <f>AJ19+AO17</f>
        <v>6.9287828521813468E-3</v>
      </c>
      <c r="AP19" s="19">
        <f t="shared" si="31"/>
        <v>0.54128372501548017</v>
      </c>
      <c r="AQ19">
        <f t="shared" si="32"/>
        <v>7032.4108022866158</v>
      </c>
      <c r="AR19" s="6">
        <f t="shared" si="33"/>
        <v>36.779508495959</v>
      </c>
      <c r="AS19" s="6">
        <f t="shared" si="34"/>
        <v>3.6043918326039825E-3</v>
      </c>
      <c r="AT19" s="6">
        <f t="shared" si="12"/>
        <v>7013.5895919574223</v>
      </c>
      <c r="AU19" s="6">
        <f t="shared" si="13"/>
        <v>36.681073565937318</v>
      </c>
      <c r="AV19" s="6">
        <f t="shared" si="14"/>
        <v>3.5947452094618575E-3</v>
      </c>
      <c r="AW19" s="6">
        <f t="shared" si="35"/>
        <v>3.2513647425332784E-3</v>
      </c>
      <c r="AX19" s="52">
        <f t="shared" si="36"/>
        <v>3.6436693680610859E-3</v>
      </c>
      <c r="AY19" s="53">
        <f t="shared" si="15"/>
        <v>0.28464724185258466</v>
      </c>
      <c r="AZ19" s="54">
        <f t="shared" si="37"/>
        <v>0.82593096686806478</v>
      </c>
      <c r="BA19" s="23">
        <f t="shared" si="16"/>
        <v>0.96158640996765132</v>
      </c>
    </row>
    <row r="20" spans="1:56" ht="14.4" x14ac:dyDescent="0.3">
      <c r="A20" t="s">
        <v>124</v>
      </c>
      <c r="B20">
        <v>1</v>
      </c>
      <c r="C20" s="2">
        <v>45044</v>
      </c>
      <c r="D20" s="11">
        <v>0.43124999999999997</v>
      </c>
      <c r="E20" s="15">
        <v>1007.1</v>
      </c>
      <c r="F20">
        <f t="shared" ref="F20:K20" si="39">AVERAGE(F16,F18,F22,F24,F26,F28, F30,F32,F35)</f>
        <v>1106.8555555555556</v>
      </c>
      <c r="G20">
        <f t="shared" si="39"/>
        <v>1114.8000000000002</v>
      </c>
      <c r="H20">
        <f t="shared" si="39"/>
        <v>0</v>
      </c>
      <c r="I20">
        <f t="shared" si="39"/>
        <v>0.56888888888888889</v>
      </c>
      <c r="J20">
        <f t="shared" si="39"/>
        <v>20.313333333333333</v>
      </c>
      <c r="K20">
        <f t="shared" si="39"/>
        <v>75.791111111111107</v>
      </c>
      <c r="L20">
        <f>AVERAGE(L16,L18,L22,L24,L26,L28, L30,L32,L35)</f>
        <v>1</v>
      </c>
      <c r="M20" t="s">
        <v>129</v>
      </c>
      <c r="O20">
        <v>811.47</v>
      </c>
      <c r="P20" s="3">
        <f t="shared" ref="P20" si="40">C20+D20</f>
        <v>45044.431250000001</v>
      </c>
      <c r="Q20" s="4">
        <f t="shared" ref="Q20" si="41">P20-$P$13</f>
        <v>9.7916666666715173</v>
      </c>
      <c r="R20">
        <f t="shared" ref="R20" si="42">SUM(H20:K20)</f>
        <v>96.673333333333332</v>
      </c>
      <c r="S20">
        <f t="shared" ref="S20" si="43">H20 * 100/R20</f>
        <v>0</v>
      </c>
      <c r="T20">
        <f t="shared" ref="T20" si="44">I20* 100/R20</f>
        <v>0.58846516332206977</v>
      </c>
      <c r="U20">
        <f t="shared" ref="U20" si="45">J20* 100/R20</f>
        <v>21.012343976277499</v>
      </c>
      <c r="V20">
        <f t="shared" ref="V20" si="46">K20* 100/R20</f>
        <v>78.399190860400424</v>
      </c>
      <c r="W20">
        <f t="shared" ref="W20" si="47">SUM(S20:V20)</f>
        <v>100</v>
      </c>
      <c r="X20" s="6">
        <f t="shared" ref="X20" si="48">F20*100*$D$3/($D$1*$D$2)</f>
        <v>4.3640357607875421E-2</v>
      </c>
      <c r="Y20" s="6">
        <f t="shared" ref="Y20" si="49">X20*T20/100</f>
        <v>2.5680830167151939E-4</v>
      </c>
      <c r="Z20" s="6">
        <f t="shared" ref="Z20" si="50">X20*S20/100</f>
        <v>0</v>
      </c>
      <c r="AA20" s="6">
        <f t="shared" ref="AA20" si="51">X20*U20/100</f>
        <v>9.1698620530443701E-3</v>
      </c>
      <c r="AB20" s="6">
        <f t="shared" ref="AB20" si="52">X20*V20/100</f>
        <v>3.4213687253159528E-2</v>
      </c>
      <c r="AC20" s="6">
        <f t="shared" ref="AC20" si="53">Y20+Z20</f>
        <v>2.5680830167151939E-4</v>
      </c>
      <c r="AD20" s="6">
        <f t="shared" ref="AD20" si="54">G20*100*$D$3/($D$1*$D$2)</f>
        <v>4.3953585828858097E-2</v>
      </c>
      <c r="AE20" s="6">
        <f t="shared" ref="AE20" si="55">AD20*T20/100</f>
        <v>2.5865154063369595E-4</v>
      </c>
      <c r="AF20" s="6">
        <f t="shared" ref="AF20" si="56">AD20*S20/100</f>
        <v>0</v>
      </c>
      <c r="AG20" s="6">
        <f t="shared" ref="AG20" si="57">AD20*U20/100</f>
        <v>9.235678644268025E-3</v>
      </c>
      <c r="AH20" s="6">
        <f t="shared" ref="AH20" si="58">AD20*V20/100</f>
        <v>3.4459255643956375E-2</v>
      </c>
      <c r="AI20" s="6">
        <f t="shared" ref="AI20" si="59">AE20+AF20</f>
        <v>2.5865154063369595E-4</v>
      </c>
      <c r="AJ20" s="22"/>
      <c r="AL20" s="25"/>
      <c r="AM20" s="6"/>
      <c r="AN20" s="6"/>
      <c r="AO20" s="6"/>
      <c r="AP20" s="19"/>
      <c r="AQ20">
        <f t="shared" ref="AQ20" si="60">F20*100*T20/100</f>
        <v>651.34593527394031</v>
      </c>
      <c r="AR20" s="6">
        <f t="shared" ref="AR20" si="61">AQ20*$D$7</f>
        <v>3.406539241482708</v>
      </c>
      <c r="AS20" s="6">
        <f t="shared" ref="AS20" si="62">AR20*$D$5/1000</f>
        <v>3.3384084566530543E-4</v>
      </c>
      <c r="AT20" s="6">
        <f t="shared" ref="AT20" si="63">G20*100*T20/100</f>
        <v>656.02096407144347</v>
      </c>
      <c r="AU20" s="6">
        <f t="shared" ref="AU20" si="64">AT20*$D$7</f>
        <v>3.4309896420936496</v>
      </c>
      <c r="AV20" s="6">
        <f t="shared" ref="AV20" si="65">AU20*$D$5/1000</f>
        <v>3.3623698492517767E-4</v>
      </c>
      <c r="AW20" s="6">
        <f t="shared" ref="AW20" si="66">AS20-AV19</f>
        <v>-3.2609043637965521E-3</v>
      </c>
      <c r="AX20" s="52">
        <f t="shared" ref="AX20" si="67">AW20+AX19</f>
        <v>3.8276500426453379E-4</v>
      </c>
      <c r="AY20" s="53">
        <f t="shared" ref="AY20" si="68">(AX20*$D$4*1000/$D$6)</f>
        <v>2.9902000356187574E-2</v>
      </c>
      <c r="AZ20" s="54"/>
      <c r="BA20" s="23">
        <f t="shared" ref="BA20" si="69">AK20/(AL20+AW20)</f>
        <v>0</v>
      </c>
    </row>
    <row r="21" spans="1:56" ht="14.4" x14ac:dyDescent="0.3">
      <c r="A21" s="13" t="s">
        <v>124</v>
      </c>
      <c r="B21" s="13">
        <v>1</v>
      </c>
      <c r="C21" s="65">
        <v>45047</v>
      </c>
      <c r="D21" s="66">
        <v>0.59722222222222221</v>
      </c>
      <c r="E21" s="67">
        <v>1013.3</v>
      </c>
      <c r="F21" s="13">
        <v>1059.9000000000001</v>
      </c>
      <c r="G21" s="13">
        <v>1057</v>
      </c>
      <c r="H21" s="13">
        <v>0.01</v>
      </c>
      <c r="I21" s="13">
        <v>5.17</v>
      </c>
      <c r="J21" s="13">
        <v>11.57</v>
      </c>
      <c r="K21" s="13">
        <v>82.02</v>
      </c>
      <c r="L21" s="13">
        <v>0</v>
      </c>
      <c r="M21" s="13"/>
      <c r="N21" s="13" t="s">
        <v>99</v>
      </c>
      <c r="O21" s="13"/>
      <c r="P21" s="3">
        <f t="shared" si="4"/>
        <v>45047.597222222219</v>
      </c>
      <c r="Q21" s="4">
        <f t="shared" si="5"/>
        <v>12.957638888889051</v>
      </c>
      <c r="R21">
        <f t="shared" si="17"/>
        <v>98.77</v>
      </c>
      <c r="S21">
        <f t="shared" si="18"/>
        <v>1.0124531740407007E-2</v>
      </c>
      <c r="T21">
        <f t="shared" si="19"/>
        <v>5.2343829097904226</v>
      </c>
      <c r="U21">
        <f t="shared" si="20"/>
        <v>11.714083223650906</v>
      </c>
      <c r="V21">
        <f t="shared" si="21"/>
        <v>83.041409334818269</v>
      </c>
      <c r="W21">
        <f t="shared" si="22"/>
        <v>100</v>
      </c>
      <c r="X21" s="6">
        <f t="shared" si="23"/>
        <v>4.1789025493368048E-2</v>
      </c>
      <c r="Y21" s="6">
        <f t="shared" si="0"/>
        <v>2.18739760859282E-3</v>
      </c>
      <c r="Z21" s="6">
        <f t="shared" si="6"/>
        <v>4.2309431500828242E-6</v>
      </c>
      <c r="AA21" s="6">
        <f t="shared" si="1"/>
        <v>4.8952012246458272E-3</v>
      </c>
      <c r="AB21" s="6">
        <f t="shared" si="2"/>
        <v>3.4702195716979321E-2</v>
      </c>
      <c r="AC21" s="6">
        <f t="shared" si="24"/>
        <v>2.1916285517429028E-3</v>
      </c>
      <c r="AD21" s="6">
        <f t="shared" si="7"/>
        <v>4.1674686240673664E-2</v>
      </c>
      <c r="AE21" s="6">
        <f t="shared" si="8"/>
        <v>2.1814126542906032E-3</v>
      </c>
      <c r="AF21" s="6">
        <f t="shared" si="9"/>
        <v>4.2193668361520367E-6</v>
      </c>
      <c r="AG21" s="6">
        <f t="shared" si="10"/>
        <v>4.8818074294279066E-3</v>
      </c>
      <c r="AH21" s="6">
        <f t="shared" si="11"/>
        <v>3.4607246790119006E-2</v>
      </c>
      <c r="AI21" s="6">
        <f t="shared" si="25"/>
        <v>2.1856320211267551E-3</v>
      </c>
      <c r="AJ21" s="22">
        <f t="shared" ref="AJ21" si="70">AC21-AI20</f>
        <v>1.9329770111092069E-3</v>
      </c>
      <c r="AK21">
        <f t="shared" ref="AK21" si="71">(AA21-AG20)*-1</f>
        <v>4.3404774196221978E-3</v>
      </c>
      <c r="AL21" s="25">
        <f t="shared" ref="AL21" si="72">Y21-AE20</f>
        <v>1.9287460679591241E-3</v>
      </c>
      <c r="AM21" s="6">
        <f>AK21+AM19</f>
        <v>2.4934148432560917E-2</v>
      </c>
      <c r="AN21" s="6">
        <f>AL21+AN19</f>
        <v>8.747116225511227E-3</v>
      </c>
      <c r="AO21" s="6">
        <f>AJ21+AO19</f>
        <v>8.8617598632905539E-3</v>
      </c>
      <c r="AP21" s="19">
        <f t="shared" si="31"/>
        <v>0.69228990016398884</v>
      </c>
      <c r="AQ21">
        <f t="shared" si="32"/>
        <v>5547.92244608687</v>
      </c>
      <c r="AR21" s="6">
        <f t="shared" si="33"/>
        <v>29.015634393034333</v>
      </c>
      <c r="AS21" s="6">
        <f t="shared" si="34"/>
        <v>2.8435321705173647E-3</v>
      </c>
      <c r="AT21" s="6">
        <f t="shared" si="12"/>
        <v>5532.7427356484768</v>
      </c>
      <c r="AU21" s="6">
        <f t="shared" si="13"/>
        <v>28.936244507441536</v>
      </c>
      <c r="AV21" s="6">
        <f t="shared" si="14"/>
        <v>2.8357519617292705E-3</v>
      </c>
      <c r="AW21" s="6">
        <f>AS21-AV20</f>
        <v>2.5072951855921871E-3</v>
      </c>
      <c r="AX21" s="52">
        <f>AW21+AX20</f>
        <v>2.8900601898567209E-3</v>
      </c>
      <c r="AY21" s="53">
        <f t="shared" si="15"/>
        <v>0.22577450880743061</v>
      </c>
      <c r="AZ21" s="54">
        <f t="shared" si="37"/>
        <v>0.91806440897141939</v>
      </c>
      <c r="BA21" s="23">
        <f t="shared" si="16"/>
        <v>0.97845740639751522</v>
      </c>
    </row>
    <row r="22" spans="1:56" s="7" customFormat="1" ht="14.4" x14ac:dyDescent="0.3">
      <c r="A22" t="s">
        <v>124</v>
      </c>
      <c r="B22">
        <v>1</v>
      </c>
      <c r="C22" s="2">
        <v>45047</v>
      </c>
      <c r="D22" s="11">
        <v>0.63541666666666663</v>
      </c>
      <c r="E22" s="15">
        <v>1013.4</v>
      </c>
      <c r="F22">
        <v>1117.2</v>
      </c>
      <c r="G22">
        <v>1113.3</v>
      </c>
      <c r="H22">
        <v>0</v>
      </c>
      <c r="I22">
        <v>0.57999999999999996</v>
      </c>
      <c r="J22">
        <v>20.56</v>
      </c>
      <c r="K22">
        <v>76.459999999999994</v>
      </c>
      <c r="L22">
        <v>1</v>
      </c>
      <c r="M22"/>
      <c r="N22" t="s">
        <v>99</v>
      </c>
      <c r="O22">
        <v>811.37</v>
      </c>
      <c r="P22" s="8">
        <f t="shared" si="4"/>
        <v>45047.635416666664</v>
      </c>
      <c r="Q22" s="9">
        <f t="shared" si="5"/>
        <v>12.995833333334303</v>
      </c>
      <c r="R22">
        <f t="shared" si="17"/>
        <v>97.6</v>
      </c>
      <c r="S22">
        <f t="shared" si="18"/>
        <v>0</v>
      </c>
      <c r="T22">
        <f t="shared" si="19"/>
        <v>0.59426229508196715</v>
      </c>
      <c r="U22">
        <f t="shared" si="20"/>
        <v>21.065573770491806</v>
      </c>
      <c r="V22">
        <f t="shared" si="21"/>
        <v>78.340163934426229</v>
      </c>
      <c r="W22">
        <f t="shared" si="22"/>
        <v>100</v>
      </c>
      <c r="X22" s="10">
        <f t="shared" si="23"/>
        <v>4.4048211417294814E-2</v>
      </c>
      <c r="Y22" s="10">
        <f t="shared" si="0"/>
        <v>2.6176191211097323E-4</v>
      </c>
      <c r="Z22" s="10">
        <f t="shared" si="6"/>
        <v>0</v>
      </c>
      <c r="AA22" s="10">
        <f t="shared" si="1"/>
        <v>9.279008470692433E-3</v>
      </c>
      <c r="AB22" s="10">
        <f t="shared" si="2"/>
        <v>3.450744103449141E-2</v>
      </c>
      <c r="AC22" s="10">
        <f t="shared" si="24"/>
        <v>2.6176191211097323E-4</v>
      </c>
      <c r="AD22" s="10">
        <f t="shared" si="7"/>
        <v>4.3894444836085136E-2</v>
      </c>
      <c r="AE22" s="10">
        <f t="shared" si="8"/>
        <v>2.6084813529640753E-4</v>
      </c>
      <c r="AF22" s="10">
        <f t="shared" si="9"/>
        <v>0</v>
      </c>
      <c r="AG22" s="10">
        <f t="shared" si="10"/>
        <v>9.2466166580933446E-3</v>
      </c>
      <c r="AH22" s="10">
        <f t="shared" si="11"/>
        <v>3.4386980042695386E-2</v>
      </c>
      <c r="AI22" s="10">
        <f t="shared" si="25"/>
        <v>2.6084813529640753E-4</v>
      </c>
      <c r="AJ22" s="22"/>
      <c r="AK22"/>
      <c r="AL22" s="25"/>
      <c r="AM22" s="6"/>
      <c r="AN22" s="6"/>
      <c r="AO22" s="6"/>
      <c r="AP22" s="19"/>
      <c r="AQ22" s="7">
        <f t="shared" si="32"/>
        <v>663.90983606557381</v>
      </c>
      <c r="AR22" s="10">
        <f t="shared" si="33"/>
        <v>3.4722484426229512</v>
      </c>
      <c r="AS22" s="6">
        <f t="shared" si="34"/>
        <v>3.4028034737704921E-4</v>
      </c>
      <c r="AT22" s="6">
        <f t="shared" si="12"/>
        <v>661.59221311475403</v>
      </c>
      <c r="AU22" s="6">
        <f t="shared" si="13"/>
        <v>3.4601272745901639</v>
      </c>
      <c r="AV22" s="6">
        <f t="shared" si="14"/>
        <v>3.3909247290983606E-4</v>
      </c>
      <c r="AW22" s="6">
        <f t="shared" si="35"/>
        <v>-2.4954716143522214E-3</v>
      </c>
      <c r="AX22" s="52">
        <f t="shared" si="36"/>
        <v>3.9458857550449949E-4</v>
      </c>
      <c r="AY22" s="53">
        <f t="shared" si="15"/>
        <v>3.0825670042522117E-2</v>
      </c>
      <c r="AZ22" s="54"/>
      <c r="BA22" s="23">
        <f t="shared" si="16"/>
        <v>0</v>
      </c>
      <c r="BB22"/>
      <c r="BC22"/>
      <c r="BD22"/>
    </row>
    <row r="23" spans="1:56" ht="14.4" x14ac:dyDescent="0.3">
      <c r="A23" t="s">
        <v>124</v>
      </c>
      <c r="B23">
        <v>1</v>
      </c>
      <c r="C23" s="2">
        <v>45050</v>
      </c>
      <c r="D23" s="11">
        <v>0.4291666666666667</v>
      </c>
      <c r="E23" s="15">
        <v>1017.6</v>
      </c>
      <c r="F23">
        <v>1061.7</v>
      </c>
      <c r="G23">
        <v>1058.9000000000001</v>
      </c>
      <c r="H23">
        <v>0</v>
      </c>
      <c r="I23">
        <v>4.3600000000000003</v>
      </c>
      <c r="J23">
        <v>13.47</v>
      </c>
      <c r="K23">
        <v>79.75</v>
      </c>
      <c r="L23">
        <v>0</v>
      </c>
      <c r="N23" t="s">
        <v>99</v>
      </c>
      <c r="P23" s="3">
        <f t="shared" si="4"/>
        <v>45050.429166666669</v>
      </c>
      <c r="Q23" s="4">
        <f t="shared" si="5"/>
        <v>15.789583333338669</v>
      </c>
      <c r="R23">
        <f t="shared" si="17"/>
        <v>97.58</v>
      </c>
      <c r="S23">
        <f t="shared" si="18"/>
        <v>0</v>
      </c>
      <c r="T23">
        <f t="shared" si="19"/>
        <v>4.4681287149005948</v>
      </c>
      <c r="U23">
        <f t="shared" si="20"/>
        <v>13.804058208649314</v>
      </c>
      <c r="V23">
        <f t="shared" si="21"/>
        <v>81.72781307645009</v>
      </c>
      <c r="W23">
        <f t="shared" si="22"/>
        <v>100</v>
      </c>
      <c r="X23" s="6">
        <f t="shared" si="23"/>
        <v>4.1859994684695583E-2</v>
      </c>
      <c r="Y23" s="6">
        <f t="shared" si="0"/>
        <v>1.8703584425627459E-3</v>
      </c>
      <c r="Z23" s="6">
        <f t="shared" si="6"/>
        <v>0</v>
      </c>
      <c r="AA23" s="6">
        <f t="shared" si="1"/>
        <v>5.7783780324128873E-3</v>
      </c>
      <c r="AB23" s="6">
        <f t="shared" si="2"/>
        <v>3.4211258209719951E-2</v>
      </c>
      <c r="AC23" s="6">
        <f t="shared" si="24"/>
        <v>1.8703584425627459E-3</v>
      </c>
      <c r="AD23" s="6">
        <f t="shared" si="7"/>
        <v>4.1749598164852741E-2</v>
      </c>
      <c r="AE23" s="6">
        <f t="shared" si="8"/>
        <v>1.8654257839593972E-3</v>
      </c>
      <c r="AF23" s="6">
        <f t="shared" si="9"/>
        <v>0</v>
      </c>
      <c r="AG23" s="6">
        <f t="shared" si="10"/>
        <v>5.7631388325534586E-3</v>
      </c>
      <c r="AH23" s="6">
        <f t="shared" si="11"/>
        <v>3.4121033548339882E-2</v>
      </c>
      <c r="AI23" s="6">
        <f t="shared" si="25"/>
        <v>1.8654257839593972E-3</v>
      </c>
      <c r="AJ23" s="22">
        <f t="shared" si="38"/>
        <v>1.6095103072663384E-3</v>
      </c>
      <c r="AK23">
        <f t="shared" si="26"/>
        <v>3.4682386256804573E-3</v>
      </c>
      <c r="AL23" s="25">
        <f t="shared" si="27"/>
        <v>1.6095103072663384E-3</v>
      </c>
      <c r="AM23" s="6">
        <f>AK23+AM21</f>
        <v>2.8402387058241375E-2</v>
      </c>
      <c r="AN23" s="6">
        <f>AL23+AN21</f>
        <v>1.0356626532777566E-2</v>
      </c>
      <c r="AO23" s="6">
        <f>AJ23+AO21</f>
        <v>1.0471270170556893E-2</v>
      </c>
      <c r="AP23" s="19">
        <f t="shared" si="31"/>
        <v>0.81802651987832431</v>
      </c>
      <c r="AQ23">
        <f>F23*100*T23/100</f>
        <v>4743.8122566099619</v>
      </c>
      <c r="AR23" s="6">
        <f>AQ23*$D$7</f>
        <v>24.810138102070102</v>
      </c>
      <c r="AS23" s="6">
        <f t="shared" si="34"/>
        <v>2.4313935340028701E-3</v>
      </c>
      <c r="AT23" s="6">
        <f t="shared" si="12"/>
        <v>4731.3014962082407</v>
      </c>
      <c r="AU23" s="6">
        <f t="shared" si="13"/>
        <v>24.7447068251691</v>
      </c>
      <c r="AV23" s="6">
        <f t="shared" si="14"/>
        <v>2.4249812688665719E-3</v>
      </c>
      <c r="AW23" s="6">
        <f t="shared" si="35"/>
        <v>2.0923010610930342E-3</v>
      </c>
      <c r="AX23" s="52">
        <f t="shared" si="36"/>
        <v>2.4868896365975337E-3</v>
      </c>
      <c r="AY23" s="53">
        <f t="shared" si="15"/>
        <v>0.19427840573414967</v>
      </c>
      <c r="AZ23" s="54">
        <f t="shared" si="37"/>
        <v>1.0123049256124741</v>
      </c>
      <c r="BA23" s="23">
        <f t="shared" si="16"/>
        <v>0.93690312135422671</v>
      </c>
    </row>
    <row r="24" spans="1:56" s="7" customFormat="1" ht="14.4" x14ac:dyDescent="0.3">
      <c r="A24" t="s">
        <v>124</v>
      </c>
      <c r="B24">
        <v>1</v>
      </c>
      <c r="C24" s="2">
        <v>45050</v>
      </c>
      <c r="D24" s="11">
        <v>0.46388888888888885</v>
      </c>
      <c r="E24" s="15">
        <v>1017</v>
      </c>
      <c r="F24">
        <v>1122.3</v>
      </c>
      <c r="G24">
        <v>1119.5999999999999</v>
      </c>
      <c r="H24">
        <v>0</v>
      </c>
      <c r="I24">
        <v>0.5</v>
      </c>
      <c r="J24">
        <v>20.3</v>
      </c>
      <c r="K24">
        <v>75.430000000000007</v>
      </c>
      <c r="L24">
        <v>1</v>
      </c>
      <c r="M24"/>
      <c r="N24" t="s">
        <v>99</v>
      </c>
      <c r="O24">
        <v>811.3</v>
      </c>
      <c r="P24" s="8">
        <f t="shared" si="4"/>
        <v>45050.463888888888</v>
      </c>
      <c r="Q24" s="9">
        <f t="shared" si="5"/>
        <v>15.824305555557657</v>
      </c>
      <c r="R24">
        <f t="shared" si="17"/>
        <v>96.23</v>
      </c>
      <c r="S24">
        <f t="shared" si="18"/>
        <v>0</v>
      </c>
      <c r="T24">
        <f t="shared" si="19"/>
        <v>0.51958848591915197</v>
      </c>
      <c r="U24">
        <f t="shared" si="20"/>
        <v>21.095292528317572</v>
      </c>
      <c r="V24">
        <f t="shared" si="21"/>
        <v>78.385118985763285</v>
      </c>
      <c r="W24">
        <f t="shared" si="22"/>
        <v>100</v>
      </c>
      <c r="X24" s="10">
        <f t="shared" si="23"/>
        <v>4.4249290792722856E-2</v>
      </c>
      <c r="Y24" s="10">
        <f t="shared" si="0"/>
        <v>2.2991422005987138E-4</v>
      </c>
      <c r="Z24" s="10">
        <f t="shared" si="6"/>
        <v>0</v>
      </c>
      <c r="AA24" s="10">
        <f t="shared" si="1"/>
        <v>9.3345173344307805E-3</v>
      </c>
      <c r="AB24" s="10">
        <f t="shared" si="2"/>
        <v>3.468485923823221E-2</v>
      </c>
      <c r="AC24" s="10">
        <f t="shared" si="24"/>
        <v>2.2991422005987138E-4</v>
      </c>
      <c r="AD24" s="10">
        <f t="shared" si="7"/>
        <v>4.4142837005731538E-2</v>
      </c>
      <c r="AE24" s="10">
        <f t="shared" si="8"/>
        <v>2.2936109843983961E-4</v>
      </c>
      <c r="AF24" s="10">
        <f t="shared" si="9"/>
        <v>0</v>
      </c>
      <c r="AG24" s="10">
        <f t="shared" si="10"/>
        <v>9.3120605966574895E-3</v>
      </c>
      <c r="AH24" s="10">
        <f t="shared" si="11"/>
        <v>3.4601415310634216E-2</v>
      </c>
      <c r="AI24" s="10">
        <f t="shared" si="25"/>
        <v>2.2936109843983961E-4</v>
      </c>
      <c r="AJ24" s="22"/>
      <c r="AK24"/>
      <c r="AL24" s="25"/>
      <c r="AM24" s="6"/>
      <c r="AN24" s="6"/>
      <c r="AO24" s="6"/>
      <c r="AP24" s="19"/>
      <c r="AQ24" s="7">
        <f t="shared" si="32"/>
        <v>583.13415774706425</v>
      </c>
      <c r="AR24" s="10">
        <f t="shared" si="33"/>
        <v>3.0497916450171463</v>
      </c>
      <c r="AS24" s="6">
        <f t="shared" si="34"/>
        <v>2.9887958121168034E-4</v>
      </c>
      <c r="AT24" s="6">
        <f t="shared" si="12"/>
        <v>581.73126883508246</v>
      </c>
      <c r="AU24" s="6">
        <f t="shared" si="13"/>
        <v>3.0424545360074813</v>
      </c>
      <c r="AV24" s="6">
        <f t="shared" si="14"/>
        <v>2.981605445287332E-4</v>
      </c>
      <c r="AW24" s="6">
        <f t="shared" si="35"/>
        <v>-2.1261016876548914E-3</v>
      </c>
      <c r="AX24" s="52">
        <f t="shared" si="36"/>
        <v>3.6078794894264235E-4</v>
      </c>
      <c r="AY24" s="53">
        <f t="shared" si="15"/>
        <v>2.8185129929838508E-2</v>
      </c>
      <c r="AZ24" s="54"/>
      <c r="BA24" s="23">
        <f t="shared" si="16"/>
        <v>0</v>
      </c>
      <c r="BB24"/>
      <c r="BC24"/>
      <c r="BD24"/>
    </row>
    <row r="25" spans="1:56" ht="14.4" x14ac:dyDescent="0.3">
      <c r="A25" t="s">
        <v>124</v>
      </c>
      <c r="B25">
        <v>1</v>
      </c>
      <c r="C25" s="2">
        <v>45054</v>
      </c>
      <c r="D25" s="11">
        <v>0.3923611111111111</v>
      </c>
      <c r="E25" s="15">
        <v>1018.7</v>
      </c>
      <c r="F25">
        <v>1070.5999999999999</v>
      </c>
      <c r="G25">
        <v>1067.9000000000001</v>
      </c>
      <c r="H25">
        <v>0</v>
      </c>
      <c r="I25">
        <v>4.93</v>
      </c>
      <c r="J25">
        <v>12.34</v>
      </c>
      <c r="K25">
        <v>80.12</v>
      </c>
      <c r="L25">
        <v>0</v>
      </c>
      <c r="N25" t="s">
        <v>99</v>
      </c>
      <c r="P25" s="3">
        <f t="shared" si="4"/>
        <v>45054.392361111109</v>
      </c>
      <c r="Q25" s="4">
        <f t="shared" si="5"/>
        <v>19.752777777779556</v>
      </c>
      <c r="R25">
        <f t="shared" si="17"/>
        <v>97.39</v>
      </c>
      <c r="S25">
        <f t="shared" si="18"/>
        <v>0</v>
      </c>
      <c r="T25">
        <f t="shared" si="19"/>
        <v>5.0621213676968884</v>
      </c>
      <c r="U25">
        <f t="shared" si="20"/>
        <v>12.670705411233186</v>
      </c>
      <c r="V25">
        <f t="shared" si="21"/>
        <v>82.267173221069925</v>
      </c>
      <c r="W25">
        <f t="shared" si="22"/>
        <v>100</v>
      </c>
      <c r="X25" s="6">
        <f t="shared" si="23"/>
        <v>4.2210897908481766E-2</v>
      </c>
      <c r="Y25" s="6">
        <f t="shared" si="0"/>
        <v>2.1367668825219743E-3</v>
      </c>
      <c r="Z25" s="6">
        <f t="shared" si="6"/>
        <v>0</v>
      </c>
      <c r="AA25" s="6">
        <f t="shared" si="1"/>
        <v>5.3484185254201143E-3</v>
      </c>
      <c r="AB25" s="6">
        <f t="shared" si="2"/>
        <v>3.4725712500539678E-2</v>
      </c>
      <c r="AC25" s="6">
        <f t="shared" si="24"/>
        <v>2.1367668825219743E-3</v>
      </c>
      <c r="AD25" s="6">
        <f t="shared" si="7"/>
        <v>4.2104444121490461E-2</v>
      </c>
      <c r="AE25" s="6">
        <f t="shared" si="8"/>
        <v>2.1313780626239652E-3</v>
      </c>
      <c r="AF25" s="6">
        <f t="shared" si="9"/>
        <v>0</v>
      </c>
      <c r="AG25" s="6">
        <f t="shared" si="10"/>
        <v>5.3349300796713449E-3</v>
      </c>
      <c r="AH25" s="6">
        <f t="shared" si="11"/>
        <v>3.4638135979195156E-2</v>
      </c>
      <c r="AI25" s="6">
        <f t="shared" si="25"/>
        <v>2.1313780626239652E-3</v>
      </c>
      <c r="AJ25" s="22">
        <f t="shared" si="38"/>
        <v>1.9074057840821348E-3</v>
      </c>
      <c r="AK25">
        <f t="shared" si="26"/>
        <v>3.9636420712373752E-3</v>
      </c>
      <c r="AL25" s="25">
        <f t="shared" si="27"/>
        <v>1.9074057840821348E-3</v>
      </c>
      <c r="AM25" s="6">
        <f>AK25+AM23</f>
        <v>3.2366029129478752E-2</v>
      </c>
      <c r="AN25" s="6">
        <f>AL25+AN23</f>
        <v>1.2264032316859701E-2</v>
      </c>
      <c r="AO25" s="6">
        <f>AJ25+AO23</f>
        <v>1.2378675954639028E-2</v>
      </c>
      <c r="AP25" s="19">
        <f t="shared" si="31"/>
        <v>0.96703504416755226</v>
      </c>
      <c r="AQ25">
        <f t="shared" si="32"/>
        <v>5419.5071362562885</v>
      </c>
      <c r="AR25" s="6">
        <f t="shared" si="33"/>
        <v>28.34402232262039</v>
      </c>
      <c r="AS25" s="6">
        <f t="shared" si="34"/>
        <v>2.7777141876167981E-3</v>
      </c>
      <c r="AT25" s="6">
        <f t="shared" si="12"/>
        <v>5405.8394085635082</v>
      </c>
      <c r="AU25" s="6">
        <f t="shared" si="13"/>
        <v>28.272540106787151</v>
      </c>
      <c r="AV25" s="6">
        <f t="shared" si="14"/>
        <v>2.7707089304651409E-3</v>
      </c>
      <c r="AW25" s="6">
        <f t="shared" si="35"/>
        <v>2.4795536430880648E-3</v>
      </c>
      <c r="AX25" s="52">
        <f t="shared" si="36"/>
        <v>2.8403415920307071E-3</v>
      </c>
      <c r="AY25" s="53">
        <f t="shared" si="15"/>
        <v>0.22189044021876947</v>
      </c>
      <c r="AZ25" s="54">
        <f t="shared" si="37"/>
        <v>1.1889254843863217</v>
      </c>
      <c r="BA25" s="23">
        <f t="shared" si="16"/>
        <v>0.90350552291159791</v>
      </c>
    </row>
    <row r="26" spans="1:56" s="7" customFormat="1" ht="14.4" x14ac:dyDescent="0.3">
      <c r="A26" t="s">
        <v>124</v>
      </c>
      <c r="B26">
        <v>1</v>
      </c>
      <c r="C26" s="2">
        <v>45054</v>
      </c>
      <c r="D26" s="11">
        <v>0.42638888888888887</v>
      </c>
      <c r="E26" s="15">
        <v>1018.7</v>
      </c>
      <c r="F26">
        <v>1125.8</v>
      </c>
      <c r="G26">
        <v>1122.4000000000001</v>
      </c>
      <c r="H26">
        <v>0</v>
      </c>
      <c r="I26">
        <v>0.54</v>
      </c>
      <c r="J26">
        <v>20.21</v>
      </c>
      <c r="K26">
        <v>75.23</v>
      </c>
      <c r="L26">
        <v>1</v>
      </c>
      <c r="M26"/>
      <c r="N26" t="s">
        <v>99</v>
      </c>
      <c r="O26">
        <v>811.21</v>
      </c>
      <c r="P26" s="8">
        <f t="shared" si="4"/>
        <v>45054.426388888889</v>
      </c>
      <c r="Q26" s="9">
        <f t="shared" si="5"/>
        <v>19.786805555559113</v>
      </c>
      <c r="R26">
        <f t="shared" si="17"/>
        <v>95.98</v>
      </c>
      <c r="S26">
        <f t="shared" si="18"/>
        <v>0</v>
      </c>
      <c r="T26">
        <f t="shared" si="19"/>
        <v>0.56261721191914982</v>
      </c>
      <c r="U26">
        <f t="shared" si="20"/>
        <v>21.056470097937069</v>
      </c>
      <c r="V26">
        <f t="shared" si="21"/>
        <v>78.380912690143774</v>
      </c>
      <c r="W26">
        <f t="shared" si="22"/>
        <v>100</v>
      </c>
      <c r="X26" s="10">
        <f t="shared" si="23"/>
        <v>4.4387286442526409E-2</v>
      </c>
      <c r="Y26" s="10">
        <f t="shared" si="0"/>
        <v>2.4973051342950885E-4</v>
      </c>
      <c r="Z26" s="10">
        <f t="shared" si="6"/>
        <v>0</v>
      </c>
      <c r="AA26" s="10">
        <f t="shared" si="1"/>
        <v>9.3463956970562482E-3</v>
      </c>
      <c r="AB26" s="10">
        <f t="shared" si="2"/>
        <v>3.4791160232040645E-2</v>
      </c>
      <c r="AC26" s="10">
        <f t="shared" si="24"/>
        <v>2.4973051342950885E-4</v>
      </c>
      <c r="AD26" s="10">
        <f t="shared" si="7"/>
        <v>4.4253233525574392E-2</v>
      </c>
      <c r="AE26" s="10">
        <f t="shared" si="8"/>
        <v>2.4897630864565714E-4</v>
      </c>
      <c r="AF26" s="10">
        <f t="shared" si="9"/>
        <v>0</v>
      </c>
      <c r="AG26" s="10">
        <f t="shared" si="10"/>
        <v>9.3181688846828339E-3</v>
      </c>
      <c r="AH26" s="10">
        <f t="shared" si="11"/>
        <v>3.4686088332245901E-2</v>
      </c>
      <c r="AI26" s="10">
        <f t="shared" si="25"/>
        <v>2.4897630864565714E-4</v>
      </c>
      <c r="AJ26" s="22"/>
      <c r="AK26"/>
      <c r="AL26" s="25"/>
      <c r="AM26" s="6"/>
      <c r="AN26" s="6"/>
      <c r="AO26" s="6"/>
      <c r="AP26" s="19"/>
      <c r="AQ26" s="7">
        <f t="shared" si="32"/>
        <v>633.39445717857893</v>
      </c>
      <c r="AR26" s="10">
        <f>AQ26*$D$7</f>
        <v>3.312653011043968</v>
      </c>
      <c r="AS26" s="6">
        <f t="shared" si="34"/>
        <v>3.2463999508230892E-4</v>
      </c>
      <c r="AT26" s="6">
        <f t="shared" si="12"/>
        <v>631.48155865805381</v>
      </c>
      <c r="AU26" s="6">
        <f t="shared" si="13"/>
        <v>3.3026485517816218</v>
      </c>
      <c r="AV26" s="6">
        <f t="shared" si="14"/>
        <v>3.2365955807459897E-4</v>
      </c>
      <c r="AW26" s="6">
        <f t="shared" si="35"/>
        <v>-2.446068935382832E-3</v>
      </c>
      <c r="AX26" s="52">
        <f t="shared" si="36"/>
        <v>3.9427265664787516E-4</v>
      </c>
      <c r="AY26" s="53">
        <f t="shared" si="15"/>
        <v>3.0800990132765327E-2</v>
      </c>
      <c r="AZ26" s="54"/>
      <c r="BA26" s="23">
        <f t="shared" si="16"/>
        <v>0</v>
      </c>
      <c r="BB26"/>
      <c r="BC26"/>
      <c r="BD26"/>
    </row>
    <row r="27" spans="1:56" ht="14.4" x14ac:dyDescent="0.3">
      <c r="A27" t="s">
        <v>124</v>
      </c>
      <c r="B27">
        <v>1</v>
      </c>
      <c r="C27" s="2">
        <v>45056</v>
      </c>
      <c r="D27" s="11">
        <v>0.42291666666666666</v>
      </c>
      <c r="E27" s="15">
        <v>1007.8</v>
      </c>
      <c r="F27">
        <v>1097.3</v>
      </c>
      <c r="G27">
        <v>1094.7</v>
      </c>
      <c r="H27">
        <v>0</v>
      </c>
      <c r="I27">
        <v>2.78</v>
      </c>
      <c r="J27">
        <v>16.59</v>
      </c>
      <c r="K27">
        <v>77.290000000000006</v>
      </c>
      <c r="L27">
        <v>0</v>
      </c>
      <c r="N27" t="s">
        <v>99</v>
      </c>
      <c r="P27" s="3">
        <f t="shared" si="4"/>
        <v>45056.42291666667</v>
      </c>
      <c r="Q27" s="4">
        <f t="shared" si="5"/>
        <v>21.783333333340124</v>
      </c>
      <c r="R27">
        <f t="shared" si="17"/>
        <v>96.660000000000011</v>
      </c>
      <c r="S27">
        <f t="shared" si="18"/>
        <v>0</v>
      </c>
      <c r="T27">
        <f t="shared" si="19"/>
        <v>2.876060417959859</v>
      </c>
      <c r="U27">
        <f t="shared" si="20"/>
        <v>17.163252638112972</v>
      </c>
      <c r="V27">
        <f t="shared" si="21"/>
        <v>79.960686943927172</v>
      </c>
      <c r="W27">
        <f t="shared" si="22"/>
        <v>100</v>
      </c>
      <c r="X27" s="6">
        <f t="shared" si="23"/>
        <v>4.3263607579840317E-2</v>
      </c>
      <c r="Y27" s="6">
        <f t="shared" si="0"/>
        <v>1.2442874929852687E-3</v>
      </c>
      <c r="Z27" s="6">
        <f t="shared" si="6"/>
        <v>0</v>
      </c>
      <c r="AA27" s="6">
        <f t="shared" si="1"/>
        <v>7.4254422692897866E-3</v>
      </c>
      <c r="AB27" s="6">
        <f t="shared" si="2"/>
        <v>3.4593877817565261E-2</v>
      </c>
      <c r="AC27" s="6">
        <f t="shared" si="24"/>
        <v>1.2442874929852687E-3</v>
      </c>
      <c r="AD27" s="6">
        <f t="shared" si="7"/>
        <v>4.3161096525700535E-2</v>
      </c>
      <c r="AE27" s="6">
        <f t="shared" si="8"/>
        <v>1.2413392131331209E-3</v>
      </c>
      <c r="AF27" s="6">
        <f t="shared" si="9"/>
        <v>0</v>
      </c>
      <c r="AG27" s="6">
        <f t="shared" si="10"/>
        <v>7.4078480380857835E-3</v>
      </c>
      <c r="AH27" s="6">
        <f t="shared" si="11"/>
        <v>3.4511909274481632E-2</v>
      </c>
      <c r="AI27" s="6">
        <f t="shared" si="25"/>
        <v>1.2413392131331209E-3</v>
      </c>
      <c r="AJ27" s="22">
        <f t="shared" si="38"/>
        <v>9.9531118433961153E-4</v>
      </c>
      <c r="AK27">
        <f t="shared" si="26"/>
        <v>1.8927266153930472E-3</v>
      </c>
      <c r="AL27" s="25">
        <f t="shared" si="27"/>
        <v>9.9531118433961153E-4</v>
      </c>
      <c r="AM27" s="6">
        <f>AK27+AM25</f>
        <v>3.4258755744871798E-2</v>
      </c>
      <c r="AN27" s="6">
        <f>AL27+AN25</f>
        <v>1.3259343501199313E-2</v>
      </c>
      <c r="AO27" s="6">
        <f>AJ27+AO25</f>
        <v>1.337398713897864E-2</v>
      </c>
      <c r="AP27" s="19">
        <f t="shared" si="31"/>
        <v>1.0447897893951796</v>
      </c>
      <c r="AQ27">
        <f t="shared" si="32"/>
        <v>3155.9010966273531</v>
      </c>
      <c r="AR27" s="6">
        <f t="shared" si="33"/>
        <v>16.505362735361057</v>
      </c>
      <c r="AS27" s="6">
        <f t="shared" si="34"/>
        <v>1.6175255480653835E-3</v>
      </c>
      <c r="AT27" s="6">
        <f t="shared" si="12"/>
        <v>3148.4233395406573</v>
      </c>
      <c r="AU27" s="6">
        <f t="shared" si="13"/>
        <v>16.466254065797639</v>
      </c>
      <c r="AV27" s="6">
        <f t="shared" si="14"/>
        <v>1.6136928984481686E-3</v>
      </c>
      <c r="AW27" s="6">
        <f t="shared" si="35"/>
        <v>1.2938659899907846E-3</v>
      </c>
      <c r="AX27" s="52">
        <f t="shared" si="36"/>
        <v>1.6881386466386598E-3</v>
      </c>
      <c r="AY27" s="53">
        <f t="shared" si="15"/>
        <v>0.13187914738986095</v>
      </c>
      <c r="AZ27" s="54">
        <f t="shared" si="37"/>
        <v>1.1766689367850405</v>
      </c>
      <c r="BA27" s="23">
        <f t="shared" si="16"/>
        <v>0.82681525773411824</v>
      </c>
    </row>
    <row r="28" spans="1:56" s="7" customFormat="1" ht="14.4" x14ac:dyDescent="0.3">
      <c r="A28" t="s">
        <v>124</v>
      </c>
      <c r="B28">
        <v>1</v>
      </c>
      <c r="C28" s="2">
        <v>45056</v>
      </c>
      <c r="D28" s="11">
        <v>0.45208333333333334</v>
      </c>
      <c r="E28" s="15">
        <v>1008.2</v>
      </c>
      <c r="F28">
        <v>1113.4000000000001</v>
      </c>
      <c r="G28">
        <v>1111.3</v>
      </c>
      <c r="H28">
        <v>0</v>
      </c>
      <c r="I28">
        <v>0.46</v>
      </c>
      <c r="J28">
        <v>20.260000000000002</v>
      </c>
      <c r="K28">
        <v>75.27</v>
      </c>
      <c r="L28">
        <v>1</v>
      </c>
      <c r="M28"/>
      <c r="N28" t="s">
        <v>99</v>
      </c>
      <c r="O28">
        <v>811.12</v>
      </c>
      <c r="P28" s="8">
        <f t="shared" si="4"/>
        <v>45056.45208333333</v>
      </c>
      <c r="Q28" s="9">
        <f t="shared" si="5"/>
        <v>21.8125</v>
      </c>
      <c r="R28">
        <f t="shared" si="17"/>
        <v>95.99</v>
      </c>
      <c r="S28">
        <f t="shared" si="18"/>
        <v>0</v>
      </c>
      <c r="T28">
        <f t="shared" si="19"/>
        <v>0.47921658506094389</v>
      </c>
      <c r="U28">
        <f t="shared" si="20"/>
        <v>21.106365246379834</v>
      </c>
      <c r="V28">
        <f t="shared" si="21"/>
        <v>78.414418168559223</v>
      </c>
      <c r="W28">
        <f t="shared" si="22"/>
        <v>100</v>
      </c>
      <c r="X28" s="10">
        <f t="shared" si="23"/>
        <v>4.3898387568936673E-2</v>
      </c>
      <c r="Y28" s="10">
        <f t="shared" si="0"/>
        <v>2.1036835380467623E-4</v>
      </c>
      <c r="Z28" s="10">
        <f t="shared" si="6"/>
        <v>0</v>
      </c>
      <c r="AA28" s="10">
        <f t="shared" si="1"/>
        <v>9.2653540175711754E-3</v>
      </c>
      <c r="AB28" s="10">
        <f t="shared" si="2"/>
        <v>3.442266519756082E-2</v>
      </c>
      <c r="AC28" s="10">
        <f t="shared" si="24"/>
        <v>2.1036835380467623E-4</v>
      </c>
      <c r="AD28" s="10">
        <f t="shared" si="7"/>
        <v>4.3815590179054537E-2</v>
      </c>
      <c r="AE28" s="10">
        <f t="shared" si="8"/>
        <v>2.0997157498036346E-4</v>
      </c>
      <c r="AF28" s="10">
        <f t="shared" si="9"/>
        <v>0</v>
      </c>
      <c r="AG28" s="10">
        <f t="shared" si="10"/>
        <v>9.2478784980481819E-3</v>
      </c>
      <c r="AH28" s="10">
        <f t="shared" si="11"/>
        <v>3.4357740106025991E-2</v>
      </c>
      <c r="AI28" s="10">
        <f t="shared" si="25"/>
        <v>2.0997157498036346E-4</v>
      </c>
      <c r="AJ28" s="22"/>
      <c r="AK28"/>
      <c r="AL28" s="25"/>
      <c r="AM28" s="6"/>
      <c r="AN28" s="6"/>
      <c r="AO28" s="6"/>
      <c r="AP28" s="19"/>
      <c r="AQ28" s="7">
        <f t="shared" si="32"/>
        <v>533.55974580685495</v>
      </c>
      <c r="AR28" s="10">
        <f t="shared" si="33"/>
        <v>2.7905174705698514</v>
      </c>
      <c r="AS28" s="6">
        <f t="shared" si="34"/>
        <v>2.7347071211584545E-4</v>
      </c>
      <c r="AT28" s="6">
        <f t="shared" si="12"/>
        <v>532.55339097822696</v>
      </c>
      <c r="AU28" s="6">
        <f t="shared" si="13"/>
        <v>2.7852542348161271</v>
      </c>
      <c r="AV28" s="6">
        <f t="shared" si="14"/>
        <v>2.7295491501198047E-4</v>
      </c>
      <c r="AW28" s="6">
        <f t="shared" si="35"/>
        <v>-1.3402221863323231E-3</v>
      </c>
      <c r="AX28" s="52">
        <f t="shared" si="36"/>
        <v>3.4791646030633665E-4</v>
      </c>
      <c r="AY28" s="53">
        <f t="shared" si="15"/>
        <v>2.7179595846264139E-2</v>
      </c>
      <c r="AZ28" s="54"/>
      <c r="BA28" s="23">
        <f t="shared" si="16"/>
        <v>0</v>
      </c>
      <c r="BB28"/>
      <c r="BC28"/>
      <c r="BD28"/>
    </row>
    <row r="29" spans="1:56" ht="15" customHeight="1" x14ac:dyDescent="0.3">
      <c r="A29" t="s">
        <v>124</v>
      </c>
      <c r="B29">
        <v>1</v>
      </c>
      <c r="C29" s="2">
        <v>45058</v>
      </c>
      <c r="D29" s="11">
        <v>0.40347222222222223</v>
      </c>
      <c r="E29" s="15">
        <v>1014.7</v>
      </c>
      <c r="F29">
        <v>1085.5</v>
      </c>
      <c r="G29">
        <v>1083.0999999999999</v>
      </c>
      <c r="H29">
        <v>0</v>
      </c>
      <c r="I29">
        <v>2.31</v>
      </c>
      <c r="J29">
        <v>17</v>
      </c>
      <c r="K29">
        <v>77.44</v>
      </c>
      <c r="L29">
        <v>0</v>
      </c>
      <c r="N29" t="s">
        <v>99</v>
      </c>
      <c r="P29" s="3">
        <f t="shared" si="4"/>
        <v>45058.40347222222</v>
      </c>
      <c r="Q29" s="4">
        <f t="shared" si="5"/>
        <v>23.763888888890506</v>
      </c>
      <c r="R29">
        <f t="shared" si="17"/>
        <v>96.75</v>
      </c>
      <c r="S29">
        <f t="shared" si="18"/>
        <v>0</v>
      </c>
      <c r="T29">
        <f t="shared" si="19"/>
        <v>2.387596899224806</v>
      </c>
      <c r="U29">
        <f t="shared" si="20"/>
        <v>17.571059431524549</v>
      </c>
      <c r="V29">
        <f t="shared" si="21"/>
        <v>80.041343669250651</v>
      </c>
      <c r="W29">
        <f t="shared" si="22"/>
        <v>100</v>
      </c>
      <c r="X29" s="6">
        <f t="shared" si="23"/>
        <v>4.2798365103359763E-2</v>
      </c>
      <c r="Y29" s="6">
        <f t="shared" si="0"/>
        <v>1.0218524381267291E-3</v>
      </c>
      <c r="Z29" s="6">
        <f t="shared" si="6"/>
        <v>0</v>
      </c>
      <c r="AA29" s="6">
        <f t="shared" si="1"/>
        <v>7.5201261680322073E-3</v>
      </c>
      <c r="AB29" s="6">
        <f t="shared" si="2"/>
        <v>3.4256386497200829E-2</v>
      </c>
      <c r="AC29" s="6">
        <f>Y29+Z29</f>
        <v>1.0218524381267291E-3</v>
      </c>
      <c r="AD29" s="6">
        <f t="shared" si="7"/>
        <v>4.2703739514923032E-2</v>
      </c>
      <c r="AE29" s="6">
        <f t="shared" si="8"/>
        <v>1.0195931605113404E-3</v>
      </c>
      <c r="AF29" s="6">
        <f t="shared" si="9"/>
        <v>0</v>
      </c>
      <c r="AG29" s="6">
        <f t="shared" si="10"/>
        <v>7.5034994496505593E-3</v>
      </c>
      <c r="AH29" s="6">
        <f t="shared" si="11"/>
        <v>3.4180646904761136E-2</v>
      </c>
      <c r="AI29" s="6">
        <f>AE29+AF29</f>
        <v>1.0195931605113404E-3</v>
      </c>
      <c r="AJ29" s="22">
        <f t="shared" si="38"/>
        <v>8.1188086314636565E-4</v>
      </c>
      <c r="AK29">
        <f t="shared" si="26"/>
        <v>1.7277523300159746E-3</v>
      </c>
      <c r="AL29" s="25">
        <f t="shared" si="27"/>
        <v>8.1188086314636565E-4</v>
      </c>
      <c r="AM29" s="6">
        <f>AK29+AM27</f>
        <v>3.598650807488777E-2</v>
      </c>
      <c r="AN29" s="6">
        <f>AL29+AN27</f>
        <v>1.4071224364345679E-2</v>
      </c>
      <c r="AO29" s="6">
        <f>AJ29+AO27</f>
        <v>1.4185868002125006E-2</v>
      </c>
      <c r="AP29" s="19">
        <f t="shared" si="31"/>
        <v>1.1082147670930009</v>
      </c>
      <c r="AQ29">
        <f>F29*100*T29/100</f>
        <v>2591.7364341085272</v>
      </c>
      <c r="AR29" s="6">
        <f t="shared" si="33"/>
        <v>13.554781550387599</v>
      </c>
      <c r="AS29" s="6">
        <f t="shared" si="34"/>
        <v>1.3283685919379849E-3</v>
      </c>
      <c r="AT29" s="6">
        <f t="shared" si="12"/>
        <v>2586.0062015503868</v>
      </c>
      <c r="AU29" s="6">
        <f t="shared" si="13"/>
        <v>13.524812434108524</v>
      </c>
      <c r="AV29" s="6">
        <f t="shared" si="14"/>
        <v>1.3254316185426353E-3</v>
      </c>
      <c r="AW29" s="6">
        <f t="shared" si="35"/>
        <v>1.0554136769260045E-3</v>
      </c>
      <c r="AX29" s="52">
        <f t="shared" si="36"/>
        <v>1.4033301372323411E-3</v>
      </c>
      <c r="AY29" s="53">
        <f t="shared" si="15"/>
        <v>0.1096296103244838</v>
      </c>
      <c r="AZ29" s="54">
        <f t="shared" si="37"/>
        <v>1.2178443774174847</v>
      </c>
      <c r="BA29" s="23">
        <f t="shared" si="16"/>
        <v>0.92527038072366052</v>
      </c>
    </row>
    <row r="30" spans="1:56" ht="15" customHeight="1" x14ac:dyDescent="0.3">
      <c r="A30" t="s">
        <v>124</v>
      </c>
      <c r="B30">
        <v>1</v>
      </c>
      <c r="C30" s="2">
        <v>45058</v>
      </c>
      <c r="D30" s="11">
        <v>0.4381944444444445</v>
      </c>
      <c r="E30" s="15">
        <v>1015</v>
      </c>
      <c r="F30">
        <v>1118.8</v>
      </c>
      <c r="G30">
        <v>1116.5</v>
      </c>
      <c r="H30">
        <v>0</v>
      </c>
      <c r="I30">
        <v>0.28999999999999998</v>
      </c>
      <c r="J30">
        <v>20.329999999999998</v>
      </c>
      <c r="K30">
        <v>75.39</v>
      </c>
      <c r="L30">
        <v>1</v>
      </c>
      <c r="N30" t="s">
        <v>99</v>
      </c>
      <c r="O30">
        <v>811.05</v>
      </c>
      <c r="P30" s="8">
        <f t="shared" si="4"/>
        <v>45058.438194444447</v>
      </c>
      <c r="Q30" s="9">
        <f t="shared" si="5"/>
        <v>23.79861111111677</v>
      </c>
      <c r="R30">
        <f t="shared" si="17"/>
        <v>96.009999999999991</v>
      </c>
      <c r="S30">
        <f t="shared" si="18"/>
        <v>0</v>
      </c>
      <c r="T30">
        <f t="shared" si="19"/>
        <v>0.30205186959691699</v>
      </c>
      <c r="U30">
        <f t="shared" si="20"/>
        <v>21.174877616914905</v>
      </c>
      <c r="V30">
        <f t="shared" si="21"/>
        <v>78.523070513488179</v>
      </c>
      <c r="W30">
        <f t="shared" si="22"/>
        <v>100</v>
      </c>
      <c r="X30" s="6">
        <f t="shared" si="23"/>
        <v>4.4111295142919296E-2</v>
      </c>
      <c r="Y30" s="6">
        <f t="shared" si="0"/>
        <v>1.3323899168260177E-4</v>
      </c>
      <c r="Z30" s="6">
        <f t="shared" si="6"/>
        <v>0</v>
      </c>
      <c r="AA30" s="6">
        <f t="shared" si="1"/>
        <v>9.3405127617492908E-3</v>
      </c>
      <c r="AB30" s="6">
        <f t="shared" si="2"/>
        <v>3.4637543389487407E-2</v>
      </c>
      <c r="AC30" s="6">
        <f t="shared" ref="AC30:AC31" si="73">Y30+Z30</f>
        <v>1.3323899168260177E-4</v>
      </c>
      <c r="AD30" s="6">
        <f t="shared" si="7"/>
        <v>4.4020612287334102E-2</v>
      </c>
      <c r="AE30" s="6">
        <f t="shared" si="8"/>
        <v>1.3296508242190282E-4</v>
      </c>
      <c r="AF30" s="6">
        <f t="shared" si="9"/>
        <v>0</v>
      </c>
      <c r="AG30" s="6">
        <f t="shared" si="10"/>
        <v>9.3213107780596022E-3</v>
      </c>
      <c r="AH30" s="6">
        <f t="shared" si="11"/>
        <v>3.4566336426852598E-2</v>
      </c>
      <c r="AI30" s="6">
        <f t="shared" ref="AI30:AI31" si="74">AE30+AF30</f>
        <v>1.3296508242190282E-4</v>
      </c>
      <c r="AJ30" s="22"/>
      <c r="AL30" s="25"/>
      <c r="AM30" s="6"/>
      <c r="AN30" s="6"/>
      <c r="AO30" s="6"/>
      <c r="AP30" s="19"/>
      <c r="AQ30">
        <f t="shared" ref="AQ30:AQ32" si="75">F30*100*T30/100</f>
        <v>337.93563170503074</v>
      </c>
      <c r="AR30" s="6">
        <f t="shared" si="33"/>
        <v>1.7674033538173108</v>
      </c>
      <c r="AS30" s="6">
        <f t="shared" si="34"/>
        <v>1.7320552867409648E-4</v>
      </c>
      <c r="AT30" s="6">
        <f t="shared" si="12"/>
        <v>337.24091240495784</v>
      </c>
      <c r="AU30" s="6">
        <f t="shared" si="13"/>
        <v>1.7637699718779296</v>
      </c>
      <c r="AV30" s="6">
        <f t="shared" si="14"/>
        <v>1.7284945724403711E-4</v>
      </c>
      <c r="AW30" s="6">
        <f t="shared" si="35"/>
        <v>-1.1522260898685387E-3</v>
      </c>
      <c r="AX30" s="52">
        <f t="shared" si="36"/>
        <v>2.5110404736380237E-4</v>
      </c>
      <c r="AY30" s="53">
        <f t="shared" si="15"/>
        <v>1.9616509424992597E-2</v>
      </c>
      <c r="AZ30" s="54"/>
      <c r="BA30" s="23">
        <f t="shared" si="16"/>
        <v>0</v>
      </c>
    </row>
    <row r="31" spans="1:56" ht="15" customHeight="1" x14ac:dyDescent="0.3">
      <c r="A31" t="s">
        <v>124</v>
      </c>
      <c r="B31">
        <v>1</v>
      </c>
      <c r="C31" s="2">
        <v>45061</v>
      </c>
      <c r="D31" s="11">
        <v>0.42986111111111108</v>
      </c>
      <c r="E31" s="15">
        <v>1012.8</v>
      </c>
      <c r="F31">
        <v>1084</v>
      </c>
      <c r="G31">
        <v>1080.5999999999999</v>
      </c>
      <c r="H31">
        <v>0</v>
      </c>
      <c r="I31">
        <v>2.87</v>
      </c>
      <c r="J31">
        <v>15.92</v>
      </c>
      <c r="K31">
        <v>79.55</v>
      </c>
      <c r="L31">
        <v>0</v>
      </c>
      <c r="N31" t="s">
        <v>99</v>
      </c>
      <c r="P31" s="3">
        <f t="shared" si="4"/>
        <v>45061.429861111108</v>
      </c>
      <c r="Q31" s="4">
        <f t="shared" si="5"/>
        <v>26.790277777778101</v>
      </c>
      <c r="R31">
        <f t="shared" si="17"/>
        <v>98.34</v>
      </c>
      <c r="S31">
        <f t="shared" si="18"/>
        <v>0</v>
      </c>
      <c r="T31">
        <f t="shared" si="19"/>
        <v>2.9184462070368111</v>
      </c>
      <c r="U31">
        <f t="shared" si="20"/>
        <v>16.188732967256456</v>
      </c>
      <c r="V31">
        <f t="shared" si="21"/>
        <v>80.892820825706735</v>
      </c>
      <c r="W31">
        <f t="shared" si="22"/>
        <v>100</v>
      </c>
      <c r="X31" s="10">
        <f t="shared" si="23"/>
        <v>4.2739224110586803E-2</v>
      </c>
      <c r="Y31" s="10">
        <f t="shared" si="0"/>
        <v>1.2473212649723828E-3</v>
      </c>
      <c r="Z31" s="10">
        <f t="shared" si="6"/>
        <v>0</v>
      </c>
      <c r="AA31" s="10">
        <f t="shared" si="1"/>
        <v>6.9189388635401859E-3</v>
      </c>
      <c r="AB31" s="10">
        <f t="shared" si="2"/>
        <v>3.4572963982074233E-2</v>
      </c>
      <c r="AC31" s="10">
        <f t="shared" si="73"/>
        <v>1.2473212649723828E-3</v>
      </c>
      <c r="AD31" s="10">
        <f t="shared" si="7"/>
        <v>4.2605171193634779E-2</v>
      </c>
      <c r="AE31" s="10">
        <f t="shared" si="8"/>
        <v>1.2434090027021742E-3</v>
      </c>
      <c r="AF31" s="10">
        <f t="shared" si="9"/>
        <v>0</v>
      </c>
      <c r="AG31" s="10">
        <f t="shared" si="10"/>
        <v>6.8972373947800043E-3</v>
      </c>
      <c r="AH31" s="10">
        <f t="shared" si="11"/>
        <v>3.4464524796152606E-2</v>
      </c>
      <c r="AI31" s="10">
        <f t="shared" si="74"/>
        <v>1.2434090027021742E-3</v>
      </c>
      <c r="AJ31" s="22">
        <f t="shared" si="38"/>
        <v>1.1143561825504799E-3</v>
      </c>
      <c r="AK31">
        <f t="shared" si="26"/>
        <v>2.4023719145194163E-3</v>
      </c>
      <c r="AL31" s="25">
        <f t="shared" si="27"/>
        <v>1.1143561825504799E-3</v>
      </c>
      <c r="AM31" s="6">
        <f>AK31+AM29</f>
        <v>3.8388879989407189E-2</v>
      </c>
      <c r="AN31" s="6">
        <f>AL31+AN29</f>
        <v>1.5185580546896159E-2</v>
      </c>
      <c r="AO31" s="6">
        <f>AJ31+AO29</f>
        <v>1.5300224184675486E-2</v>
      </c>
      <c r="AP31" s="19">
        <f t="shared" si="31"/>
        <v>1.1952694314335146</v>
      </c>
      <c r="AQ31" s="7">
        <f t="shared" si="75"/>
        <v>3163.595688427903</v>
      </c>
      <c r="AR31" s="10">
        <f t="shared" si="33"/>
        <v>16.545605450477932</v>
      </c>
      <c r="AS31" s="6">
        <f t="shared" si="34"/>
        <v>1.6214693341468373E-3</v>
      </c>
      <c r="AT31" s="6">
        <f t="shared" si="12"/>
        <v>3153.6729713239779</v>
      </c>
      <c r="AU31" s="6">
        <f t="shared" si="13"/>
        <v>16.493709640024406</v>
      </c>
      <c r="AV31" s="6">
        <f t="shared" si="14"/>
        <v>1.6163835447223919E-3</v>
      </c>
      <c r="AW31" s="6">
        <f t="shared" si="35"/>
        <v>1.4486198769028003E-3</v>
      </c>
      <c r="AX31" s="52">
        <f t="shared" si="36"/>
        <v>1.6997239242666027E-3</v>
      </c>
      <c r="AY31" s="53">
        <f t="shared" si="15"/>
        <v>0.13278420133130714</v>
      </c>
      <c r="AZ31" s="54">
        <f t="shared" si="37"/>
        <v>1.3280536327648218</v>
      </c>
      <c r="BA31" s="23">
        <f t="shared" si="16"/>
        <v>0.93733685324859295</v>
      </c>
    </row>
    <row r="32" spans="1:56" ht="15" customHeight="1" x14ac:dyDescent="0.3">
      <c r="A32" t="s">
        <v>124</v>
      </c>
      <c r="B32">
        <v>1</v>
      </c>
      <c r="C32" s="2">
        <v>45061</v>
      </c>
      <c r="D32" s="11">
        <v>0.4604166666666667</v>
      </c>
      <c r="E32" s="15">
        <v>1012.8</v>
      </c>
      <c r="F32">
        <v>1117.2</v>
      </c>
      <c r="G32">
        <v>1113.8</v>
      </c>
      <c r="H32">
        <v>0</v>
      </c>
      <c r="I32">
        <v>0.45</v>
      </c>
      <c r="J32">
        <v>20.45</v>
      </c>
      <c r="K32">
        <v>76</v>
      </c>
      <c r="L32">
        <v>1</v>
      </c>
      <c r="N32" t="s">
        <v>99</v>
      </c>
      <c r="O32">
        <v>810.95</v>
      </c>
      <c r="P32" s="3">
        <f t="shared" ref="P32:P35" si="76">C32+D32</f>
        <v>45061.460416666669</v>
      </c>
      <c r="Q32" s="4">
        <f t="shared" ref="Q32:Q35" si="77">P32-$P$13</f>
        <v>26.820833333338669</v>
      </c>
      <c r="R32">
        <f t="shared" ref="R32:R35" si="78">SUM(H32:K32)</f>
        <v>96.9</v>
      </c>
      <c r="S32">
        <f t="shared" ref="S32:S35" si="79">H32 * 100/R32</f>
        <v>0</v>
      </c>
      <c r="T32">
        <f t="shared" ref="T32:T35" si="80">I32* 100/R32</f>
        <v>0.46439628482972134</v>
      </c>
      <c r="U32">
        <f t="shared" ref="U32:U35" si="81">J32* 100/R32</f>
        <v>21.104231166150669</v>
      </c>
      <c r="V32">
        <f t="shared" ref="V32:V35" si="82">K32* 100/R32</f>
        <v>78.431372549019599</v>
      </c>
      <c r="W32">
        <f t="shared" ref="W32:W35" si="83">SUM(S32:V32)</f>
        <v>99.999999999999986</v>
      </c>
      <c r="X32" s="10">
        <f t="shared" ref="X32:X35" si="84">F32*100*$D$3/($D$1*$D$2)</f>
        <v>4.4048211417294814E-2</v>
      </c>
      <c r="Y32" s="10">
        <f t="shared" ref="Y32:Y35" si="85">X32*T32/100</f>
        <v>2.0455825735585825E-4</v>
      </c>
      <c r="Z32" s="10">
        <f t="shared" ref="Z32:Z35" si="86">X32*S32/100</f>
        <v>0</v>
      </c>
      <c r="AA32" s="10">
        <f t="shared" ref="AA32:AA35" si="87">X32*U32/100</f>
        <v>9.2960363620606685E-3</v>
      </c>
      <c r="AB32" s="10">
        <f t="shared" ref="AB32:AB35" si="88">X32*V32/100</f>
        <v>3.4547616797878281E-2</v>
      </c>
      <c r="AC32" s="10">
        <f t="shared" ref="AC32:AC35" si="89">Y32+Z32</f>
        <v>2.0455825735585825E-4</v>
      </c>
      <c r="AD32" s="10">
        <f t="shared" ref="AD32:AD35" si="90">G32*100*$D$3/($D$1*$D$2)</f>
        <v>4.391415850034279E-2</v>
      </c>
      <c r="AE32" s="10">
        <f t="shared" ref="AE32:AE35" si="91">AD32*T32/100</f>
        <v>2.0393572058982721E-4</v>
      </c>
      <c r="AF32" s="10">
        <f t="shared" ref="AF32:AF35" si="92">AD32*S32/100</f>
        <v>0</v>
      </c>
      <c r="AG32" s="10">
        <f t="shared" ref="AG32:AG35" si="93">AD32*U32/100</f>
        <v>9.2677455245821459E-3</v>
      </c>
      <c r="AH32" s="10">
        <f t="shared" ref="AH32:AH35" si="94">AD32*V32/100</f>
        <v>3.4442477255170814E-2</v>
      </c>
      <c r="AI32" s="10">
        <f t="shared" ref="AI32:AI35" si="95">AE32+AF32</f>
        <v>2.0393572058982721E-4</v>
      </c>
      <c r="AJ32" s="22"/>
      <c r="AL32" s="25"/>
      <c r="AM32" s="6"/>
      <c r="AN32" s="6"/>
      <c r="AO32" s="6"/>
      <c r="AP32" s="19"/>
      <c r="AQ32">
        <f t="shared" si="75"/>
        <v>518.82352941176464</v>
      </c>
      <c r="AR32" s="6">
        <f t="shared" si="33"/>
        <v>2.7134470588235291</v>
      </c>
      <c r="AS32" s="6">
        <f t="shared" si="34"/>
        <v>2.6591781176470587E-4</v>
      </c>
      <c r="AT32" s="6">
        <f t="shared" si="12"/>
        <v>517.2445820433436</v>
      </c>
      <c r="AU32" s="6">
        <f t="shared" si="13"/>
        <v>2.7051891640866872</v>
      </c>
      <c r="AV32" s="6">
        <f t="shared" si="14"/>
        <v>2.6510853808049532E-4</v>
      </c>
      <c r="AW32" s="6">
        <f t="shared" si="35"/>
        <v>-1.350465732957686E-3</v>
      </c>
      <c r="AX32" s="52">
        <f t="shared" si="36"/>
        <v>3.492581913089167E-4</v>
      </c>
      <c r="AY32" s="53">
        <f t="shared" si="15"/>
        <v>2.7284413268102759E-2</v>
      </c>
      <c r="AZ32" s="54"/>
      <c r="BA32" s="23">
        <f t="shared" si="16"/>
        <v>0</v>
      </c>
    </row>
    <row r="33" spans="1:53" ht="15" customHeight="1" x14ac:dyDescent="0.3">
      <c r="A33" t="s">
        <v>124</v>
      </c>
      <c r="B33">
        <v>1</v>
      </c>
      <c r="C33" s="2">
        <v>45063</v>
      </c>
      <c r="D33" s="11">
        <v>0.3888888888888889</v>
      </c>
      <c r="E33" s="15">
        <v>1025.4000000000001</v>
      </c>
      <c r="F33">
        <v>1095.0999999999999</v>
      </c>
      <c r="G33">
        <v>1092.5</v>
      </c>
      <c r="H33">
        <v>0</v>
      </c>
      <c r="I33">
        <v>2.0499999999999998</v>
      </c>
      <c r="J33">
        <v>17.88</v>
      </c>
      <c r="K33">
        <v>78.709999999999994</v>
      </c>
      <c r="L33">
        <v>0</v>
      </c>
      <c r="N33" t="s">
        <v>99</v>
      </c>
      <c r="P33" s="3">
        <f t="shared" si="76"/>
        <v>45063.388888888891</v>
      </c>
      <c r="Q33" s="4">
        <f t="shared" si="77"/>
        <v>28.749305555560568</v>
      </c>
      <c r="R33">
        <f t="shared" si="78"/>
        <v>98.639999999999986</v>
      </c>
      <c r="S33">
        <f t="shared" si="79"/>
        <v>0</v>
      </c>
      <c r="T33">
        <f t="shared" si="80"/>
        <v>2.0782643957826439</v>
      </c>
      <c r="U33">
        <f t="shared" si="81"/>
        <v>18.126520681265209</v>
      </c>
      <c r="V33">
        <f t="shared" si="82"/>
        <v>79.795214922952155</v>
      </c>
      <c r="W33">
        <f t="shared" si="83"/>
        <v>100</v>
      </c>
      <c r="X33" s="10">
        <f t="shared" si="84"/>
        <v>4.3176867457106652E-2</v>
      </c>
      <c r="Y33" s="10">
        <f t="shared" si="85"/>
        <v>8.973294635753105E-4</v>
      </c>
      <c r="Z33" s="10">
        <f t="shared" si="86"/>
        <v>0</v>
      </c>
      <c r="AA33" s="10">
        <f t="shared" si="87"/>
        <v>7.8264638091349054E-3</v>
      </c>
      <c r="AB33" s="10">
        <f t="shared" si="88"/>
        <v>3.4453074184396443E-2</v>
      </c>
      <c r="AC33" s="10">
        <f t="shared" si="89"/>
        <v>8.973294635753105E-4</v>
      </c>
      <c r="AD33" s="10">
        <f t="shared" si="90"/>
        <v>4.3074356402966869E-2</v>
      </c>
      <c r="AE33" s="10">
        <f t="shared" si="91"/>
        <v>8.9519901283538191E-4</v>
      </c>
      <c r="AF33" s="10">
        <f t="shared" si="92"/>
        <v>0</v>
      </c>
      <c r="AG33" s="10">
        <f t="shared" si="93"/>
        <v>7.8078821217056737E-3</v>
      </c>
      <c r="AH33" s="10">
        <f t="shared" si="94"/>
        <v>3.4371275268425816E-2</v>
      </c>
      <c r="AI33" s="10">
        <f t="shared" si="95"/>
        <v>8.9519901283538191E-4</v>
      </c>
      <c r="AJ33" s="22">
        <f t="shared" si="38"/>
        <v>6.933937429854833E-4</v>
      </c>
      <c r="AK33">
        <f t="shared" si="26"/>
        <v>1.4412817154472405E-3</v>
      </c>
      <c r="AL33" s="25">
        <f t="shared" si="27"/>
        <v>6.933937429854833E-4</v>
      </c>
      <c r="AM33" s="6">
        <f>AK33+AM31</f>
        <v>3.9830161704854428E-2</v>
      </c>
      <c r="AN33" s="6">
        <f>AL33+AN31</f>
        <v>1.5878974289881644E-2</v>
      </c>
      <c r="AO33" s="6">
        <f>AJ33+AO31</f>
        <v>1.5993617927660971E-2</v>
      </c>
      <c r="AP33" s="19">
        <f t="shared" si="31"/>
        <v>1.2494380720321225</v>
      </c>
      <c r="AQ33">
        <f t="shared" ref="AQ33:AQ35" si="96">F33*100*T33/100</f>
        <v>2275.9073398215733</v>
      </c>
      <c r="AR33" s="6">
        <f t="shared" ref="AR33:AR35" si="97">AQ33*$D$7</f>
        <v>11.902995387266829</v>
      </c>
      <c r="AS33" s="6">
        <f t="shared" ref="AS33:AS35" si="98">AR33*$D$5/1000</f>
        <v>1.1664935479521491E-3</v>
      </c>
      <c r="AT33" s="6">
        <f t="shared" ref="AT33:AT35" si="99">G33*100*T33/100</f>
        <v>2270.5038523925382</v>
      </c>
      <c r="AU33" s="6">
        <f t="shared" ref="AU33:AU35" si="100">AT33*$D$7</f>
        <v>11.874735148012975</v>
      </c>
      <c r="AV33" s="6">
        <f t="shared" ref="AV33:AV35" si="101">AU33*$D$5/1000</f>
        <v>1.1637240445052717E-3</v>
      </c>
      <c r="AW33" s="6">
        <f t="shared" ref="AW33:AW35" si="102">AS33-AV32</f>
        <v>9.0138500987165383E-4</v>
      </c>
      <c r="AX33" s="52">
        <f t="shared" ref="AX33:AX35" si="103">AW33+AX32</f>
        <v>1.2506432011805705E-3</v>
      </c>
      <c r="AY33" s="53">
        <f t="shared" ref="AY33:AY35" si="104">(AX33*$D$4*1000/$D$6)</f>
        <v>9.7701548026892307E-2</v>
      </c>
      <c r="AZ33" s="54">
        <f t="shared" si="37"/>
        <v>1.3471396200590149</v>
      </c>
      <c r="BA33" s="23">
        <f t="shared" ref="BA33:BA35" si="105">AK33/(AL33+AW33)</f>
        <v>0.90375026182478424</v>
      </c>
    </row>
    <row r="34" spans="1:53" ht="15" customHeight="1" x14ac:dyDescent="0.3">
      <c r="A34" t="s">
        <v>124</v>
      </c>
      <c r="B34">
        <v>1</v>
      </c>
      <c r="C34" s="2">
        <v>45068</v>
      </c>
      <c r="D34" s="11">
        <v>0.6118055555555556</v>
      </c>
      <c r="E34" s="15">
        <v>1049.5</v>
      </c>
      <c r="F34">
        <v>1048</v>
      </c>
      <c r="G34">
        <v>1046.2</v>
      </c>
      <c r="H34">
        <v>0.08</v>
      </c>
      <c r="I34">
        <v>6.07</v>
      </c>
      <c r="J34">
        <v>10.46</v>
      </c>
      <c r="K34">
        <v>82.46</v>
      </c>
      <c r="L34">
        <v>0</v>
      </c>
      <c r="N34" t="s">
        <v>99</v>
      </c>
      <c r="P34" s="3">
        <f t="shared" si="76"/>
        <v>45068.611805555556</v>
      </c>
      <c r="Q34" s="4">
        <f t="shared" si="77"/>
        <v>33.972222222226264</v>
      </c>
      <c r="R34">
        <f t="shared" si="78"/>
        <v>99.07</v>
      </c>
      <c r="S34">
        <f t="shared" si="79"/>
        <v>8.0750984152619359E-2</v>
      </c>
      <c r="T34">
        <f t="shared" si="80"/>
        <v>6.1269809225799943</v>
      </c>
      <c r="U34">
        <f t="shared" si="81"/>
        <v>10.558191177954981</v>
      </c>
      <c r="V34">
        <f t="shared" si="82"/>
        <v>83.234076915312414</v>
      </c>
      <c r="W34">
        <f t="shared" si="83"/>
        <v>100</v>
      </c>
      <c r="X34" s="10">
        <f t="shared" si="84"/>
        <v>4.1319840284035958E-2</v>
      </c>
      <c r="Y34" s="10">
        <f t="shared" si="85"/>
        <v>2.5316587314434063E-3</v>
      </c>
      <c r="Z34" s="10">
        <f t="shared" si="86"/>
        <v>3.3366177679649509E-5</v>
      </c>
      <c r="AA34" s="10">
        <f t="shared" si="87"/>
        <v>4.3626277316141729E-3</v>
      </c>
      <c r="AB34" s="10">
        <f t="shared" si="88"/>
        <v>3.4392187643298738E-2</v>
      </c>
      <c r="AC34" s="10">
        <f t="shared" si="89"/>
        <v>2.5650249091230559E-3</v>
      </c>
      <c r="AD34" s="10">
        <f t="shared" si="90"/>
        <v>4.124887109270841E-2</v>
      </c>
      <c r="AE34" s="10">
        <f t="shared" si="91"/>
        <v>2.5273104626298581E-3</v>
      </c>
      <c r="AF34" s="10">
        <f t="shared" si="92"/>
        <v>3.3308869359207358E-5</v>
      </c>
      <c r="AG34" s="10">
        <f t="shared" si="93"/>
        <v>4.3551346687163619E-3</v>
      </c>
      <c r="AH34" s="10">
        <f t="shared" si="94"/>
        <v>3.4333117092002985E-2</v>
      </c>
      <c r="AI34" s="10">
        <f t="shared" si="95"/>
        <v>2.5606193319890657E-3</v>
      </c>
      <c r="AJ34" s="22">
        <f t="shared" si="38"/>
        <v>1.6698258962876741E-3</v>
      </c>
      <c r="AK34">
        <f t="shared" si="26"/>
        <v>3.4452543900915008E-3</v>
      </c>
      <c r="AL34" s="25">
        <f t="shared" si="27"/>
        <v>1.6364597186080245E-3</v>
      </c>
      <c r="AM34" s="6">
        <f t="shared" si="28"/>
        <v>4.327541609494593E-2</v>
      </c>
      <c r="AN34" s="6">
        <f t="shared" si="29"/>
        <v>1.7515434008489667E-2</v>
      </c>
      <c r="AO34" s="6">
        <f t="shared" si="30"/>
        <v>1.7663443823948646E-2</v>
      </c>
      <c r="AP34" s="19">
        <f t="shared" si="31"/>
        <v>1.3798866083122505</v>
      </c>
      <c r="AQ34">
        <f t="shared" si="96"/>
        <v>6421.0760068638347</v>
      </c>
      <c r="AR34" s="6">
        <f t="shared" si="97"/>
        <v>33.582227515897856</v>
      </c>
      <c r="AS34" s="6">
        <f t="shared" si="98"/>
        <v>3.2910582965579899E-3</v>
      </c>
      <c r="AT34" s="6">
        <f t="shared" si="99"/>
        <v>6410.0474412031899</v>
      </c>
      <c r="AU34" s="6">
        <f t="shared" si="100"/>
        <v>33.524548117492685</v>
      </c>
      <c r="AV34" s="6">
        <f t="shared" si="101"/>
        <v>3.2854057155142832E-3</v>
      </c>
      <c r="AW34" s="6">
        <f t="shared" si="102"/>
        <v>2.1273342520527179E-3</v>
      </c>
      <c r="AX34" s="52">
        <f t="shared" si="103"/>
        <v>3.3779774532332885E-3</v>
      </c>
      <c r="AY34" s="53">
        <f t="shared" si="104"/>
        <v>0.26389111304430346</v>
      </c>
      <c r="AZ34" s="54">
        <f t="shared" si="37"/>
        <v>1.6437777213565541</v>
      </c>
      <c r="BA34" s="23">
        <f t="shared" si="105"/>
        <v>0.91536742365488155</v>
      </c>
    </row>
    <row r="35" spans="1:53" ht="15" customHeight="1" x14ac:dyDescent="0.3">
      <c r="A35" t="s">
        <v>124</v>
      </c>
      <c r="B35">
        <v>1</v>
      </c>
      <c r="C35" s="2">
        <v>45068</v>
      </c>
      <c r="D35" s="11">
        <v>0.64861111111111114</v>
      </c>
      <c r="E35" s="15">
        <v>1013.5</v>
      </c>
      <c r="F35">
        <v>1021</v>
      </c>
      <c r="G35">
        <v>1117.7</v>
      </c>
      <c r="H35">
        <v>0</v>
      </c>
      <c r="I35">
        <v>0.76</v>
      </c>
      <c r="J35">
        <v>20.25</v>
      </c>
      <c r="K35">
        <v>75.34</v>
      </c>
      <c r="L35">
        <v>1</v>
      </c>
      <c r="N35" t="s">
        <v>99</v>
      </c>
      <c r="O35">
        <v>810.87</v>
      </c>
      <c r="P35" s="3">
        <f t="shared" si="76"/>
        <v>45068.648611111108</v>
      </c>
      <c r="Q35" s="4">
        <f t="shared" si="77"/>
        <v>34.009027777778101</v>
      </c>
      <c r="R35">
        <f t="shared" si="78"/>
        <v>96.350000000000009</v>
      </c>
      <c r="S35">
        <f t="shared" si="79"/>
        <v>0</v>
      </c>
      <c r="T35">
        <f t="shared" si="80"/>
        <v>0.78879086663207054</v>
      </c>
      <c r="U35">
        <f t="shared" si="81"/>
        <v>21.017125064867667</v>
      </c>
      <c r="V35">
        <f t="shared" si="82"/>
        <v>78.194084068500246</v>
      </c>
      <c r="W35">
        <f t="shared" si="83"/>
        <v>99.999999999999986</v>
      </c>
      <c r="X35" s="10">
        <f t="shared" si="84"/>
        <v>4.0255302414122812E-2</v>
      </c>
      <c r="Y35" s="10">
        <f t="shared" si="85"/>
        <v>3.1753014877772018E-4</v>
      </c>
      <c r="Z35" s="10">
        <f t="shared" si="86"/>
        <v>0</v>
      </c>
      <c r="AA35" s="10">
        <f t="shared" si="87"/>
        <v>8.4605072536168852E-3</v>
      </c>
      <c r="AB35" s="10">
        <f t="shared" si="88"/>
        <v>3.1477265011728199E-2</v>
      </c>
      <c r="AC35" s="10">
        <f t="shared" si="89"/>
        <v>3.1753014877772018E-4</v>
      </c>
      <c r="AD35" s="10">
        <f t="shared" si="90"/>
        <v>4.4067925081552467E-2</v>
      </c>
      <c r="AE35" s="10">
        <f t="shared" si="91"/>
        <v>3.4760376815754933E-4</v>
      </c>
      <c r="AF35" s="10">
        <f t="shared" si="92"/>
        <v>0</v>
      </c>
      <c r="AG35" s="10">
        <f t="shared" si="93"/>
        <v>9.2618109278820686E-3</v>
      </c>
      <c r="AH35" s="10">
        <f t="shared" si="94"/>
        <v>3.4458510385512842E-2</v>
      </c>
      <c r="AI35" s="10">
        <f t="shared" si="95"/>
        <v>3.4760376815754933E-4</v>
      </c>
      <c r="AJ35" s="22"/>
      <c r="AL35" s="25"/>
      <c r="AM35" s="6"/>
      <c r="AN35" s="6"/>
      <c r="AO35" s="6"/>
      <c r="AP35" s="19"/>
      <c r="AQ35">
        <f t="shared" si="96"/>
        <v>805.35547483134405</v>
      </c>
      <c r="AR35" s="6">
        <f t="shared" si="97"/>
        <v>4.2120091333679293</v>
      </c>
      <c r="AS35" s="6">
        <f t="shared" si="98"/>
        <v>4.1277689507005709E-4</v>
      </c>
      <c r="AT35" s="6">
        <f t="shared" si="99"/>
        <v>881.63155163466524</v>
      </c>
      <c r="AU35" s="6">
        <f t="shared" si="100"/>
        <v>4.6109330150492998</v>
      </c>
      <c r="AV35" s="6">
        <f t="shared" si="101"/>
        <v>4.5187143547483139E-4</v>
      </c>
      <c r="AW35" s="6">
        <f t="shared" si="102"/>
        <v>-2.8726288204442259E-3</v>
      </c>
      <c r="AX35" s="52">
        <f t="shared" si="103"/>
        <v>5.0534863278906255E-4</v>
      </c>
      <c r="AY35" s="53">
        <f t="shared" si="104"/>
        <v>3.9478360950715573E-2</v>
      </c>
      <c r="AZ35" s="54"/>
      <c r="BA35" s="23">
        <f t="shared" si="105"/>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5">
    <cfRule type="expression" dxfId="11" priority="1">
      <formula>$L13=0</formula>
    </cfRule>
    <cfRule type="expression" dxfId="10" priority="2">
      <formula>$L13=1</formula>
    </cfRule>
  </conditionalFormatting>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519CC-81B1-42C2-908E-6741A1F10D9F}">
  <dimension ref="A1:BD37"/>
  <sheetViews>
    <sheetView topLeftCell="AJ11" zoomScale="115" zoomScaleNormal="115" workbookViewId="0">
      <selection activeCell="AW23" sqref="AW23"/>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124</v>
      </c>
      <c r="B13">
        <v>2</v>
      </c>
      <c r="C13" s="2">
        <v>45034</v>
      </c>
      <c r="D13" s="11">
        <v>0.63958333333333328</v>
      </c>
      <c r="E13" s="15">
        <v>1025.3</v>
      </c>
      <c r="F13">
        <f>SUM(F14:F37)/(36-14)</f>
        <v>1192.9640495867768</v>
      </c>
      <c r="M13" t="s">
        <v>4</v>
      </c>
      <c r="N13" t="s">
        <v>99</v>
      </c>
      <c r="O13">
        <v>800.98</v>
      </c>
      <c r="P13" s="3">
        <f>C13+D13</f>
        <v>45034.63958333333</v>
      </c>
      <c r="Q13" s="4">
        <f>P13-$P$13</f>
        <v>0</v>
      </c>
      <c r="S13">
        <v>0</v>
      </c>
      <c r="T13">
        <v>0.03</v>
      </c>
      <c r="U13">
        <v>21.9</v>
      </c>
      <c r="V13">
        <v>78.069999999999993</v>
      </c>
      <c r="W13">
        <f>SUM(S13:V13)</f>
        <v>100</v>
      </c>
      <c r="X13" s="6">
        <f>F13*100*$D$3/($D$1*$D$2)</f>
        <v>4.703538549000226E-2</v>
      </c>
      <c r="Y13" s="6">
        <f t="shared" ref="Y13:Y35" si="0">X13*T13/100</f>
        <v>1.4110615647000677E-5</v>
      </c>
      <c r="Z13" s="6">
        <f>X13*S13/100</f>
        <v>0</v>
      </c>
      <c r="AA13" s="6">
        <f t="shared" ref="AA13:AA35" si="1">X13*U13/100</f>
        <v>1.0300749422310494E-2</v>
      </c>
      <c r="AB13" s="6">
        <f t="shared" ref="AB13:AB35" si="2">X13*V13/100</f>
        <v>3.672052545204476E-2</v>
      </c>
      <c r="AC13" s="6">
        <f>Y13+Z13</f>
        <v>1.4110615647000677E-5</v>
      </c>
      <c r="AD13" s="6">
        <f>X13</f>
        <v>4.703538549000226E-2</v>
      </c>
      <c r="AE13" s="6">
        <f>Y13</f>
        <v>1.4110615647000677E-5</v>
      </c>
      <c r="AF13" s="6">
        <f t="shared" ref="AF13:AI13" si="3">Z13</f>
        <v>0</v>
      </c>
      <c r="AG13" s="6">
        <f t="shared" si="3"/>
        <v>1.0300749422310494E-2</v>
      </c>
      <c r="AH13" s="6">
        <f t="shared" si="3"/>
        <v>3.672052545204476E-2</v>
      </c>
      <c r="AI13" s="6">
        <f t="shared" si="3"/>
        <v>1.4110615647000677E-5</v>
      </c>
      <c r="AJ13" s="22">
        <f>AC13-AI13</f>
        <v>0</v>
      </c>
      <c r="AK13" s="6">
        <f>AA13-AG13</f>
        <v>0</v>
      </c>
      <c r="AL13" s="23">
        <f>Y13-AE13</f>
        <v>0</v>
      </c>
      <c r="AM13" s="6">
        <f>AK13</f>
        <v>0</v>
      </c>
      <c r="AN13" s="6">
        <f>AL13</f>
        <v>0</v>
      </c>
      <c r="AO13" s="6">
        <f>AJ13</f>
        <v>0</v>
      </c>
      <c r="AP13" s="19">
        <f>AO13*$D$4*1000/$D$6</f>
        <v>0</v>
      </c>
      <c r="AQ13">
        <f>F13*100*T13/100</f>
        <v>35.788921487603304</v>
      </c>
      <c r="AR13" s="6">
        <f>AQ13*$D$7</f>
        <v>0.18717605938016529</v>
      </c>
      <c r="AS13" s="6">
        <f>AR13*$D$5/1000</f>
        <v>1.8343253819256198E-5</v>
      </c>
      <c r="AT13" s="6">
        <f>G13*100*T13/100</f>
        <v>0</v>
      </c>
      <c r="AU13" s="6">
        <f>AT13*$D$7</f>
        <v>0</v>
      </c>
      <c r="AV13" s="6">
        <f>AU13*$D$5/1000</f>
        <v>0</v>
      </c>
      <c r="AW13" s="6">
        <f>AS13-AV13</f>
        <v>1.8343253819256198E-5</v>
      </c>
      <c r="AX13" s="52">
        <f>AW13</f>
        <v>1.8343253819256198E-5</v>
      </c>
      <c r="AY13" s="53">
        <f>(AX13*$D$4*1000/$D$6)</f>
        <v>1.4329940724099285E-3</v>
      </c>
      <c r="AZ13" s="54">
        <f>AP13</f>
        <v>0</v>
      </c>
      <c r="BA13" s="23">
        <v>0</v>
      </c>
    </row>
    <row r="14" spans="1:56" ht="14.4" x14ac:dyDescent="0.3">
      <c r="A14" t="s">
        <v>124</v>
      </c>
      <c r="B14">
        <v>2</v>
      </c>
      <c r="C14" s="2">
        <v>45035</v>
      </c>
      <c r="D14" s="11">
        <v>0.66527777777777775</v>
      </c>
      <c r="E14" s="15">
        <v>1022.4</v>
      </c>
      <c r="F14">
        <v>1021.8</v>
      </c>
      <c r="G14">
        <v>1020.4</v>
      </c>
      <c r="H14">
        <v>0.24</v>
      </c>
      <c r="I14">
        <v>3.63</v>
      </c>
      <c r="J14">
        <v>9.9700000000000006</v>
      </c>
      <c r="K14">
        <v>85.28</v>
      </c>
      <c r="L14">
        <v>0</v>
      </c>
      <c r="N14" t="s">
        <v>99</v>
      </c>
      <c r="P14" s="3">
        <f t="shared" ref="P14:P35" si="4">C14+D14</f>
        <v>45035.665277777778</v>
      </c>
      <c r="Q14" s="4">
        <f t="shared" ref="Q14:Q35" si="5">P14-$P$13</f>
        <v>1.0256944444481633</v>
      </c>
      <c r="R14">
        <f>SUM(H14:K14)</f>
        <v>99.12</v>
      </c>
      <c r="S14">
        <f>H14 * 100/R14</f>
        <v>0.24213075060532688</v>
      </c>
      <c r="T14">
        <f>I14* 100/R14</f>
        <v>3.6622276029055687</v>
      </c>
      <c r="U14">
        <f>J14* 100/R14</f>
        <v>10.058514931396289</v>
      </c>
      <c r="V14">
        <f>K14* 100/R14</f>
        <v>86.037126715092811</v>
      </c>
      <c r="W14">
        <f>SUM(S14:V14)</f>
        <v>100</v>
      </c>
      <c r="X14" s="6">
        <f>F14*100*$D$3/($D$1*$D$2)</f>
        <v>4.0286844276935053E-2</v>
      </c>
      <c r="Y14" s="6">
        <f t="shared" si="0"/>
        <v>1.475395931449498E-3</v>
      </c>
      <c r="Z14" s="6">
        <f t="shared" ref="Z14:Z35" si="6">X14*S14/100</f>
        <v>9.7546838442942019E-5</v>
      </c>
      <c r="AA14" s="6">
        <f t="shared" si="1"/>
        <v>4.0522582469838834E-3</v>
      </c>
      <c r="AB14" s="6">
        <f t="shared" si="2"/>
        <v>3.466164326005873E-2</v>
      </c>
      <c r="AC14" s="6">
        <f>Y14+Z14</f>
        <v>1.5729427698924401E-3</v>
      </c>
      <c r="AD14" s="6">
        <f t="shared" ref="AD14:AD35" si="7">G14*100*$D$3/($D$1*$D$2)</f>
        <v>4.0231646017013636E-2</v>
      </c>
      <c r="AE14" s="6">
        <f t="shared" ref="AE14:AE35" si="8">AD14*T14/100</f>
        <v>1.4733744455383321E-3</v>
      </c>
      <c r="AF14" s="6">
        <f t="shared" ref="AF14:AF35" si="9">AD14*S14/100</f>
        <v>9.7413186481873221E-5</v>
      </c>
      <c r="AG14" s="6">
        <f t="shared" ref="AG14:AG35" si="10">AD14*U14/100</f>
        <v>4.0467061217678169E-3</v>
      </c>
      <c r="AH14" s="6">
        <f t="shared" ref="AH14:AH35" si="11">AD14*V14/100</f>
        <v>3.461415226322561E-2</v>
      </c>
      <c r="AI14" s="6">
        <f>AE14+AF14</f>
        <v>1.5707876320202054E-3</v>
      </c>
      <c r="AJ14" s="22">
        <f>AC14-AI13</f>
        <v>1.5588321542454394E-3</v>
      </c>
      <c r="AK14">
        <f>(AA14-AG13)*-1</f>
        <v>6.2484911753266101E-3</v>
      </c>
      <c r="AL14" s="25">
        <f>Y14-AE13</f>
        <v>1.4612853158024973E-3</v>
      </c>
      <c r="AM14" s="6">
        <f>AK14+AM13</f>
        <v>6.2484911753266101E-3</v>
      </c>
      <c r="AN14" s="6">
        <f>AL14+AN13</f>
        <v>1.4612853158024973E-3</v>
      </c>
      <c r="AO14" s="6">
        <f>AJ14+AO13</f>
        <v>1.5588321542454394E-3</v>
      </c>
      <c r="AP14" s="19">
        <f>AO14*$D$4*1000/$D$6</f>
        <v>0.12177758967554278</v>
      </c>
      <c r="AQ14">
        <f>F14*100*T14/100</f>
        <v>3742.0641646489098</v>
      </c>
      <c r="AR14" s="6">
        <f>AQ14*$D$7</f>
        <v>19.570995581113799</v>
      </c>
      <c r="AS14" s="6">
        <f>AR14*$D$5/1000</f>
        <v>1.9179575669491524E-3</v>
      </c>
      <c r="AT14" s="6">
        <f t="shared" ref="AT14:AT35" si="12">G14*100*T14/100</f>
        <v>3736.9370460048422</v>
      </c>
      <c r="AU14" s="6">
        <f t="shared" ref="AU14:AU35" si="13">AT14*$D$7</f>
        <v>19.544180750605324</v>
      </c>
      <c r="AV14" s="6">
        <f t="shared" ref="AV14:AV35" si="14">AU14*$D$5/1000</f>
        <v>1.915329713559322E-3</v>
      </c>
      <c r="AW14" s="6">
        <f>AS14-AV13</f>
        <v>1.9179575669491524E-3</v>
      </c>
      <c r="AX14" s="52">
        <f>AW14+AX13</f>
        <v>1.9363008207684087E-3</v>
      </c>
      <c r="AY14" s="53">
        <f t="shared" ref="AY14:AY35" si="15">(AX14*$D$4*1000/$D$6)</f>
        <v>0.15126583461712798</v>
      </c>
      <c r="AZ14" s="54">
        <f>AY14+AP14</f>
        <v>0.27304342429267076</v>
      </c>
      <c r="BA14" s="23">
        <f t="shared" ref="BA14:BA35" si="16">AK14/(AL14+AW14)</f>
        <v>1.8490802206672368</v>
      </c>
    </row>
    <row r="15" spans="1:56" ht="14.4" x14ac:dyDescent="0.3">
      <c r="A15" t="s">
        <v>124</v>
      </c>
      <c r="B15">
        <v>2</v>
      </c>
      <c r="C15" s="2">
        <v>45035</v>
      </c>
      <c r="D15" s="11">
        <v>0.73819444444444438</v>
      </c>
      <c r="E15" s="15">
        <v>1021.4</v>
      </c>
      <c r="F15">
        <v>1132.4000000000001</v>
      </c>
      <c r="G15">
        <v>1128.5</v>
      </c>
      <c r="H15">
        <v>0</v>
      </c>
      <c r="I15">
        <v>0.56000000000000005</v>
      </c>
      <c r="J15">
        <v>20.46</v>
      </c>
      <c r="K15">
        <v>76.5</v>
      </c>
      <c r="L15">
        <v>1</v>
      </c>
      <c r="M15" t="s">
        <v>122</v>
      </c>
      <c r="N15" t="s">
        <v>99</v>
      </c>
      <c r="O15">
        <v>800.95</v>
      </c>
      <c r="P15" s="3">
        <f t="shared" si="4"/>
        <v>45035.738194444442</v>
      </c>
      <c r="Q15" s="4">
        <f t="shared" si="5"/>
        <v>1.0986111111124046</v>
      </c>
      <c r="R15">
        <f t="shared" ref="R15:R35" si="17">SUM(H15:K15)</f>
        <v>97.52</v>
      </c>
      <c r="S15">
        <f t="shared" ref="S15:S35" si="18">H15 * 100/R15</f>
        <v>0</v>
      </c>
      <c r="T15">
        <f t="shared" ref="T15:T35" si="19">I15* 100/R15</f>
        <v>0.57424118129614443</v>
      </c>
      <c r="U15">
        <f t="shared" ref="U15:U35" si="20">J15* 100/R15</f>
        <v>20.980311730926989</v>
      </c>
      <c r="V15">
        <f t="shared" ref="V15:V35" si="21">K15* 100/R15</f>
        <v>78.44544708777687</v>
      </c>
      <c r="W15">
        <f t="shared" ref="W15:W35" si="22">SUM(S15:V15)</f>
        <v>100</v>
      </c>
      <c r="X15" s="6">
        <f t="shared" ref="X15:X35" si="23">F15*100*$D$3/($D$1*$D$2)</f>
        <v>4.4647506810727405E-2</v>
      </c>
      <c r="Y15" s="6">
        <f t="shared" si="0"/>
        <v>2.5638437052919756E-4</v>
      </c>
      <c r="Z15" s="6">
        <f t="shared" si="6"/>
        <v>0</v>
      </c>
      <c r="AA15" s="6">
        <f t="shared" si="1"/>
        <v>9.3671861089774672E-3</v>
      </c>
      <c r="AB15" s="6">
        <f t="shared" si="2"/>
        <v>3.5023936331220737E-2</v>
      </c>
      <c r="AC15" s="6">
        <f t="shared" ref="AC15:AC28" si="24">Y15+Z15</f>
        <v>2.5638437052919756E-4</v>
      </c>
      <c r="AD15" s="6">
        <f t="shared" si="7"/>
        <v>4.4493740229517721E-2</v>
      </c>
      <c r="AE15" s="6">
        <f t="shared" si="8"/>
        <v>2.5550137949682041E-4</v>
      </c>
      <c r="AF15" s="6">
        <f t="shared" si="9"/>
        <v>0</v>
      </c>
      <c r="AG15" s="6">
        <f t="shared" si="10"/>
        <v>9.3349254009016877E-3</v>
      </c>
      <c r="AH15" s="6">
        <f t="shared" si="11"/>
        <v>3.4903313449119212E-2</v>
      </c>
      <c r="AI15" s="6">
        <f t="shared" ref="AI15:AI28" si="25">AE15+AF15</f>
        <v>2.5550137949682041E-4</v>
      </c>
      <c r="AJ15" s="22"/>
      <c r="AL15" s="25"/>
      <c r="AM15" s="6"/>
      <c r="AN15" s="6"/>
      <c r="AO15" s="6"/>
      <c r="AP15" s="19"/>
      <c r="AQ15">
        <f t="shared" ref="AQ15:AQ28" si="26">F15*100*T15/100</f>
        <v>650.27071369975408</v>
      </c>
      <c r="AR15" s="6">
        <f t="shared" ref="AR15:AR35" si="27">AQ15*$D$7</f>
        <v>3.400915832649714</v>
      </c>
      <c r="AS15" s="6">
        <f t="shared" ref="AS15:AS35" si="28">AR15*$D$5/1000</f>
        <v>3.33289751599672E-4</v>
      </c>
      <c r="AT15" s="6">
        <f t="shared" si="12"/>
        <v>648.03117309269896</v>
      </c>
      <c r="AU15" s="6">
        <f t="shared" si="13"/>
        <v>3.3892030352748157</v>
      </c>
      <c r="AV15" s="6">
        <f t="shared" si="14"/>
        <v>3.3214189745693195E-4</v>
      </c>
      <c r="AW15" s="6">
        <f t="shared" ref="AW15:AW35" si="29">AS15-AV14</f>
        <v>-1.5820399619596499E-3</v>
      </c>
      <c r="AX15" s="52">
        <f t="shared" ref="AX15:AX35" si="30">AW15+AX14</f>
        <v>3.5426085880875882E-4</v>
      </c>
      <c r="AY15" s="53">
        <f t="shared" si="15"/>
        <v>2.7675226857891606E-2</v>
      </c>
      <c r="AZ15" s="54"/>
      <c r="BA15" s="23">
        <f t="shared" si="16"/>
        <v>0</v>
      </c>
    </row>
    <row r="16" spans="1:56" s="7" customFormat="1" ht="14.4" x14ac:dyDescent="0.3">
      <c r="A16" t="s">
        <v>124</v>
      </c>
      <c r="B16">
        <v>2</v>
      </c>
      <c r="C16" s="2">
        <v>45040</v>
      </c>
      <c r="D16" s="11">
        <v>0.46458333333333335</v>
      </c>
      <c r="E16" s="15">
        <v>1003.3</v>
      </c>
      <c r="F16">
        <v>998.9</v>
      </c>
      <c r="G16">
        <v>995.8</v>
      </c>
      <c r="H16">
        <v>7.0000000000000007E-2</v>
      </c>
      <c r="I16">
        <v>9.31</v>
      </c>
      <c r="J16">
        <v>2.3199999999999998</v>
      </c>
      <c r="K16">
        <v>88.37</v>
      </c>
      <c r="L16">
        <v>0</v>
      </c>
      <c r="M16"/>
      <c r="N16" t="s">
        <v>99</v>
      </c>
      <c r="O16"/>
      <c r="P16" s="8">
        <f t="shared" si="4"/>
        <v>45040.464583333334</v>
      </c>
      <c r="Q16" s="9">
        <f t="shared" si="5"/>
        <v>5.8250000000043656</v>
      </c>
      <c r="R16">
        <f t="shared" si="17"/>
        <v>100.07000000000001</v>
      </c>
      <c r="S16">
        <f t="shared" si="18"/>
        <v>6.9951034276006796E-2</v>
      </c>
      <c r="T16">
        <f t="shared" si="19"/>
        <v>9.3034875587089036</v>
      </c>
      <c r="U16">
        <f t="shared" si="20"/>
        <v>2.3183771360047962</v>
      </c>
      <c r="V16">
        <f t="shared" si="21"/>
        <v>88.30818427101029</v>
      </c>
      <c r="W16">
        <f t="shared" si="22"/>
        <v>100</v>
      </c>
      <c r="X16" s="10">
        <f t="shared" si="23"/>
        <v>3.938395845393465E-2</v>
      </c>
      <c r="Y16" s="10">
        <f t="shared" si="0"/>
        <v>3.6640816748888939E-3</v>
      </c>
      <c r="Z16" s="10">
        <f t="shared" si="6"/>
        <v>2.7549486277360105E-5</v>
      </c>
      <c r="AA16" s="10">
        <f t="shared" si="1"/>
        <v>9.13068688049649E-4</v>
      </c>
      <c r="AB16" s="10">
        <f t="shared" si="2"/>
        <v>3.4779258604718748E-2</v>
      </c>
      <c r="AC16" s="10">
        <f t="shared" si="24"/>
        <v>3.6916311611662539E-3</v>
      </c>
      <c r="AD16" s="10">
        <f t="shared" si="7"/>
        <v>3.9261733735537215E-2</v>
      </c>
      <c r="AE16" s="10">
        <f t="shared" si="8"/>
        <v>3.6527105134191214E-3</v>
      </c>
      <c r="AF16" s="10">
        <f t="shared" si="9"/>
        <v>2.7463988822700158E-5</v>
      </c>
      <c r="AG16" s="10">
        <f t="shared" si="10"/>
        <v>9.1023505812377653E-4</v>
      </c>
      <c r="AH16" s="10">
        <f t="shared" si="11"/>
        <v>3.4671324175171617E-2</v>
      </c>
      <c r="AI16" s="10">
        <f t="shared" si="25"/>
        <v>3.6801745022418215E-3</v>
      </c>
      <c r="AJ16" s="22">
        <f t="shared" ref="AJ16:AJ32" si="31">AC16-AI15</f>
        <v>3.4361297816694336E-3</v>
      </c>
      <c r="AK16">
        <f t="shared" ref="AK16:AK32" si="32">(AA16-AG15)*-1</f>
        <v>8.4218567128520379E-3</v>
      </c>
      <c r="AL16" s="25">
        <f t="shared" ref="AL16:AL32" si="33">Y16-AE15</f>
        <v>3.4085802953920737E-3</v>
      </c>
      <c r="AM16" s="6">
        <f>AK16+AM14</f>
        <v>1.4670347888178649E-2</v>
      </c>
      <c r="AN16" s="6">
        <f>AL16+AN14</f>
        <v>4.8698656111945708E-3</v>
      </c>
      <c r="AO16" s="6">
        <f>AJ16+AO14</f>
        <v>4.9949619359148725E-3</v>
      </c>
      <c r="AP16" s="19">
        <f t="shared" ref="AP16:AP32" si="34">AO16*$D$4*1000/$D$6</f>
        <v>0.3902116231180992</v>
      </c>
      <c r="AQ16" s="7">
        <f t="shared" si="26"/>
        <v>9293.2537223943236</v>
      </c>
      <c r="AR16" s="10">
        <f t="shared" si="27"/>
        <v>48.603716968122313</v>
      </c>
      <c r="AS16" s="6">
        <f t="shared" si="28"/>
        <v>4.7631642628759869E-3</v>
      </c>
      <c r="AT16" s="6">
        <f t="shared" si="12"/>
        <v>9264.4129109623264</v>
      </c>
      <c r="AU16" s="6">
        <f t="shared" si="13"/>
        <v>48.452879524332971</v>
      </c>
      <c r="AV16" s="6">
        <f t="shared" si="14"/>
        <v>4.748382193384631E-3</v>
      </c>
      <c r="AW16" s="6">
        <f t="shared" si="29"/>
        <v>4.431022365419055E-3</v>
      </c>
      <c r="AX16" s="52">
        <f t="shared" si="30"/>
        <v>4.7852832242278138E-3</v>
      </c>
      <c r="AY16" s="53">
        <f t="shared" si="15"/>
        <v>0.37383130401447956</v>
      </c>
      <c r="AZ16" s="54">
        <f t="shared" ref="AZ16:AZ36" si="35">AY16+AP16</f>
        <v>0.76404292713257882</v>
      </c>
      <c r="BA16" s="23">
        <f t="shared" si="16"/>
        <v>1.0742708625976034</v>
      </c>
      <c r="BB16"/>
      <c r="BC16"/>
      <c r="BD16"/>
    </row>
    <row r="17" spans="1:56" ht="14.4" x14ac:dyDescent="0.3">
      <c r="A17" t="s">
        <v>124</v>
      </c>
      <c r="B17">
        <v>2</v>
      </c>
      <c r="C17" s="2">
        <v>45040</v>
      </c>
      <c r="D17" s="11">
        <v>0.51458333333333328</v>
      </c>
      <c r="E17" s="15">
        <v>1004.1</v>
      </c>
      <c r="F17">
        <v>1107.2</v>
      </c>
      <c r="G17">
        <v>1104.2</v>
      </c>
      <c r="H17">
        <v>0</v>
      </c>
      <c r="I17">
        <v>0.78</v>
      </c>
      <c r="J17">
        <v>20.28</v>
      </c>
      <c r="K17">
        <v>76.209999999999994</v>
      </c>
      <c r="L17">
        <v>1</v>
      </c>
      <c r="N17" t="s">
        <v>99</v>
      </c>
      <c r="O17">
        <v>800.9</v>
      </c>
      <c r="P17" s="3">
        <f t="shared" si="4"/>
        <v>45040.51458333333</v>
      </c>
      <c r="Q17" s="4">
        <f t="shared" si="5"/>
        <v>5.875</v>
      </c>
      <c r="R17">
        <f t="shared" si="17"/>
        <v>97.27</v>
      </c>
      <c r="S17">
        <f t="shared" si="18"/>
        <v>0</v>
      </c>
      <c r="T17">
        <f t="shared" si="19"/>
        <v>0.80189164182173334</v>
      </c>
      <c r="U17">
        <f t="shared" si="20"/>
        <v>20.849182687365069</v>
      </c>
      <c r="V17">
        <f t="shared" si="21"/>
        <v>78.348925670813188</v>
      </c>
      <c r="W17">
        <f t="shared" si="22"/>
        <v>99.999999999999986</v>
      </c>
      <c r="X17" s="6">
        <f t="shared" si="23"/>
        <v>4.3653938132141801E-2</v>
      </c>
      <c r="Y17" s="6">
        <f t="shared" si="0"/>
        <v>3.5005728120767561E-4</v>
      </c>
      <c r="Z17" s="6">
        <f t="shared" si="6"/>
        <v>0</v>
      </c>
      <c r="AA17" s="6">
        <f t="shared" si="1"/>
        <v>9.1014893113995667E-3</v>
      </c>
      <c r="AB17" s="6">
        <f t="shared" si="2"/>
        <v>3.4202391539534555E-2</v>
      </c>
      <c r="AC17" s="6">
        <f t="shared" si="24"/>
        <v>3.5005728120767561E-4</v>
      </c>
      <c r="AD17" s="6">
        <f t="shared" si="7"/>
        <v>4.3535656146595894E-2</v>
      </c>
      <c r="AE17" s="6">
        <f t="shared" si="8"/>
        <v>3.4910878785180218E-4</v>
      </c>
      <c r="AF17" s="6">
        <f t="shared" si="9"/>
        <v>0</v>
      </c>
      <c r="AG17" s="6">
        <f t="shared" si="10"/>
        <v>9.0768284841468566E-3</v>
      </c>
      <c r="AH17" s="6">
        <f t="shared" si="11"/>
        <v>3.4109718874597232E-2</v>
      </c>
      <c r="AI17" s="6">
        <f t="shared" si="25"/>
        <v>3.4910878785180218E-4</v>
      </c>
      <c r="AJ17" s="22"/>
      <c r="AL17" s="25"/>
      <c r="AM17" s="6"/>
      <c r="AN17" s="6"/>
      <c r="AO17" s="6"/>
      <c r="AP17" s="19"/>
      <c r="AQ17">
        <f t="shared" si="26"/>
        <v>887.85442582502321</v>
      </c>
      <c r="AR17" s="6">
        <f t="shared" si="27"/>
        <v>4.6434786470648719</v>
      </c>
      <c r="AS17" s="6">
        <f t="shared" si="28"/>
        <v>4.5506090741235746E-4</v>
      </c>
      <c r="AT17" s="6">
        <f t="shared" si="12"/>
        <v>885.44875089955792</v>
      </c>
      <c r="AU17" s="6">
        <f t="shared" si="13"/>
        <v>4.6308969672046878</v>
      </c>
      <c r="AV17" s="6">
        <f t="shared" si="14"/>
        <v>4.5382790278605947E-4</v>
      </c>
      <c r="AW17" s="6">
        <f t="shared" si="29"/>
        <v>-4.2933212859722738E-3</v>
      </c>
      <c r="AX17" s="52">
        <f t="shared" si="30"/>
        <v>4.9196193825554006E-4</v>
      </c>
      <c r="AY17" s="53">
        <f t="shared" si="15"/>
        <v>3.8432578446438048E-2</v>
      </c>
      <c r="AZ17" s="54"/>
      <c r="BA17" s="23">
        <f t="shared" si="16"/>
        <v>0</v>
      </c>
    </row>
    <row r="18" spans="1:56" s="7" customFormat="1" ht="14.4" x14ac:dyDescent="0.3">
      <c r="A18" t="s">
        <v>124</v>
      </c>
      <c r="B18">
        <v>2</v>
      </c>
      <c r="C18" s="2">
        <v>45042</v>
      </c>
      <c r="D18" s="11">
        <v>0.40138888888888885</v>
      </c>
      <c r="E18" s="15">
        <v>1017.3</v>
      </c>
      <c r="F18">
        <v>1056.7</v>
      </c>
      <c r="G18">
        <v>1053.0999999999999</v>
      </c>
      <c r="H18">
        <v>0.01</v>
      </c>
      <c r="I18">
        <v>4.58</v>
      </c>
      <c r="J18">
        <v>13.52</v>
      </c>
      <c r="K18">
        <v>80.84</v>
      </c>
      <c r="L18">
        <v>0</v>
      </c>
      <c r="M18"/>
      <c r="N18" t="s">
        <v>99</v>
      </c>
      <c r="O18"/>
      <c r="P18" s="8">
        <f t="shared" si="4"/>
        <v>45042.401388888888</v>
      </c>
      <c r="Q18" s="9">
        <f t="shared" si="5"/>
        <v>7.7618055555576575</v>
      </c>
      <c r="R18">
        <f t="shared" si="17"/>
        <v>98.95</v>
      </c>
      <c r="S18">
        <f t="shared" si="18"/>
        <v>1.010611419909045E-2</v>
      </c>
      <c r="T18">
        <f t="shared" si="19"/>
        <v>4.6286003031834255</v>
      </c>
      <c r="U18">
        <f t="shared" si="20"/>
        <v>13.663466397170287</v>
      </c>
      <c r="V18">
        <f t="shared" si="21"/>
        <v>81.697827185447196</v>
      </c>
      <c r="W18">
        <f t="shared" si="22"/>
        <v>100</v>
      </c>
      <c r="X18" s="10">
        <f t="shared" si="23"/>
        <v>4.1662858042119076E-2</v>
      </c>
      <c r="Y18" s="10">
        <f t="shared" si="0"/>
        <v>1.9284071736524037E-3</v>
      </c>
      <c r="Z18" s="10">
        <f t="shared" si="6"/>
        <v>4.2104960123414933E-6</v>
      </c>
      <c r="AA18" s="10">
        <f t="shared" si="1"/>
        <v>5.692590608685699E-3</v>
      </c>
      <c r="AB18" s="10">
        <f t="shared" si="2"/>
        <v>3.4037649763768635E-2</v>
      </c>
      <c r="AC18" s="10">
        <f t="shared" si="24"/>
        <v>1.9326176696647453E-3</v>
      </c>
      <c r="AD18" s="10">
        <f t="shared" si="7"/>
        <v>4.1520919659463987E-2</v>
      </c>
      <c r="AE18" s="10">
        <f t="shared" si="8"/>
        <v>1.9218374132424967E-3</v>
      </c>
      <c r="AF18" s="10">
        <f t="shared" si="9"/>
        <v>4.1961515572980286E-6</v>
      </c>
      <c r="AG18" s="10">
        <f t="shared" si="10"/>
        <v>5.6731969054669342E-3</v>
      </c>
      <c r="AH18" s="10">
        <f t="shared" si="11"/>
        <v>3.392168918919726E-2</v>
      </c>
      <c r="AI18" s="10">
        <f t="shared" si="25"/>
        <v>1.9260335647997948E-3</v>
      </c>
      <c r="AJ18" s="22">
        <f t="shared" si="31"/>
        <v>1.5835088818129432E-3</v>
      </c>
      <c r="AK18">
        <f t="shared" si="32"/>
        <v>3.3842378754611576E-3</v>
      </c>
      <c r="AL18" s="25">
        <f t="shared" si="33"/>
        <v>1.5792983858006016E-3</v>
      </c>
      <c r="AM18" s="6">
        <f>AK18+AM16</f>
        <v>1.8054585763639806E-2</v>
      </c>
      <c r="AN18" s="6">
        <f>AL18+AN16</f>
        <v>6.4491639969951721E-3</v>
      </c>
      <c r="AO18" s="6">
        <f>AJ18+AO16</f>
        <v>6.5784708177278155E-3</v>
      </c>
      <c r="AP18" s="19">
        <f t="shared" si="34"/>
        <v>0.51391698442451728</v>
      </c>
      <c r="AQ18" s="7">
        <f t="shared" si="26"/>
        <v>4891.0419403739252</v>
      </c>
      <c r="AR18" s="10">
        <f t="shared" si="27"/>
        <v>25.580149348155629</v>
      </c>
      <c r="AS18" s="6">
        <f t="shared" si="28"/>
        <v>2.5068546361192517E-3</v>
      </c>
      <c r="AT18" s="6">
        <f t="shared" si="12"/>
        <v>4874.3789792824646</v>
      </c>
      <c r="AU18" s="6">
        <f t="shared" si="13"/>
        <v>25.493002061647292</v>
      </c>
      <c r="AV18" s="6">
        <f t="shared" si="14"/>
        <v>2.498314202041435E-3</v>
      </c>
      <c r="AW18" s="6">
        <f t="shared" si="29"/>
        <v>2.0530267333331922E-3</v>
      </c>
      <c r="AX18" s="52">
        <f t="shared" si="30"/>
        <v>2.5449886715887323E-3</v>
      </c>
      <c r="AY18" s="53">
        <f t="shared" si="15"/>
        <v>0.19881716279303777</v>
      </c>
      <c r="AZ18" s="54">
        <f t="shared" si="35"/>
        <v>0.71273414721755501</v>
      </c>
      <c r="BA18" s="23">
        <f t="shared" si="16"/>
        <v>0.93170015471197754</v>
      </c>
      <c r="BB18"/>
      <c r="BC18"/>
      <c r="BD18"/>
    </row>
    <row r="19" spans="1:56" ht="14.4" x14ac:dyDescent="0.3">
      <c r="A19" t="s">
        <v>124</v>
      </c>
      <c r="B19">
        <v>2</v>
      </c>
      <c r="C19" s="2">
        <v>45042</v>
      </c>
      <c r="D19" s="11">
        <v>0.43958333333333338</v>
      </c>
      <c r="E19" s="15">
        <v>1017.3</v>
      </c>
      <c r="F19">
        <v>1121.4000000000001</v>
      </c>
      <c r="G19">
        <v>1117.7</v>
      </c>
      <c r="H19">
        <v>0</v>
      </c>
      <c r="I19">
        <v>0.44</v>
      </c>
      <c r="J19">
        <v>20.61</v>
      </c>
      <c r="K19">
        <v>76.599999999999994</v>
      </c>
      <c r="L19">
        <v>1</v>
      </c>
      <c r="N19" t="s">
        <v>99</v>
      </c>
      <c r="O19">
        <v>800.78</v>
      </c>
      <c r="P19" s="3">
        <f t="shared" si="4"/>
        <v>45042.439583333333</v>
      </c>
      <c r="Q19" s="4">
        <f t="shared" si="5"/>
        <v>7.8000000000029104</v>
      </c>
      <c r="R19">
        <f t="shared" si="17"/>
        <v>97.649999999999991</v>
      </c>
      <c r="S19">
        <f t="shared" si="18"/>
        <v>0</v>
      </c>
      <c r="T19">
        <f t="shared" si="19"/>
        <v>0.45058883768561192</v>
      </c>
      <c r="U19">
        <f t="shared" si="20"/>
        <v>21.105990783410139</v>
      </c>
      <c r="V19">
        <f t="shared" si="21"/>
        <v>78.44342037890425</v>
      </c>
      <c r="W19">
        <f t="shared" si="22"/>
        <v>100</v>
      </c>
      <c r="X19" s="6">
        <f t="shared" si="23"/>
        <v>4.4213806197059086E-2</v>
      </c>
      <c r="Y19" s="6">
        <f t="shared" si="0"/>
        <v>1.9922247543989761E-4</v>
      </c>
      <c r="Z19" s="6">
        <f t="shared" si="6"/>
        <v>0</v>
      </c>
      <c r="AA19" s="6">
        <f t="shared" si="1"/>
        <v>9.3317618609461122E-3</v>
      </c>
      <c r="AB19" s="6">
        <f t="shared" si="2"/>
        <v>3.4682821860673077E-2</v>
      </c>
      <c r="AC19" s="6">
        <f t="shared" si="24"/>
        <v>1.9922247543989761E-4</v>
      </c>
      <c r="AD19" s="6">
        <f t="shared" si="7"/>
        <v>4.4067925081552467E-2</v>
      </c>
      <c r="AE19" s="6">
        <f t="shared" si="8"/>
        <v>1.9856515141713352E-4</v>
      </c>
      <c r="AF19" s="6">
        <f t="shared" si="9"/>
        <v>0</v>
      </c>
      <c r="AG19" s="6">
        <f t="shared" si="10"/>
        <v>9.3009722061525493E-3</v>
      </c>
      <c r="AH19" s="6">
        <f t="shared" si="11"/>
        <v>3.4568387723982782E-2</v>
      </c>
      <c r="AI19" s="6">
        <f t="shared" si="25"/>
        <v>1.9856515141713352E-4</v>
      </c>
      <c r="AJ19" s="22"/>
      <c r="AL19" s="25"/>
      <c r="AM19" s="6"/>
      <c r="AN19" s="6"/>
      <c r="AO19" s="6"/>
      <c r="AP19" s="19"/>
      <c r="AQ19">
        <f t="shared" si="26"/>
        <v>505.2903225806453</v>
      </c>
      <c r="AR19" s="6">
        <f t="shared" si="27"/>
        <v>2.6426683870967751</v>
      </c>
      <c r="AS19" s="6">
        <f t="shared" si="28"/>
        <v>2.5898150193548399E-4</v>
      </c>
      <c r="AT19" s="6">
        <f t="shared" si="12"/>
        <v>503.62314388120848</v>
      </c>
      <c r="AU19" s="6">
        <f t="shared" si="13"/>
        <v>2.6339490424987204</v>
      </c>
      <c r="AV19" s="6">
        <f t="shared" si="14"/>
        <v>2.5812700616487463E-4</v>
      </c>
      <c r="AW19" s="6">
        <f t="shared" si="29"/>
        <v>-2.2393327001059508E-3</v>
      </c>
      <c r="AX19" s="52">
        <f t="shared" si="30"/>
        <v>3.0565597148278154E-4</v>
      </c>
      <c r="AY19" s="53">
        <f t="shared" si="15"/>
        <v>2.3878162492181262E-2</v>
      </c>
      <c r="AZ19" s="54"/>
      <c r="BA19" s="23">
        <f t="shared" si="16"/>
        <v>0</v>
      </c>
    </row>
    <row r="20" spans="1:56" ht="14.4" x14ac:dyDescent="0.3">
      <c r="A20" t="s">
        <v>124</v>
      </c>
      <c r="B20">
        <v>2</v>
      </c>
      <c r="C20" s="2">
        <v>45044</v>
      </c>
      <c r="D20" s="11">
        <v>0.43333333333333335</v>
      </c>
      <c r="E20" s="15">
        <v>1007.1</v>
      </c>
      <c r="F20">
        <v>1085.7</v>
      </c>
      <c r="G20">
        <v>1083.8</v>
      </c>
      <c r="H20">
        <v>0</v>
      </c>
      <c r="I20">
        <v>3.28</v>
      </c>
      <c r="J20">
        <v>16.38</v>
      </c>
      <c r="K20">
        <v>83.27</v>
      </c>
      <c r="L20">
        <v>0</v>
      </c>
      <c r="N20" t="s">
        <v>99</v>
      </c>
      <c r="P20" s="3">
        <f t="shared" si="4"/>
        <v>45044.433333333334</v>
      </c>
      <c r="Q20" s="4">
        <f t="shared" si="5"/>
        <v>9.7937500000043656</v>
      </c>
      <c r="R20">
        <f t="shared" si="17"/>
        <v>102.92999999999999</v>
      </c>
      <c r="S20">
        <f t="shared" si="18"/>
        <v>0</v>
      </c>
      <c r="T20">
        <f t="shared" si="19"/>
        <v>3.1866316914407853</v>
      </c>
      <c r="U20">
        <f t="shared" si="20"/>
        <v>15.913727776158556</v>
      </c>
      <c r="V20">
        <f t="shared" si="21"/>
        <v>80.899640532400667</v>
      </c>
      <c r="W20">
        <f t="shared" si="22"/>
        <v>100</v>
      </c>
      <c r="X20" s="6">
        <f t="shared" si="23"/>
        <v>4.2806250569062815E-2</v>
      </c>
      <c r="Y20" s="6">
        <f t="shared" si="0"/>
        <v>1.3640775465513072E-3</v>
      </c>
      <c r="Z20" s="6">
        <f t="shared" si="6"/>
        <v>0</v>
      </c>
      <c r="AA20" s="6">
        <f t="shared" si="1"/>
        <v>6.8120701867409794E-3</v>
      </c>
      <c r="AB20" s="6">
        <f t="shared" si="2"/>
        <v>3.4630102835770532E-2</v>
      </c>
      <c r="AC20" s="6">
        <f t="shared" si="24"/>
        <v>1.3640775465513072E-3</v>
      </c>
      <c r="AD20" s="6">
        <f t="shared" si="7"/>
        <v>4.2731338644883744E-2</v>
      </c>
      <c r="AE20" s="6">
        <f t="shared" si="8"/>
        <v>1.3616903794347488E-3</v>
      </c>
      <c r="AF20" s="6">
        <f t="shared" si="9"/>
        <v>0</v>
      </c>
      <c r="AG20" s="6">
        <f t="shared" si="10"/>
        <v>6.8001489070552389E-3</v>
      </c>
      <c r="AH20" s="6">
        <f t="shared" si="11"/>
        <v>3.4569499358393763E-2</v>
      </c>
      <c r="AI20" s="6">
        <f t="shared" si="25"/>
        <v>1.3616903794347488E-3</v>
      </c>
      <c r="AJ20" s="22">
        <f t="shared" si="31"/>
        <v>1.1655123951341737E-3</v>
      </c>
      <c r="AK20">
        <f t="shared" si="32"/>
        <v>2.4889020194115699E-3</v>
      </c>
      <c r="AL20" s="25">
        <f t="shared" si="33"/>
        <v>1.1655123951341737E-3</v>
      </c>
      <c r="AM20" s="6">
        <f>AK20+AM18</f>
        <v>2.0543487783051376E-2</v>
      </c>
      <c r="AN20" s="6">
        <f>AL20+AN18</f>
        <v>7.6146763921293454E-3</v>
      </c>
      <c r="AO20" s="6">
        <f>AJ20+AO18</f>
        <v>7.7439832128619896E-3</v>
      </c>
      <c r="AP20" s="19">
        <f t="shared" si="34"/>
        <v>0.60496802531423521</v>
      </c>
      <c r="AQ20">
        <f t="shared" si="26"/>
        <v>3459.7260273972606</v>
      </c>
      <c r="AR20" s="6">
        <f t="shared" si="27"/>
        <v>18.094367123287675</v>
      </c>
      <c r="AS20" s="6">
        <f t="shared" si="28"/>
        <v>1.7732479780821922E-3</v>
      </c>
      <c r="AT20" s="6">
        <f t="shared" si="12"/>
        <v>3453.6714271835231</v>
      </c>
      <c r="AU20" s="6">
        <f t="shared" si="13"/>
        <v>18.062701564169828</v>
      </c>
      <c r="AV20" s="6">
        <f t="shared" si="14"/>
        <v>1.7701447532886432E-3</v>
      </c>
      <c r="AW20" s="6">
        <f t="shared" si="29"/>
        <v>1.5151209719173175E-3</v>
      </c>
      <c r="AX20" s="52">
        <f t="shared" si="30"/>
        <v>1.820776943400099E-3</v>
      </c>
      <c r="AY20" s="53">
        <f t="shared" si="15"/>
        <v>0.14224098912778435</v>
      </c>
      <c r="AZ20" s="54">
        <f t="shared" si="35"/>
        <v>0.74720901444201959</v>
      </c>
      <c r="BA20" s="23">
        <f t="shared" si="16"/>
        <v>0.92847535586307639</v>
      </c>
    </row>
    <row r="21" spans="1:56" ht="14.4" x14ac:dyDescent="0.3">
      <c r="A21" t="s">
        <v>124</v>
      </c>
      <c r="B21">
        <v>2</v>
      </c>
      <c r="C21" s="2">
        <v>45044</v>
      </c>
      <c r="D21" s="11">
        <v>0.43402777777777773</v>
      </c>
      <c r="E21" s="15">
        <v>1007.1</v>
      </c>
      <c r="F21">
        <f t="shared" ref="F21:K21" si="36">AVERAGE(F17, F15,F19,F23,F25,F27,F29,F31,F33,F35,F37)</f>
        <v>1120.3090909090909</v>
      </c>
      <c r="G21">
        <f t="shared" si="36"/>
        <v>1116.9636363636362</v>
      </c>
      <c r="H21">
        <f t="shared" si="36"/>
        <v>3.6363636363636364E-3</v>
      </c>
      <c r="I21">
        <f t="shared" si="36"/>
        <v>0.49636363636363645</v>
      </c>
      <c r="J21">
        <f t="shared" si="36"/>
        <v>20.392727272727274</v>
      </c>
      <c r="K21">
        <f t="shared" si="36"/>
        <v>75.897272727272735</v>
      </c>
      <c r="L21">
        <f>AVERAGE(L17, L15,L19,L23,L25,L27,L29,L31,L33,L35,L37)</f>
        <v>1</v>
      </c>
      <c r="M21" t="s">
        <v>129</v>
      </c>
      <c r="N21" t="s">
        <v>99</v>
      </c>
      <c r="O21">
        <v>800.72</v>
      </c>
      <c r="P21" s="3">
        <f t="shared" ref="P21" si="37">C21+D21</f>
        <v>45044.434027777781</v>
      </c>
      <c r="Q21" s="4">
        <f t="shared" ref="Q21" si="38">P21-$P$13</f>
        <v>9.7944444444510737</v>
      </c>
      <c r="R21">
        <f t="shared" ref="R21" si="39">SUM(H21:K21)</f>
        <v>96.79</v>
      </c>
      <c r="S21">
        <f t="shared" ref="S21" si="40">H21 * 100/R21</f>
        <v>3.7569621204294208E-3</v>
      </c>
      <c r="T21">
        <f t="shared" ref="T21" si="41">I21* 100/R21</f>
        <v>0.51282532943861603</v>
      </c>
      <c r="U21">
        <f t="shared" ref="U21" si="42">J21* 100/R21</f>
        <v>21.069043571368191</v>
      </c>
      <c r="V21">
        <f t="shared" ref="V21" si="43">K21* 100/R21</f>
        <v>78.41437413707277</v>
      </c>
      <c r="W21">
        <f t="shared" ref="W21" si="44">SUM(S21:V21)</f>
        <v>100</v>
      </c>
      <c r="X21" s="6">
        <f t="shared" ref="X21" si="45">F21*100*$D$3/($D$1*$D$2)</f>
        <v>4.4170794565951479E-2</v>
      </c>
      <c r="Y21" s="6">
        <f t="shared" ref="Y21" si="46">X21*T21/100</f>
        <v>2.2651902274849499E-4</v>
      </c>
      <c r="Z21" s="6">
        <f t="shared" ref="Z21" si="47">X21*S21/100</f>
        <v>1.6594800201354938E-6</v>
      </c>
      <c r="AA21" s="6">
        <f t="shared" ref="AA21" si="48">X21*U21/100</f>
        <v>9.3063639529198505E-3</v>
      </c>
      <c r="AB21" s="6">
        <f t="shared" ref="AB21" si="49">X21*V21/100</f>
        <v>3.4636252110262999E-2</v>
      </c>
      <c r="AC21" s="6">
        <f t="shared" ref="AC21" si="50">Y21+Z21</f>
        <v>2.2817850276863049E-4</v>
      </c>
      <c r="AD21" s="6">
        <f t="shared" ref="AD21" si="51">G21*100*$D$3/($D$1*$D$2)</f>
        <v>4.4038892230554828E-2</v>
      </c>
      <c r="AE21" s="6">
        <f t="shared" ref="AE21" si="52">AD21*T21/100</f>
        <v>2.2584259416245987E-4</v>
      </c>
      <c r="AF21" s="6">
        <f t="shared" ref="AF21" si="53">AD21*S21/100</f>
        <v>1.6545244993586802E-6</v>
      </c>
      <c r="AG21" s="6">
        <f t="shared" ref="AG21" si="54">AD21*U21/100</f>
        <v>9.2785733924034778E-3</v>
      </c>
      <c r="AH21" s="6">
        <f t="shared" ref="AH21" si="55">AD21*V21/100</f>
        <v>3.4532821719489536E-2</v>
      </c>
      <c r="AI21" s="6">
        <f t="shared" ref="AI21" si="56">AE21+AF21</f>
        <v>2.2749711866181855E-4</v>
      </c>
      <c r="AJ21" s="22"/>
      <c r="AL21" s="25"/>
      <c r="AM21" s="6"/>
      <c r="AN21" s="6"/>
      <c r="AO21" s="6"/>
      <c r="AP21" s="19"/>
      <c r="AQ21">
        <f t="shared" ref="AQ21" si="57">F21*100*T21/100</f>
        <v>574.52287861853097</v>
      </c>
      <c r="AR21" s="6">
        <f t="shared" ref="AR21" si="58">AQ21*$D$7</f>
        <v>3.0047546551749171</v>
      </c>
      <c r="AS21" s="6">
        <f t="shared" ref="AS21" si="59">AR21*$D$5/1000</f>
        <v>2.9446595620714189E-4</v>
      </c>
      <c r="AT21" s="6">
        <f t="shared" ref="AT21" si="60">G21*100*T21/100</f>
        <v>572.80724478913623</v>
      </c>
      <c r="AU21" s="6">
        <f t="shared" ref="AU21" si="61">AT21*$D$7</f>
        <v>2.9957818902471827</v>
      </c>
      <c r="AV21" s="6">
        <f t="shared" ref="AV21" si="62">AU21*$D$5/1000</f>
        <v>2.9358662524422389E-4</v>
      </c>
      <c r="AW21" s="6">
        <f t="shared" ref="AW21" si="63">AS21-AV20</f>
        <v>-1.4756787970815013E-3</v>
      </c>
      <c r="AX21" s="52">
        <f t="shared" ref="AX21" si="64">AW21+AX20</f>
        <v>3.4509814631859771E-4</v>
      </c>
      <c r="AY21" s="53">
        <f t="shared" ref="AY21" si="65">(AX21*$D$4*1000/$D$6)</f>
        <v>2.6959426225409838E-2</v>
      </c>
      <c r="AZ21" s="54"/>
      <c r="BA21" s="23">
        <f t="shared" ref="BA21" si="66">AK21/(AL21+AW21)</f>
        <v>0</v>
      </c>
    </row>
    <row r="22" spans="1:56" s="7" customFormat="1" ht="14.4" x14ac:dyDescent="0.3">
      <c r="A22" t="s">
        <v>124</v>
      </c>
      <c r="B22">
        <v>2</v>
      </c>
      <c r="C22" s="2">
        <v>45047</v>
      </c>
      <c r="D22" s="11">
        <v>0.59930555555555554</v>
      </c>
      <c r="E22" s="15">
        <v>1013.3</v>
      </c>
      <c r="F22">
        <v>1074.4000000000001</v>
      </c>
      <c r="G22">
        <v>1071</v>
      </c>
      <c r="H22">
        <v>0.01</v>
      </c>
      <c r="I22">
        <v>4.25</v>
      </c>
      <c r="J22">
        <v>13.54</v>
      </c>
      <c r="K22">
        <v>80.61</v>
      </c>
      <c r="L22">
        <v>0</v>
      </c>
      <c r="M22"/>
      <c r="N22" t="s">
        <v>99</v>
      </c>
      <c r="O22"/>
      <c r="P22" s="8">
        <f t="shared" si="4"/>
        <v>45047.599305555559</v>
      </c>
      <c r="Q22" s="9">
        <f t="shared" si="5"/>
        <v>12.959722222229175</v>
      </c>
      <c r="R22">
        <f t="shared" si="17"/>
        <v>98.41</v>
      </c>
      <c r="S22">
        <f t="shared" si="18"/>
        <v>1.01615689462453E-2</v>
      </c>
      <c r="T22">
        <f t="shared" si="19"/>
        <v>4.3186668021542527</v>
      </c>
      <c r="U22">
        <f t="shared" si="20"/>
        <v>13.758764353216137</v>
      </c>
      <c r="V22">
        <f t="shared" si="21"/>
        <v>81.912407275683364</v>
      </c>
      <c r="W22">
        <f t="shared" si="22"/>
        <v>100</v>
      </c>
      <c r="X22" s="10">
        <f t="shared" si="23"/>
        <v>4.2360721756839921E-2</v>
      </c>
      <c r="Y22" s="10">
        <f t="shared" si="0"/>
        <v>1.8294184276655796E-3</v>
      </c>
      <c r="Z22" s="10">
        <f t="shared" si="6"/>
        <v>4.3045139474484225E-6</v>
      </c>
      <c r="AA22" s="10">
        <f t="shared" si="1"/>
        <v>5.8283118848451634E-3</v>
      </c>
      <c r="AB22" s="10">
        <f t="shared" si="2"/>
        <v>3.4698686930381729E-2</v>
      </c>
      <c r="AC22" s="10">
        <f t="shared" si="24"/>
        <v>1.8337229416130281E-3</v>
      </c>
      <c r="AD22" s="10">
        <f t="shared" si="7"/>
        <v>4.2226668839887883E-2</v>
      </c>
      <c r="AE22" s="10">
        <f t="shared" si="8"/>
        <v>1.8236291288438523E-3</v>
      </c>
      <c r="AF22" s="10">
        <f t="shared" si="9"/>
        <v>4.2908920678678877E-6</v>
      </c>
      <c r="AG22" s="10">
        <f t="shared" si="10"/>
        <v>5.8098678598931201E-3</v>
      </c>
      <c r="AH22" s="10">
        <f t="shared" si="11"/>
        <v>3.4588880959083045E-2</v>
      </c>
      <c r="AI22" s="10">
        <f t="shared" si="25"/>
        <v>1.8279200209117201E-3</v>
      </c>
      <c r="AJ22" s="22">
        <f t="shared" ref="AJ22" si="67">AC22-AI21</f>
        <v>1.6062258229512095E-3</v>
      </c>
      <c r="AK22">
        <f t="shared" ref="AK22" si="68">(AA22-AG21)*-1</f>
        <v>3.4502615075583144E-3</v>
      </c>
      <c r="AL22" s="25">
        <f t="shared" ref="AL22" si="69">Y22-AE21</f>
        <v>1.6035758335031197E-3</v>
      </c>
      <c r="AM22" s="6">
        <f t="shared" ref="AM22" si="70">AK22+AM20</f>
        <v>2.3993749290609691E-2</v>
      </c>
      <c r="AN22" s="6">
        <f t="shared" ref="AN22" si="71">AL22+AN20</f>
        <v>9.2182522256324655E-3</v>
      </c>
      <c r="AO22" s="6">
        <f t="shared" ref="AO22" si="72">AJ22+AO20</f>
        <v>9.3502090358131996E-3</v>
      </c>
      <c r="AP22" s="19">
        <f t="shared" si="34"/>
        <v>0.73044805769674381</v>
      </c>
      <c r="AQ22" s="7">
        <f t="shared" si="26"/>
        <v>4639.9756122345298</v>
      </c>
      <c r="AR22" s="10">
        <f t="shared" si="27"/>
        <v>24.267072451986593</v>
      </c>
      <c r="AS22" s="6">
        <f t="shared" si="28"/>
        <v>2.3781731002946861E-3</v>
      </c>
      <c r="AT22" s="6">
        <f t="shared" si="12"/>
        <v>4625.2921451072043</v>
      </c>
      <c r="AU22" s="6">
        <f t="shared" si="13"/>
        <v>24.190277918910681</v>
      </c>
      <c r="AV22" s="6">
        <f t="shared" si="14"/>
        <v>2.3706472360532469E-3</v>
      </c>
      <c r="AW22" s="6">
        <f>AS22-AV21</f>
        <v>2.0845864750504623E-3</v>
      </c>
      <c r="AX22" s="52">
        <f>AW22+AX21</f>
        <v>2.42968462136906E-3</v>
      </c>
      <c r="AY22" s="53">
        <f t="shared" si="15"/>
        <v>0.18980949042925063</v>
      </c>
      <c r="AZ22" s="54">
        <f t="shared" si="35"/>
        <v>0.92025754812599447</v>
      </c>
      <c r="BA22" s="23">
        <f t="shared" si="16"/>
        <v>0.9354961140285154</v>
      </c>
      <c r="BB22"/>
      <c r="BC22"/>
      <c r="BD22"/>
    </row>
    <row r="23" spans="1:56" ht="14.4" x14ac:dyDescent="0.3">
      <c r="A23" t="s">
        <v>124</v>
      </c>
      <c r="B23">
        <v>2</v>
      </c>
      <c r="C23" s="2">
        <v>45047</v>
      </c>
      <c r="D23" s="11">
        <v>0.63750000000000007</v>
      </c>
      <c r="E23" s="15">
        <v>1013.4</v>
      </c>
      <c r="F23" s="15">
        <v>1116.4000000000001</v>
      </c>
      <c r="G23">
        <v>1112.7</v>
      </c>
      <c r="H23">
        <v>0</v>
      </c>
      <c r="I23">
        <v>0.55000000000000004</v>
      </c>
      <c r="J23">
        <v>20.51</v>
      </c>
      <c r="K23">
        <v>76.41</v>
      </c>
      <c r="L23">
        <v>1</v>
      </c>
      <c r="N23" t="s">
        <v>99</v>
      </c>
      <c r="O23">
        <v>800.61</v>
      </c>
      <c r="P23" s="3">
        <f t="shared" si="4"/>
        <v>45047.637499999997</v>
      </c>
      <c r="Q23" s="4">
        <f t="shared" si="5"/>
        <v>12.997916666667152</v>
      </c>
      <c r="R23">
        <f t="shared" si="17"/>
        <v>97.47</v>
      </c>
      <c r="S23">
        <f t="shared" si="18"/>
        <v>0</v>
      </c>
      <c r="T23">
        <f t="shared" si="19"/>
        <v>0.56427618754488573</v>
      </c>
      <c r="U23">
        <f t="shared" si="20"/>
        <v>21.042372011901097</v>
      </c>
      <c r="V23">
        <f t="shared" si="21"/>
        <v>78.393351800554015</v>
      </c>
      <c r="W23">
        <f t="shared" si="22"/>
        <v>100</v>
      </c>
      <c r="X23" s="6">
        <f t="shared" si="23"/>
        <v>4.4016669554482579E-2</v>
      </c>
      <c r="Y23" s="6">
        <f t="shared" si="0"/>
        <v>2.4837558484626474E-4</v>
      </c>
      <c r="Z23" s="6">
        <f t="shared" si="6"/>
        <v>0</v>
      </c>
      <c r="AA23" s="6">
        <f t="shared" si="1"/>
        <v>9.2621513549034345E-3</v>
      </c>
      <c r="AB23" s="6">
        <f t="shared" si="2"/>
        <v>3.4506142614732879E-2</v>
      </c>
      <c r="AC23" s="6">
        <f t="shared" si="24"/>
        <v>2.4837558484626474E-4</v>
      </c>
      <c r="AD23" s="6">
        <f t="shared" si="7"/>
        <v>4.3870788438975961E-2</v>
      </c>
      <c r="AE23" s="6">
        <f t="shared" si="8"/>
        <v>2.4755241244933603E-4</v>
      </c>
      <c r="AF23" s="6">
        <f t="shared" si="9"/>
        <v>0</v>
      </c>
      <c r="AG23" s="6">
        <f t="shared" si="10"/>
        <v>9.2314545078834194E-3</v>
      </c>
      <c r="AH23" s="6">
        <f t="shared" si="11"/>
        <v>3.4391781518643201E-2</v>
      </c>
      <c r="AI23" s="6">
        <f t="shared" si="25"/>
        <v>2.4755241244933603E-4</v>
      </c>
      <c r="AJ23" s="22"/>
      <c r="AL23" s="25"/>
      <c r="AM23" s="6"/>
      <c r="AN23" s="6"/>
      <c r="AO23" s="6"/>
      <c r="AP23" s="19"/>
      <c r="AQ23">
        <f>F23*100*T23/100</f>
        <v>629.95793577511051</v>
      </c>
      <c r="AR23" s="6">
        <f>AQ23*$D$7</f>
        <v>3.294680004103828</v>
      </c>
      <c r="AS23" s="6">
        <f t="shared" si="28"/>
        <v>3.2287864040217516E-4</v>
      </c>
      <c r="AT23" s="6">
        <f t="shared" si="12"/>
        <v>627.87011388119436</v>
      </c>
      <c r="AU23" s="6">
        <f t="shared" si="13"/>
        <v>3.2837606955986467</v>
      </c>
      <c r="AV23" s="6">
        <f t="shared" si="14"/>
        <v>3.2180854816866739E-4</v>
      </c>
      <c r="AW23" s="6">
        <f t="shared" si="29"/>
        <v>-2.0477685956510716E-3</v>
      </c>
      <c r="AX23" s="52">
        <f t="shared" si="30"/>
        <v>3.8191602571798844E-4</v>
      </c>
      <c r="AY23" s="53">
        <f t="shared" si="15"/>
        <v>2.9835677268866746E-2</v>
      </c>
      <c r="AZ23" s="54"/>
      <c r="BA23" s="23">
        <f t="shared" si="16"/>
        <v>0</v>
      </c>
    </row>
    <row r="24" spans="1:56" s="7" customFormat="1" ht="14.4" x14ac:dyDescent="0.3">
      <c r="A24" t="s">
        <v>124</v>
      </c>
      <c r="B24">
        <v>2</v>
      </c>
      <c r="C24" s="2">
        <v>45050</v>
      </c>
      <c r="D24" s="11">
        <v>0.43055555555555558</v>
      </c>
      <c r="E24" s="15">
        <v>1017.6</v>
      </c>
      <c r="F24">
        <v>1069.5</v>
      </c>
      <c r="G24">
        <v>1066.3</v>
      </c>
      <c r="H24">
        <v>0</v>
      </c>
      <c r="I24">
        <v>4.09</v>
      </c>
      <c r="J24">
        <v>14.28</v>
      </c>
      <c r="K24">
        <v>79.05</v>
      </c>
      <c r="L24">
        <v>0</v>
      </c>
      <c r="M24"/>
      <c r="N24" t="s">
        <v>99</v>
      </c>
      <c r="O24"/>
      <c r="P24" s="8">
        <f t="shared" si="4"/>
        <v>45050.430555555555</v>
      </c>
      <c r="Q24" s="9">
        <f t="shared" si="5"/>
        <v>15.790972222224809</v>
      </c>
      <c r="R24">
        <f t="shared" si="17"/>
        <v>97.419999999999987</v>
      </c>
      <c r="S24">
        <f t="shared" si="18"/>
        <v>0</v>
      </c>
      <c r="T24">
        <f t="shared" si="19"/>
        <v>4.1983165674399512</v>
      </c>
      <c r="U24">
        <f t="shared" si="20"/>
        <v>14.658181071648533</v>
      </c>
      <c r="V24">
        <f t="shared" si="21"/>
        <v>81.143502360911526</v>
      </c>
      <c r="W24">
        <f t="shared" si="22"/>
        <v>100.00000000000001</v>
      </c>
      <c r="X24" s="10">
        <f t="shared" si="23"/>
        <v>4.2167527847114937E-2</v>
      </c>
      <c r="Y24" s="10">
        <f t="shared" si="0"/>
        <v>1.7703263076852814E-3</v>
      </c>
      <c r="Z24" s="10">
        <f t="shared" si="6"/>
        <v>0</v>
      </c>
      <c r="AA24" s="10">
        <f t="shared" si="1"/>
        <v>6.1809925852679259E-3</v>
      </c>
      <c r="AB24" s="10">
        <f t="shared" si="2"/>
        <v>3.4216208954161734E-2</v>
      </c>
      <c r="AC24" s="10">
        <f t="shared" si="24"/>
        <v>1.7703263076852814E-3</v>
      </c>
      <c r="AD24" s="10">
        <f t="shared" si="7"/>
        <v>4.2041360395865972E-2</v>
      </c>
      <c r="AE24" s="10">
        <f t="shared" si="8"/>
        <v>1.7650293986767793E-3</v>
      </c>
      <c r="AF24" s="10">
        <f t="shared" si="9"/>
        <v>0</v>
      </c>
      <c r="AG24" s="10">
        <f t="shared" si="10"/>
        <v>6.1624987318103681E-3</v>
      </c>
      <c r="AH24" s="10">
        <f t="shared" si="11"/>
        <v>3.4113832265378827E-2</v>
      </c>
      <c r="AI24" s="10">
        <f t="shared" si="25"/>
        <v>1.7650293986767793E-3</v>
      </c>
      <c r="AJ24" s="22">
        <f t="shared" si="31"/>
        <v>1.5227738952359453E-3</v>
      </c>
      <c r="AK24">
        <f t="shared" si="32"/>
        <v>3.0504619226154935E-3</v>
      </c>
      <c r="AL24" s="25">
        <f t="shared" si="33"/>
        <v>1.5227738952359453E-3</v>
      </c>
      <c r="AM24" s="6">
        <f>AK24+AM22</f>
        <v>2.7044211213225186E-2</v>
      </c>
      <c r="AN24" s="6">
        <f>AL24+AN22</f>
        <v>1.0741026120868412E-2</v>
      </c>
      <c r="AO24" s="6">
        <f>AJ24+AO22</f>
        <v>1.0872982931049146E-2</v>
      </c>
      <c r="AP24" s="19">
        <f t="shared" si="34"/>
        <v>0.84940873866398625</v>
      </c>
      <c r="AQ24" s="7">
        <f t="shared" si="26"/>
        <v>4490.0995688770281</v>
      </c>
      <c r="AR24" s="10">
        <f t="shared" si="27"/>
        <v>23.483220745226859</v>
      </c>
      <c r="AS24" s="6">
        <f t="shared" si="28"/>
        <v>2.3013556330322323E-3</v>
      </c>
      <c r="AT24" s="6">
        <f t="shared" si="12"/>
        <v>4476.6649558612198</v>
      </c>
      <c r="AU24" s="6">
        <f t="shared" si="13"/>
        <v>23.412957719154182</v>
      </c>
      <c r="AV24" s="6">
        <f t="shared" si="14"/>
        <v>2.2944698564771101E-3</v>
      </c>
      <c r="AW24" s="6">
        <f t="shared" si="29"/>
        <v>1.9795470848635649E-3</v>
      </c>
      <c r="AX24" s="52">
        <f t="shared" si="30"/>
        <v>2.3614631105815533E-3</v>
      </c>
      <c r="AY24" s="53">
        <f t="shared" si="15"/>
        <v>0.18447995502988102</v>
      </c>
      <c r="AZ24" s="54">
        <f t="shared" si="35"/>
        <v>1.0338886936938674</v>
      </c>
      <c r="BA24" s="23">
        <f t="shared" si="16"/>
        <v>0.87098296813698151</v>
      </c>
      <c r="BB24"/>
      <c r="BC24"/>
      <c r="BD24"/>
    </row>
    <row r="25" spans="1:56" ht="14.4" x14ac:dyDescent="0.3">
      <c r="A25" t="s">
        <v>124</v>
      </c>
      <c r="B25">
        <v>2</v>
      </c>
      <c r="C25" s="2">
        <v>45050</v>
      </c>
      <c r="D25" s="11">
        <v>0.46527777777777773</v>
      </c>
      <c r="E25" s="15">
        <v>1017</v>
      </c>
      <c r="F25">
        <v>1121.8</v>
      </c>
      <c r="G25">
        <v>1118.0999999999999</v>
      </c>
      <c r="H25">
        <v>0</v>
      </c>
      <c r="I25">
        <v>0.48</v>
      </c>
      <c r="J25">
        <v>20.36</v>
      </c>
      <c r="K25">
        <v>75.64</v>
      </c>
      <c r="L25">
        <v>1</v>
      </c>
      <c r="N25" t="s">
        <v>99</v>
      </c>
      <c r="O25">
        <v>800.52</v>
      </c>
      <c r="P25" s="3">
        <f t="shared" si="4"/>
        <v>45050.465277777781</v>
      </c>
      <c r="Q25" s="4">
        <f t="shared" si="5"/>
        <v>15.825694444451074</v>
      </c>
      <c r="R25">
        <f t="shared" si="17"/>
        <v>96.48</v>
      </c>
      <c r="S25">
        <f t="shared" si="18"/>
        <v>0</v>
      </c>
      <c r="T25">
        <f t="shared" si="19"/>
        <v>0.49751243781094523</v>
      </c>
      <c r="U25">
        <f t="shared" si="20"/>
        <v>21.102819237147596</v>
      </c>
      <c r="V25">
        <f t="shared" si="21"/>
        <v>78.399668325041461</v>
      </c>
      <c r="W25">
        <f t="shared" si="22"/>
        <v>100</v>
      </c>
      <c r="X25" s="6">
        <f t="shared" si="23"/>
        <v>4.4229577128465203E-2</v>
      </c>
      <c r="Y25" s="6">
        <f t="shared" si="0"/>
        <v>2.200476474052995E-4</v>
      </c>
      <c r="Z25" s="6">
        <f t="shared" si="6"/>
        <v>0</v>
      </c>
      <c r="AA25" s="6">
        <f t="shared" si="1"/>
        <v>9.3336877107747882E-3</v>
      </c>
      <c r="AB25" s="6">
        <f t="shared" si="2"/>
        <v>3.4675841770285112E-2</v>
      </c>
      <c r="AC25" s="6">
        <f t="shared" si="24"/>
        <v>2.200476474052995E-4</v>
      </c>
      <c r="AD25" s="6">
        <f t="shared" si="7"/>
        <v>4.4083696012958584E-2</v>
      </c>
      <c r="AE25" s="6">
        <f t="shared" si="8"/>
        <v>2.1932187071123672E-4</v>
      </c>
      <c r="AF25" s="6">
        <f t="shared" si="9"/>
        <v>0</v>
      </c>
      <c r="AG25" s="6">
        <f t="shared" si="10"/>
        <v>9.3029026826682917E-3</v>
      </c>
      <c r="AH25" s="6">
        <f t="shared" si="11"/>
        <v>3.4561471459579059E-2</v>
      </c>
      <c r="AI25" s="6">
        <f t="shared" si="25"/>
        <v>2.1932187071123672E-4</v>
      </c>
      <c r="AJ25" s="22"/>
      <c r="AL25" s="25"/>
      <c r="AM25" s="6"/>
      <c r="AN25" s="6"/>
      <c r="AO25" s="6"/>
      <c r="AP25" s="19"/>
      <c r="AQ25">
        <f t="shared" si="26"/>
        <v>558.1094527363183</v>
      </c>
      <c r="AR25" s="6">
        <f t="shared" si="27"/>
        <v>2.918912437810945</v>
      </c>
      <c r="AS25" s="6">
        <f t="shared" si="28"/>
        <v>2.8605341890547263E-4</v>
      </c>
      <c r="AT25" s="6">
        <f t="shared" si="12"/>
        <v>556.26865671641781</v>
      </c>
      <c r="AU25" s="6">
        <f t="shared" si="13"/>
        <v>2.9092850746268653</v>
      </c>
      <c r="AV25" s="6">
        <f t="shared" si="14"/>
        <v>2.8510993731343284E-4</v>
      </c>
      <c r="AW25" s="6">
        <f t="shared" si="29"/>
        <v>-2.0084164375716376E-3</v>
      </c>
      <c r="AX25" s="52">
        <f t="shared" si="30"/>
        <v>3.5304667300991568E-4</v>
      </c>
      <c r="AY25" s="53">
        <f t="shared" si="15"/>
        <v>2.7580373400065059E-2</v>
      </c>
      <c r="AZ25" s="54"/>
      <c r="BA25" s="23">
        <f t="shared" si="16"/>
        <v>0</v>
      </c>
    </row>
    <row r="26" spans="1:56" s="7" customFormat="1" ht="14.4" x14ac:dyDescent="0.3">
      <c r="A26" t="s">
        <v>124</v>
      </c>
      <c r="B26">
        <v>2</v>
      </c>
      <c r="C26" s="2">
        <v>45054</v>
      </c>
      <c r="D26" s="11">
        <v>0.39444444444444443</v>
      </c>
      <c r="E26" s="15">
        <v>1018.7</v>
      </c>
      <c r="F26">
        <v>1074.8</v>
      </c>
      <c r="G26">
        <v>1063.7</v>
      </c>
      <c r="H26">
        <v>0.01</v>
      </c>
      <c r="I26">
        <v>5.34</v>
      </c>
      <c r="J26">
        <v>12.24</v>
      </c>
      <c r="K26">
        <v>79.540000000000006</v>
      </c>
      <c r="L26">
        <v>0</v>
      </c>
      <c r="M26"/>
      <c r="N26" t="s">
        <v>99</v>
      </c>
      <c r="O26"/>
      <c r="P26" s="8">
        <f t="shared" si="4"/>
        <v>45054.394444444442</v>
      </c>
      <c r="Q26" s="9">
        <f t="shared" si="5"/>
        <v>19.754861111112405</v>
      </c>
      <c r="R26">
        <f t="shared" si="17"/>
        <v>97.13000000000001</v>
      </c>
      <c r="S26">
        <f t="shared" si="18"/>
        <v>1.0295480284155254E-2</v>
      </c>
      <c r="T26">
        <f t="shared" si="19"/>
        <v>5.4977864717389062</v>
      </c>
      <c r="U26">
        <f t="shared" si="20"/>
        <v>12.601667867806032</v>
      </c>
      <c r="V26">
        <f t="shared" si="21"/>
        <v>81.890250180170909</v>
      </c>
      <c r="W26">
        <f t="shared" si="22"/>
        <v>100</v>
      </c>
      <c r="X26" s="10">
        <f t="shared" si="23"/>
        <v>4.2376492688246031E-2</v>
      </c>
      <c r="Y26" s="10">
        <f t="shared" si="0"/>
        <v>2.329769082211817E-3</v>
      </c>
      <c r="Z26" s="10">
        <f t="shared" si="6"/>
        <v>4.3628634498348628E-6</v>
      </c>
      <c r="AA26" s="10">
        <f t="shared" si="1"/>
        <v>5.3401448625978731E-3</v>
      </c>
      <c r="AB26" s="10">
        <f t="shared" si="2"/>
        <v>3.4702215879986509E-2</v>
      </c>
      <c r="AC26" s="10">
        <f t="shared" si="24"/>
        <v>2.334131945661652E-3</v>
      </c>
      <c r="AD26" s="10">
        <f t="shared" si="7"/>
        <v>4.1938849341726182E-2</v>
      </c>
      <c r="AE26" s="10">
        <f t="shared" si="8"/>
        <v>2.3057083855123834E-3</v>
      </c>
      <c r="AF26" s="10">
        <f t="shared" si="9"/>
        <v>4.3178059653789946E-6</v>
      </c>
      <c r="AG26" s="10">
        <f t="shared" si="10"/>
        <v>5.2849945016238895E-3</v>
      </c>
      <c r="AH26" s="10">
        <f t="shared" si="11"/>
        <v>3.4343828648624529E-2</v>
      </c>
      <c r="AI26" s="10">
        <f t="shared" si="25"/>
        <v>2.3100261914777622E-3</v>
      </c>
      <c r="AJ26" s="22">
        <f t="shared" si="31"/>
        <v>2.1148100749504152E-3</v>
      </c>
      <c r="AK26">
        <f t="shared" si="32"/>
        <v>3.9627578200704186E-3</v>
      </c>
      <c r="AL26" s="25">
        <f t="shared" si="33"/>
        <v>2.1104472115005802E-3</v>
      </c>
      <c r="AM26" s="6">
        <f>AK26+AM24</f>
        <v>3.1006969033295605E-2</v>
      </c>
      <c r="AN26" s="6">
        <f>AL26+AN24</f>
        <v>1.2851473332368992E-2</v>
      </c>
      <c r="AO26" s="6">
        <f>AJ26+AO24</f>
        <v>1.2987793005999561E-2</v>
      </c>
      <c r="AP26" s="19">
        <f t="shared" si="34"/>
        <v>1.014619901936197</v>
      </c>
      <c r="AQ26" s="7">
        <f t="shared" si="26"/>
        <v>5909.0208998249764</v>
      </c>
      <c r="AR26" s="10">
        <f>AQ26*$D$7</f>
        <v>30.904179306084629</v>
      </c>
      <c r="AS26" s="6">
        <f t="shared" si="28"/>
        <v>3.0286095719962939E-3</v>
      </c>
      <c r="AT26" s="6">
        <f t="shared" si="12"/>
        <v>5847.9954699886739</v>
      </c>
      <c r="AU26" s="6">
        <f t="shared" si="13"/>
        <v>30.585016308040768</v>
      </c>
      <c r="AV26" s="6">
        <f t="shared" si="14"/>
        <v>2.9973315981879954E-3</v>
      </c>
      <c r="AW26" s="6">
        <f t="shared" si="29"/>
        <v>2.7434996346828609E-3</v>
      </c>
      <c r="AX26" s="52">
        <f t="shared" si="30"/>
        <v>3.0965463076927766E-3</v>
      </c>
      <c r="AY26" s="53">
        <f t="shared" si="15"/>
        <v>0.2419054191578825</v>
      </c>
      <c r="AZ26" s="54">
        <f t="shared" si="35"/>
        <v>1.2565253210940794</v>
      </c>
      <c r="BA26" s="23">
        <f t="shared" si="16"/>
        <v>0.81639909657977694</v>
      </c>
      <c r="BB26"/>
      <c r="BC26"/>
      <c r="BD26"/>
    </row>
    <row r="27" spans="1:56" ht="14.4" x14ac:dyDescent="0.3">
      <c r="A27" t="s">
        <v>124</v>
      </c>
      <c r="B27">
        <v>2</v>
      </c>
      <c r="C27" s="2">
        <v>45054</v>
      </c>
      <c r="D27" s="11">
        <v>0.4284722222222222</v>
      </c>
      <c r="E27" s="15">
        <v>1018.7</v>
      </c>
      <c r="F27">
        <v>1124.7</v>
      </c>
      <c r="G27">
        <v>1121.5999999999999</v>
      </c>
      <c r="H27">
        <v>0</v>
      </c>
      <c r="I27">
        <v>0.55000000000000004</v>
      </c>
      <c r="J27">
        <v>20.25</v>
      </c>
      <c r="K27">
        <v>75.260000000000005</v>
      </c>
      <c r="L27">
        <v>1</v>
      </c>
      <c r="N27" t="s">
        <v>99</v>
      </c>
      <c r="O27">
        <v>800.45</v>
      </c>
      <c r="P27" s="3">
        <f t="shared" si="4"/>
        <v>45054.428472222222</v>
      </c>
      <c r="Q27" s="4">
        <f t="shared" si="5"/>
        <v>19.788888888891961</v>
      </c>
      <c r="R27">
        <f t="shared" si="17"/>
        <v>96.06</v>
      </c>
      <c r="S27">
        <f t="shared" si="18"/>
        <v>0</v>
      </c>
      <c r="T27">
        <f t="shared" si="19"/>
        <v>0.57255881740578807</v>
      </c>
      <c r="U27">
        <f t="shared" si="20"/>
        <v>21.08057464084947</v>
      </c>
      <c r="V27">
        <f t="shared" si="21"/>
        <v>78.346866541744745</v>
      </c>
      <c r="W27">
        <f t="shared" si="22"/>
        <v>100</v>
      </c>
      <c r="X27" s="6">
        <f t="shared" si="23"/>
        <v>4.434391638115958E-2</v>
      </c>
      <c r="Y27" s="6">
        <f t="shared" si="0"/>
        <v>2.5389500322337883E-4</v>
      </c>
      <c r="Z27" s="6">
        <f t="shared" si="6"/>
        <v>0</v>
      </c>
      <c r="AA27" s="6">
        <f t="shared" si="1"/>
        <v>9.3479523914062196E-3</v>
      </c>
      <c r="AB27" s="6">
        <f t="shared" si="2"/>
        <v>3.4742068986529984E-2</v>
      </c>
      <c r="AC27" s="6">
        <f t="shared" si="24"/>
        <v>2.5389500322337883E-4</v>
      </c>
      <c r="AD27" s="6">
        <f t="shared" si="7"/>
        <v>4.4221691662762137E-2</v>
      </c>
      <c r="AE27" s="6">
        <f t="shared" si="8"/>
        <v>2.5319519482114484E-4</v>
      </c>
      <c r="AF27" s="6">
        <f t="shared" si="9"/>
        <v>0</v>
      </c>
      <c r="AG27" s="6">
        <f t="shared" si="10"/>
        <v>9.3221867184148793E-3</v>
      </c>
      <c r="AH27" s="6">
        <f t="shared" si="11"/>
        <v>3.4646309749526115E-2</v>
      </c>
      <c r="AI27" s="6">
        <f t="shared" si="25"/>
        <v>2.5319519482114484E-4</v>
      </c>
      <c r="AJ27" s="22"/>
      <c r="AL27" s="25"/>
      <c r="AM27" s="6"/>
      <c r="AN27" s="6"/>
      <c r="AO27" s="6"/>
      <c r="AP27" s="19"/>
      <c r="AQ27">
        <f t="shared" si="26"/>
        <v>643.95690193628991</v>
      </c>
      <c r="AR27" s="6">
        <f t="shared" si="27"/>
        <v>3.3678945971267966</v>
      </c>
      <c r="AS27" s="6">
        <f t="shared" si="28"/>
        <v>3.3005367051842612E-4</v>
      </c>
      <c r="AT27" s="6">
        <f t="shared" si="12"/>
        <v>642.18196960233183</v>
      </c>
      <c r="AU27" s="6">
        <f t="shared" si="13"/>
        <v>3.3586117010201955</v>
      </c>
      <c r="AV27" s="6">
        <f t="shared" si="14"/>
        <v>3.2914394669997915E-4</v>
      </c>
      <c r="AW27" s="6">
        <f t="shared" si="29"/>
        <v>-2.6672779276695692E-3</v>
      </c>
      <c r="AX27" s="52">
        <f t="shared" si="30"/>
        <v>4.2926838002320736E-4</v>
      </c>
      <c r="AY27" s="53">
        <f t="shared" si="15"/>
        <v>3.3534892451878635E-2</v>
      </c>
      <c r="AZ27" s="54"/>
      <c r="BA27" s="23">
        <f t="shared" si="16"/>
        <v>0</v>
      </c>
    </row>
    <row r="28" spans="1:56" s="7" customFormat="1" ht="14.4" x14ac:dyDescent="0.3">
      <c r="A28" t="s">
        <v>124</v>
      </c>
      <c r="B28">
        <v>2</v>
      </c>
      <c r="C28" s="2">
        <v>45056</v>
      </c>
      <c r="D28" s="11">
        <v>0.4284722222222222</v>
      </c>
      <c r="E28" s="15">
        <v>1007.9</v>
      </c>
      <c r="F28">
        <v>1093.4000000000001</v>
      </c>
      <c r="G28">
        <v>1091.0999999999999</v>
      </c>
      <c r="H28">
        <v>0</v>
      </c>
      <c r="I28">
        <v>3.19</v>
      </c>
      <c r="J28">
        <v>16.14</v>
      </c>
      <c r="K28">
        <v>77.02</v>
      </c>
      <c r="L28">
        <v>0</v>
      </c>
      <c r="M28"/>
      <c r="N28" t="s">
        <v>99</v>
      </c>
      <c r="O28"/>
      <c r="P28" s="8">
        <f t="shared" si="4"/>
        <v>45056.428472222222</v>
      </c>
      <c r="Q28" s="9">
        <f t="shared" si="5"/>
        <v>21.788888888891961</v>
      </c>
      <c r="R28">
        <f t="shared" si="17"/>
        <v>96.35</v>
      </c>
      <c r="S28">
        <f t="shared" si="18"/>
        <v>0</v>
      </c>
      <c r="T28">
        <f t="shared" si="19"/>
        <v>3.310845874416191</v>
      </c>
      <c r="U28">
        <f t="shared" si="20"/>
        <v>16.751427088738975</v>
      </c>
      <c r="V28">
        <f t="shared" si="21"/>
        <v>79.937727036844848</v>
      </c>
      <c r="W28">
        <f t="shared" si="22"/>
        <v>100.00000000000001</v>
      </c>
      <c r="X28" s="10">
        <f t="shared" si="23"/>
        <v>4.3109840998630647E-2</v>
      </c>
      <c r="Y28" s="10">
        <f t="shared" si="0"/>
        <v>1.4273003921705424E-3</v>
      </c>
      <c r="Z28" s="10">
        <f t="shared" si="6"/>
        <v>0</v>
      </c>
      <c r="AA28" s="10">
        <f t="shared" si="1"/>
        <v>7.2215135829569142E-3</v>
      </c>
      <c r="AB28" s="10">
        <f t="shared" si="2"/>
        <v>3.4461027023503198E-2</v>
      </c>
      <c r="AC28" s="10">
        <f t="shared" si="24"/>
        <v>1.4273003921705424E-3</v>
      </c>
      <c r="AD28" s="10">
        <f t="shared" si="7"/>
        <v>4.3019158143045438E-2</v>
      </c>
      <c r="AE28" s="10">
        <f t="shared" si="8"/>
        <v>1.4242980225875968E-3</v>
      </c>
      <c r="AF28" s="10">
        <f t="shared" si="9"/>
        <v>0</v>
      </c>
      <c r="AG28" s="10">
        <f t="shared" si="10"/>
        <v>7.2063229105215725E-3</v>
      </c>
      <c r="AH28" s="10">
        <f t="shared" si="11"/>
        <v>3.4388537209936273E-2</v>
      </c>
      <c r="AI28" s="10">
        <f t="shared" si="25"/>
        <v>1.4242980225875968E-3</v>
      </c>
      <c r="AJ28" s="22">
        <f t="shared" si="31"/>
        <v>1.1741051973493976E-3</v>
      </c>
      <c r="AK28">
        <f t="shared" si="32"/>
        <v>2.1006731354579651E-3</v>
      </c>
      <c r="AL28" s="25">
        <f t="shared" si="33"/>
        <v>1.1741051973493976E-3</v>
      </c>
      <c r="AM28" s="6">
        <f>AK28+AM26</f>
        <v>3.3107642168753573E-2</v>
      </c>
      <c r="AN28" s="6">
        <f>AL28+AN26</f>
        <v>1.4025578529718389E-2</v>
      </c>
      <c r="AO28" s="6">
        <f>AJ28+AO26</f>
        <v>1.4161898203348958E-2</v>
      </c>
      <c r="AP28" s="19">
        <f t="shared" si="34"/>
        <v>1.1063422214747924</v>
      </c>
      <c r="AQ28" s="7">
        <f t="shared" si="26"/>
        <v>3620.0788790866641</v>
      </c>
      <c r="AR28" s="10">
        <f t="shared" si="27"/>
        <v>18.933012537623256</v>
      </c>
      <c r="AS28" s="6">
        <f t="shared" si="28"/>
        <v>1.8554352286870792E-3</v>
      </c>
      <c r="AT28" s="6">
        <f t="shared" si="12"/>
        <v>3612.4639335755055</v>
      </c>
      <c r="AU28" s="6">
        <f t="shared" si="13"/>
        <v>18.893186372599896</v>
      </c>
      <c r="AV28" s="6">
        <f t="shared" si="14"/>
        <v>1.8515322645147898E-3</v>
      </c>
      <c r="AW28" s="6">
        <f t="shared" si="29"/>
        <v>1.5262912819871001E-3</v>
      </c>
      <c r="AX28" s="52">
        <f t="shared" si="30"/>
        <v>1.9555596620103076E-3</v>
      </c>
      <c r="AY28" s="53">
        <f t="shared" si="15"/>
        <v>0.15277035533155833</v>
      </c>
      <c r="AZ28" s="54">
        <f t="shared" si="35"/>
        <v>1.2591125768063507</v>
      </c>
      <c r="BA28" s="23">
        <f t="shared" si="16"/>
        <v>0.77791285521676889</v>
      </c>
      <c r="BB28"/>
      <c r="BC28"/>
      <c r="BD28"/>
    </row>
    <row r="29" spans="1:56" ht="15" customHeight="1" x14ac:dyDescent="0.3">
      <c r="A29" t="s">
        <v>124</v>
      </c>
      <c r="B29">
        <v>2</v>
      </c>
      <c r="C29" s="2">
        <v>45056</v>
      </c>
      <c r="D29" s="11">
        <v>0.45555555555555555</v>
      </c>
      <c r="E29" s="15">
        <v>1008.3</v>
      </c>
      <c r="F29">
        <v>1112.4000000000001</v>
      </c>
      <c r="G29">
        <v>1109.4000000000001</v>
      </c>
      <c r="H29">
        <v>0.04</v>
      </c>
      <c r="I29">
        <v>0.28000000000000003</v>
      </c>
      <c r="J29">
        <v>20.27</v>
      </c>
      <c r="K29">
        <v>75.239999999999995</v>
      </c>
      <c r="L29">
        <v>1</v>
      </c>
      <c r="N29" t="s">
        <v>99</v>
      </c>
      <c r="O29">
        <v>800.35</v>
      </c>
      <c r="P29" s="3">
        <f t="shared" si="4"/>
        <v>45056.455555555556</v>
      </c>
      <c r="Q29" s="4">
        <f t="shared" si="5"/>
        <v>21.815972222226264</v>
      </c>
      <c r="R29">
        <f t="shared" si="17"/>
        <v>95.83</v>
      </c>
      <c r="S29">
        <f t="shared" si="18"/>
        <v>4.1740582281122825E-2</v>
      </c>
      <c r="T29">
        <f t="shared" si="19"/>
        <v>0.29218407596785978</v>
      </c>
      <c r="U29">
        <f t="shared" si="20"/>
        <v>21.152040070958989</v>
      </c>
      <c r="V29">
        <f t="shared" si="21"/>
        <v>78.514035270792021</v>
      </c>
      <c r="W29">
        <f t="shared" si="22"/>
        <v>100</v>
      </c>
      <c r="X29" s="6">
        <f t="shared" si="23"/>
        <v>4.3858960240421373E-2</v>
      </c>
      <c r="Y29" s="6">
        <f t="shared" si="0"/>
        <v>1.2814889770758618E-4</v>
      </c>
      <c r="Z29" s="6">
        <f t="shared" si="6"/>
        <v>1.8306985386798027E-5</v>
      </c>
      <c r="AA29" s="6">
        <f t="shared" si="1"/>
        <v>9.2770648447599007E-3</v>
      </c>
      <c r="AB29" s="6">
        <f t="shared" si="2"/>
        <v>3.4435439512567084E-2</v>
      </c>
      <c r="AC29" s="6">
        <f>Y29+Z29</f>
        <v>1.4645588309438422E-4</v>
      </c>
      <c r="AD29" s="6">
        <f t="shared" si="7"/>
        <v>4.3740678254875473E-2</v>
      </c>
      <c r="AE29" s="6">
        <f t="shared" si="8"/>
        <v>1.2780329658108246E-4</v>
      </c>
      <c r="AF29" s="6">
        <f t="shared" si="9"/>
        <v>1.8257613797297495E-5</v>
      </c>
      <c r="AG29" s="6">
        <f t="shared" si="10"/>
        <v>9.2520457917805062E-3</v>
      </c>
      <c r="AH29" s="6">
        <f t="shared" si="11"/>
        <v>3.4342571552716583E-2</v>
      </c>
      <c r="AI29" s="6">
        <f>AE29+AF29</f>
        <v>1.4606091037837996E-4</v>
      </c>
      <c r="AJ29" s="22"/>
      <c r="AL29" s="25"/>
      <c r="AM29" s="6"/>
      <c r="AN29" s="6"/>
      <c r="AO29" s="6"/>
      <c r="AP29" s="19"/>
      <c r="AQ29">
        <f>F29*100*T29/100</f>
        <v>325.02556610664726</v>
      </c>
      <c r="AR29" s="6">
        <f t="shared" si="27"/>
        <v>1.6998837107377653</v>
      </c>
      <c r="AS29" s="6">
        <f t="shared" si="28"/>
        <v>1.6658860365230101E-4</v>
      </c>
      <c r="AT29" s="6">
        <f t="shared" si="12"/>
        <v>324.14901387874369</v>
      </c>
      <c r="AU29" s="6">
        <f t="shared" si="13"/>
        <v>1.6952993425858296</v>
      </c>
      <c r="AV29" s="6">
        <f t="shared" si="14"/>
        <v>1.6613933557341131E-4</v>
      </c>
      <c r="AW29" s="6">
        <f t="shared" si="29"/>
        <v>-1.6849436608624888E-3</v>
      </c>
      <c r="AX29" s="52">
        <f t="shared" si="30"/>
        <v>2.7061600114781882E-4</v>
      </c>
      <c r="AY29" s="53">
        <f t="shared" si="15"/>
        <v>2.1140803554547734E-2</v>
      </c>
      <c r="AZ29" s="54"/>
      <c r="BA29" s="23">
        <f t="shared" si="16"/>
        <v>0</v>
      </c>
    </row>
    <row r="30" spans="1:56" ht="15" customHeight="1" x14ac:dyDescent="0.3">
      <c r="A30" t="s">
        <v>124</v>
      </c>
      <c r="B30">
        <v>2</v>
      </c>
      <c r="C30" s="2">
        <v>45058</v>
      </c>
      <c r="D30" s="11">
        <v>0.40486111111111112</v>
      </c>
      <c r="E30" s="15">
        <v>1014.8</v>
      </c>
      <c r="F30">
        <v>1082.7</v>
      </c>
      <c r="G30">
        <v>1080.4000000000001</v>
      </c>
      <c r="H30">
        <v>0</v>
      </c>
      <c r="I30">
        <v>2.75</v>
      </c>
      <c r="J30">
        <v>16.66</v>
      </c>
      <c r="K30">
        <v>77.47</v>
      </c>
      <c r="L30">
        <v>0</v>
      </c>
      <c r="N30" t="s">
        <v>99</v>
      </c>
      <c r="P30" s="8">
        <f t="shared" si="4"/>
        <v>45058.404861111114</v>
      </c>
      <c r="Q30" s="9">
        <f t="shared" si="5"/>
        <v>23.765277777783922</v>
      </c>
      <c r="R30">
        <f t="shared" si="17"/>
        <v>96.88</v>
      </c>
      <c r="S30">
        <f t="shared" si="18"/>
        <v>0</v>
      </c>
      <c r="T30">
        <f t="shared" si="19"/>
        <v>2.8385631709331132</v>
      </c>
      <c r="U30">
        <f t="shared" si="20"/>
        <v>17.196531791907514</v>
      </c>
      <c r="V30">
        <f t="shared" si="21"/>
        <v>79.964905037159383</v>
      </c>
      <c r="W30">
        <f t="shared" si="22"/>
        <v>100.00000000000001</v>
      </c>
      <c r="X30" s="6">
        <f t="shared" si="23"/>
        <v>4.2687968583516915E-2</v>
      </c>
      <c r="Y30" s="6">
        <f t="shared" si="0"/>
        <v>1.2117249546312089E-3</v>
      </c>
      <c r="Z30" s="6">
        <f t="shared" si="6"/>
        <v>0</v>
      </c>
      <c r="AA30" s="6">
        <f t="shared" si="1"/>
        <v>7.3408500887839779E-3</v>
      </c>
      <c r="AB30" s="6">
        <f t="shared" si="2"/>
        <v>3.4135393540101734E-2</v>
      </c>
      <c r="AC30" s="6">
        <f t="shared" ref="AC30:AC35" si="73">Y30+Z30</f>
        <v>1.2117249546312089E-3</v>
      </c>
      <c r="AD30" s="6">
        <f t="shared" si="7"/>
        <v>4.2597285727931727E-2</v>
      </c>
      <c r="AE30" s="6">
        <f t="shared" si="8"/>
        <v>1.2091508644902172E-3</v>
      </c>
      <c r="AF30" s="6">
        <f t="shared" si="9"/>
        <v>0</v>
      </c>
      <c r="AG30" s="6">
        <f t="shared" si="10"/>
        <v>7.3252557826934614E-3</v>
      </c>
      <c r="AH30" s="6">
        <f t="shared" si="11"/>
        <v>3.4062879080748051E-2</v>
      </c>
      <c r="AI30" s="6">
        <f t="shared" ref="AI30:AI35" si="74">AE30+AF30</f>
        <v>1.2091508644902172E-3</v>
      </c>
      <c r="AJ30" s="22">
        <f t="shared" si="31"/>
        <v>1.0656640442528289E-3</v>
      </c>
      <c r="AK30">
        <f t="shared" si="32"/>
        <v>1.9111957029965283E-3</v>
      </c>
      <c r="AL30" s="25">
        <f t="shared" si="33"/>
        <v>1.0839216580501264E-3</v>
      </c>
      <c r="AM30" s="6">
        <f>AK30+AM28</f>
        <v>3.50188378717501E-2</v>
      </c>
      <c r="AN30" s="6">
        <f>AL30+AN28</f>
        <v>1.5109500187768516E-2</v>
      </c>
      <c r="AO30" s="6">
        <f>AJ30+AO28</f>
        <v>1.5227562247601786E-2</v>
      </c>
      <c r="AP30" s="19">
        <f t="shared" si="34"/>
        <v>1.1895930053129138</v>
      </c>
      <c r="AQ30">
        <f t="shared" ref="AQ30:AQ35" si="75">F30*100*T30/100</f>
        <v>3073.3123451692813</v>
      </c>
      <c r="AR30" s="6">
        <f t="shared" si="27"/>
        <v>16.073423565235341</v>
      </c>
      <c r="AS30" s="6">
        <f t="shared" si="28"/>
        <v>1.5751955093930635E-3</v>
      </c>
      <c r="AT30" s="6">
        <f t="shared" si="12"/>
        <v>3066.7836498761358</v>
      </c>
      <c r="AU30" s="6">
        <f t="shared" si="13"/>
        <v>16.03927848885219</v>
      </c>
      <c r="AV30" s="6">
        <f t="shared" si="14"/>
        <v>1.5718492919075146E-3</v>
      </c>
      <c r="AW30" s="6">
        <f t="shared" si="29"/>
        <v>1.4090561738196521E-3</v>
      </c>
      <c r="AX30" s="52">
        <f t="shared" si="30"/>
        <v>1.679672174967471E-3</v>
      </c>
      <c r="AY30" s="53">
        <f t="shared" si="15"/>
        <v>0.13121773781451593</v>
      </c>
      <c r="AZ30" s="54">
        <f t="shared" si="35"/>
        <v>1.3208107431274296</v>
      </c>
      <c r="BA30" s="23">
        <f t="shared" si="16"/>
        <v>0.76663164772833015</v>
      </c>
    </row>
    <row r="31" spans="1:56" ht="15" customHeight="1" x14ac:dyDescent="0.3">
      <c r="A31" t="s">
        <v>124</v>
      </c>
      <c r="B31">
        <v>2</v>
      </c>
      <c r="C31" s="2">
        <v>45058</v>
      </c>
      <c r="D31" s="11">
        <v>0.43958333333333338</v>
      </c>
      <c r="E31" s="15">
        <v>1015</v>
      </c>
      <c r="F31">
        <v>1119.5999999999999</v>
      </c>
      <c r="G31">
        <v>1116.5</v>
      </c>
      <c r="H31">
        <v>0</v>
      </c>
      <c r="I31">
        <v>0.31</v>
      </c>
      <c r="J31">
        <v>20.27</v>
      </c>
      <c r="K31">
        <v>75.180000000000007</v>
      </c>
      <c r="L31">
        <v>1</v>
      </c>
      <c r="N31" t="s">
        <v>99</v>
      </c>
      <c r="O31">
        <v>800.26</v>
      </c>
      <c r="P31" s="3">
        <f t="shared" si="4"/>
        <v>45058.439583333333</v>
      </c>
      <c r="Q31" s="4">
        <f t="shared" si="5"/>
        <v>23.80000000000291</v>
      </c>
      <c r="R31">
        <f t="shared" si="17"/>
        <v>95.76</v>
      </c>
      <c r="S31">
        <f t="shared" si="18"/>
        <v>0</v>
      </c>
      <c r="T31">
        <f t="shared" si="19"/>
        <v>0.32372598162071847</v>
      </c>
      <c r="U31">
        <f t="shared" si="20"/>
        <v>21.16750208855472</v>
      </c>
      <c r="V31">
        <f t="shared" si="21"/>
        <v>78.508771929824562</v>
      </c>
      <c r="W31">
        <f t="shared" si="22"/>
        <v>100</v>
      </c>
      <c r="X31" s="10">
        <f t="shared" si="23"/>
        <v>4.4142837005731538E-2</v>
      </c>
      <c r="Y31" s="10">
        <f t="shared" si="0"/>
        <v>1.4290183241203819E-4</v>
      </c>
      <c r="Z31" s="10">
        <f t="shared" si="6"/>
        <v>0</v>
      </c>
      <c r="AA31" s="10">
        <f t="shared" si="1"/>
        <v>9.3439359451355283E-3</v>
      </c>
      <c r="AB31" s="10">
        <f t="shared" si="2"/>
        <v>3.4655999228183972E-2</v>
      </c>
      <c r="AC31" s="10">
        <f t="shared" si="73"/>
        <v>1.4290183241203819E-4</v>
      </c>
      <c r="AD31" s="10">
        <f t="shared" si="7"/>
        <v>4.4020612287334102E-2</v>
      </c>
      <c r="AE31" s="10">
        <f t="shared" si="8"/>
        <v>1.4250615924262292E-4</v>
      </c>
      <c r="AF31" s="10">
        <f t="shared" si="9"/>
        <v>0</v>
      </c>
      <c r="AG31" s="10">
        <f t="shared" si="10"/>
        <v>9.318064025316021E-3</v>
      </c>
      <c r="AH31" s="10">
        <f t="shared" si="11"/>
        <v>3.4560042102775454E-2</v>
      </c>
      <c r="AI31" s="10">
        <f t="shared" si="74"/>
        <v>1.4250615924262292E-4</v>
      </c>
      <c r="AJ31" s="22"/>
      <c r="AL31" s="25"/>
      <c r="AM31" s="6"/>
      <c r="AN31" s="6"/>
      <c r="AO31" s="6"/>
      <c r="AP31" s="19"/>
      <c r="AQ31" s="7">
        <f t="shared" si="75"/>
        <v>362.44360902255636</v>
      </c>
      <c r="AR31" s="10">
        <f t="shared" si="27"/>
        <v>1.8955800751879699</v>
      </c>
      <c r="AS31" s="6">
        <f t="shared" si="28"/>
        <v>1.8576684736842106E-4</v>
      </c>
      <c r="AT31" s="6">
        <f t="shared" si="12"/>
        <v>361.44005847953218</v>
      </c>
      <c r="AU31" s="6">
        <f t="shared" si="13"/>
        <v>1.8903315058479535</v>
      </c>
      <c r="AV31" s="6">
        <f t="shared" si="14"/>
        <v>1.8525248757309944E-4</v>
      </c>
      <c r="AW31" s="6">
        <f t="shared" si="29"/>
        <v>-1.3860824445390935E-3</v>
      </c>
      <c r="AX31" s="52">
        <f t="shared" si="30"/>
        <v>2.9358973042837742E-4</v>
      </c>
      <c r="AY31" s="53">
        <f t="shared" si="15"/>
        <v>2.2935535187472707E-2</v>
      </c>
      <c r="AZ31" s="54"/>
      <c r="BA31" s="23">
        <f t="shared" si="16"/>
        <v>0</v>
      </c>
    </row>
    <row r="32" spans="1:56" ht="15" customHeight="1" x14ac:dyDescent="0.3">
      <c r="A32" t="s">
        <v>124</v>
      </c>
      <c r="B32">
        <v>2</v>
      </c>
      <c r="C32" s="2">
        <v>45061</v>
      </c>
      <c r="D32" s="11">
        <v>0.43124999999999997</v>
      </c>
      <c r="E32" s="15">
        <v>1012.8</v>
      </c>
      <c r="F32">
        <v>1084.2</v>
      </c>
      <c r="G32">
        <v>1081.0999999999999</v>
      </c>
      <c r="H32">
        <v>0.05</v>
      </c>
      <c r="I32">
        <v>3.88</v>
      </c>
      <c r="J32">
        <v>15.1</v>
      </c>
      <c r="K32">
        <v>79.53</v>
      </c>
      <c r="L32">
        <v>0</v>
      </c>
      <c r="N32" t="s">
        <v>99</v>
      </c>
      <c r="P32" s="3">
        <f t="shared" si="4"/>
        <v>45061.431250000001</v>
      </c>
      <c r="Q32" s="4">
        <f t="shared" si="5"/>
        <v>26.791666666671517</v>
      </c>
      <c r="R32">
        <f t="shared" si="17"/>
        <v>98.56</v>
      </c>
      <c r="S32">
        <f t="shared" si="18"/>
        <v>5.073051948051948E-2</v>
      </c>
      <c r="T32">
        <f t="shared" si="19"/>
        <v>3.9366883116883118</v>
      </c>
      <c r="U32">
        <f t="shared" si="20"/>
        <v>15.320616883116882</v>
      </c>
      <c r="V32">
        <f t="shared" si="21"/>
        <v>80.691964285714278</v>
      </c>
      <c r="W32">
        <f t="shared" si="22"/>
        <v>100</v>
      </c>
      <c r="X32" s="10">
        <f t="shared" si="23"/>
        <v>4.2747109576289868E-2</v>
      </c>
      <c r="Y32" s="10">
        <f t="shared" si="0"/>
        <v>1.6828204662743985E-3</v>
      </c>
      <c r="Z32" s="10">
        <f t="shared" si="6"/>
        <v>2.168583075095874E-5</v>
      </c>
      <c r="AA32" s="10">
        <f t="shared" si="1"/>
        <v>6.5491208867895388E-3</v>
      </c>
      <c r="AB32" s="10">
        <f t="shared" si="2"/>
        <v>3.4493482392474968E-2</v>
      </c>
      <c r="AC32" s="10">
        <f t="shared" si="73"/>
        <v>1.7045062970253572E-3</v>
      </c>
      <c r="AD32" s="10">
        <f t="shared" si="7"/>
        <v>4.2624884857892426E-2</v>
      </c>
      <c r="AE32" s="10">
        <f t="shared" si="8"/>
        <v>1.6780088600712522E-3</v>
      </c>
      <c r="AF32" s="10">
        <f t="shared" si="9"/>
        <v>2.1623825516382116E-5</v>
      </c>
      <c r="AG32" s="10">
        <f t="shared" si="10"/>
        <v>6.5303953059473981E-3</v>
      </c>
      <c r="AH32" s="10">
        <f t="shared" si="11"/>
        <v>3.439485686635739E-2</v>
      </c>
      <c r="AI32" s="10">
        <f t="shared" si="74"/>
        <v>1.6996326855876344E-3</v>
      </c>
      <c r="AJ32" s="22">
        <f t="shared" si="31"/>
        <v>1.5620001377827342E-3</v>
      </c>
      <c r="AK32">
        <f t="shared" si="32"/>
        <v>2.7689431385264822E-3</v>
      </c>
      <c r="AL32" s="25">
        <f t="shared" si="33"/>
        <v>1.5403143070317755E-3</v>
      </c>
      <c r="AM32" s="6">
        <f>AK32+AM30</f>
        <v>3.7787781010276585E-2</v>
      </c>
      <c r="AN32" s="6">
        <f>AL32+AN30</f>
        <v>1.664981449480029E-2</v>
      </c>
      <c r="AO32" s="6">
        <f>AJ32+AO30</f>
        <v>1.678956238538452E-2</v>
      </c>
      <c r="AP32" s="19">
        <f t="shared" si="34"/>
        <v>1.3116180811583131</v>
      </c>
      <c r="AQ32">
        <f t="shared" si="75"/>
        <v>4268.1574675324673</v>
      </c>
      <c r="AR32" s="6">
        <f t="shared" si="27"/>
        <v>22.322463555194805</v>
      </c>
      <c r="AS32" s="6">
        <f t="shared" si="28"/>
        <v>2.1876014284090907E-3</v>
      </c>
      <c r="AT32" s="6">
        <f t="shared" si="12"/>
        <v>4255.9537337662332</v>
      </c>
      <c r="AU32" s="6">
        <f t="shared" si="13"/>
        <v>22.258638027597399</v>
      </c>
      <c r="AV32" s="6">
        <f t="shared" si="14"/>
        <v>2.1813465267045452E-3</v>
      </c>
      <c r="AW32" s="6">
        <f t="shared" si="29"/>
        <v>2.0023489408359913E-3</v>
      </c>
      <c r="AX32" s="52">
        <f t="shared" si="30"/>
        <v>2.2959386712643687E-3</v>
      </c>
      <c r="AY32" s="53">
        <f t="shared" si="15"/>
        <v>0.17936111765976626</v>
      </c>
      <c r="AZ32" s="54">
        <f t="shared" si="35"/>
        <v>1.4909791988180794</v>
      </c>
      <c r="BA32" s="23">
        <f t="shared" si="16"/>
        <v>0.78159930673428646</v>
      </c>
    </row>
    <row r="33" spans="1:53" ht="15" customHeight="1" x14ac:dyDescent="0.3">
      <c r="A33" t="s">
        <v>124</v>
      </c>
      <c r="B33">
        <v>2</v>
      </c>
      <c r="C33" s="2">
        <v>45061</v>
      </c>
      <c r="D33" s="11">
        <v>0.46180555555555558</v>
      </c>
      <c r="E33" s="15">
        <v>1012.8</v>
      </c>
      <c r="F33">
        <v>1116.4000000000001</v>
      </c>
      <c r="G33">
        <v>1114.3</v>
      </c>
      <c r="H33">
        <v>0</v>
      </c>
      <c r="I33">
        <v>0.39</v>
      </c>
      <c r="J33">
        <v>20.47</v>
      </c>
      <c r="K33">
        <v>75.930000000000007</v>
      </c>
      <c r="L33">
        <v>1</v>
      </c>
      <c r="N33" t="s">
        <v>99</v>
      </c>
      <c r="O33">
        <v>800.17</v>
      </c>
      <c r="P33" s="3">
        <f t="shared" si="4"/>
        <v>45061.461805555555</v>
      </c>
      <c r="Q33" s="4">
        <f t="shared" si="5"/>
        <v>26.822222222224809</v>
      </c>
      <c r="R33">
        <f t="shared" si="17"/>
        <v>96.79</v>
      </c>
      <c r="S33">
        <f t="shared" si="18"/>
        <v>0</v>
      </c>
      <c r="T33">
        <f t="shared" si="19"/>
        <v>0.40293418741605536</v>
      </c>
      <c r="U33">
        <f t="shared" si="20"/>
        <v>21.148879016427315</v>
      </c>
      <c r="V33">
        <f t="shared" si="21"/>
        <v>78.448186796156634</v>
      </c>
      <c r="W33">
        <f t="shared" si="22"/>
        <v>100</v>
      </c>
      <c r="X33" s="10">
        <f t="shared" si="23"/>
        <v>4.4016669554482579E-2</v>
      </c>
      <c r="Y33" s="10">
        <f t="shared" si="0"/>
        <v>1.7735820979696462E-4</v>
      </c>
      <c r="Z33" s="10">
        <f t="shared" si="6"/>
        <v>0</v>
      </c>
      <c r="AA33" s="10">
        <f t="shared" si="1"/>
        <v>9.3090321911381176E-3</v>
      </c>
      <c r="AB33" s="10">
        <f t="shared" si="2"/>
        <v>3.4530279153547498E-2</v>
      </c>
      <c r="AC33" s="10">
        <f t="shared" si="73"/>
        <v>1.7735820979696462E-4</v>
      </c>
      <c r="AD33" s="10">
        <f t="shared" si="7"/>
        <v>4.3933872164600443E-2</v>
      </c>
      <c r="AE33" s="10">
        <f t="shared" si="8"/>
        <v>1.7702459080684132E-4</v>
      </c>
      <c r="AF33" s="10">
        <f t="shared" si="9"/>
        <v>0</v>
      </c>
      <c r="AG33" s="10">
        <f t="shared" si="10"/>
        <v>9.2915214713231841E-3</v>
      </c>
      <c r="AH33" s="10">
        <f t="shared" si="11"/>
        <v>3.4465326102470419E-2</v>
      </c>
      <c r="AI33" s="10">
        <f t="shared" si="74"/>
        <v>1.7702459080684132E-4</v>
      </c>
      <c r="AJ33" s="22"/>
      <c r="AL33" s="25"/>
      <c r="AM33" s="6"/>
      <c r="AN33" s="6"/>
      <c r="AO33" s="6"/>
      <c r="AP33" s="19"/>
      <c r="AQ33">
        <f t="shared" si="75"/>
        <v>449.83572683128426</v>
      </c>
      <c r="AR33" s="6">
        <f t="shared" si="27"/>
        <v>2.3526408513276169</v>
      </c>
      <c r="AS33" s="6">
        <f t="shared" si="28"/>
        <v>2.3055880343010644E-4</v>
      </c>
      <c r="AT33" s="6">
        <f t="shared" si="12"/>
        <v>448.98956503771046</v>
      </c>
      <c r="AU33" s="6">
        <f t="shared" si="13"/>
        <v>2.348215425147226</v>
      </c>
      <c r="AV33" s="6">
        <f t="shared" si="14"/>
        <v>2.3012511166442816E-4</v>
      </c>
      <c r="AW33" s="6">
        <f t="shared" si="29"/>
        <v>-1.9507877232744389E-3</v>
      </c>
      <c r="AX33" s="52">
        <f t="shared" si="30"/>
        <v>3.4515094798992984E-4</v>
      </c>
      <c r="AY33" s="53">
        <f t="shared" si="15"/>
        <v>2.6963551146908377E-2</v>
      </c>
      <c r="AZ33" s="54"/>
      <c r="BA33" s="23">
        <f t="shared" si="16"/>
        <v>0</v>
      </c>
    </row>
    <row r="34" spans="1:53" ht="15" customHeight="1" x14ac:dyDescent="0.3">
      <c r="A34" t="s">
        <v>124</v>
      </c>
      <c r="B34">
        <v>2</v>
      </c>
      <c r="C34" s="2">
        <v>45063</v>
      </c>
      <c r="D34" s="11">
        <v>0.39583333333333331</v>
      </c>
      <c r="E34" s="15">
        <v>1025.5</v>
      </c>
      <c r="F34">
        <v>1091.9000000000001</v>
      </c>
      <c r="G34">
        <v>1090</v>
      </c>
      <c r="H34">
        <v>0</v>
      </c>
      <c r="I34">
        <v>2.84</v>
      </c>
      <c r="J34">
        <v>17.18</v>
      </c>
      <c r="K34">
        <v>78.84</v>
      </c>
      <c r="L34">
        <v>0</v>
      </c>
      <c r="N34" t="s">
        <v>99</v>
      </c>
      <c r="P34" s="3">
        <f t="shared" si="4"/>
        <v>45063.395833333336</v>
      </c>
      <c r="Q34" s="4">
        <f t="shared" si="5"/>
        <v>28.756250000005821</v>
      </c>
      <c r="R34">
        <f t="shared" si="17"/>
        <v>98.86</v>
      </c>
      <c r="S34">
        <f t="shared" si="18"/>
        <v>0</v>
      </c>
      <c r="T34">
        <f t="shared" si="19"/>
        <v>2.8727493425045521</v>
      </c>
      <c r="U34">
        <f t="shared" si="20"/>
        <v>17.378110459235284</v>
      </c>
      <c r="V34">
        <f t="shared" si="21"/>
        <v>79.749140198260164</v>
      </c>
      <c r="W34">
        <f t="shared" si="22"/>
        <v>100</v>
      </c>
      <c r="X34" s="10">
        <f t="shared" si="23"/>
        <v>4.3050700005857694E-2</v>
      </c>
      <c r="Y34" s="10">
        <f t="shared" si="0"/>
        <v>1.236738701361884E-3</v>
      </c>
      <c r="Z34" s="10">
        <f t="shared" si="6"/>
        <v>0</v>
      </c>
      <c r="AA34" s="10">
        <f t="shared" si="1"/>
        <v>7.4813982004919609E-3</v>
      </c>
      <c r="AB34" s="10">
        <f t="shared" si="2"/>
        <v>3.4332563104003851E-2</v>
      </c>
      <c r="AC34" s="10">
        <f t="shared" si="73"/>
        <v>1.236738701361884E-3</v>
      </c>
      <c r="AD34" s="10">
        <f t="shared" si="7"/>
        <v>4.2975788081678616E-2</v>
      </c>
      <c r="AE34" s="10">
        <f t="shared" si="8"/>
        <v>1.2345866695525722E-3</v>
      </c>
      <c r="AF34" s="10">
        <f t="shared" si="9"/>
        <v>0</v>
      </c>
      <c r="AG34" s="10">
        <f t="shared" si="10"/>
        <v>7.4683799235609827E-3</v>
      </c>
      <c r="AH34" s="10">
        <f t="shared" si="11"/>
        <v>3.4272821488565058E-2</v>
      </c>
      <c r="AI34" s="10">
        <f t="shared" si="74"/>
        <v>1.2345866695525722E-3</v>
      </c>
      <c r="AJ34" s="22">
        <f t="shared" ref="AJ34" si="76">AC34-AI33</f>
        <v>1.0597141105550426E-3</v>
      </c>
      <c r="AK34">
        <f t="shared" ref="AK34" si="77">(AA34-AG33)*-1</f>
        <v>1.8101232708312232E-3</v>
      </c>
      <c r="AL34" s="25">
        <f t="shared" ref="AL34" si="78">Y34-AE33</f>
        <v>1.0597141105550426E-3</v>
      </c>
      <c r="AM34" s="6">
        <f>AK34+AM32</f>
        <v>3.9597904281107807E-2</v>
      </c>
      <c r="AN34" s="6">
        <f>AL34+AN32</f>
        <v>1.7709528605355334E-2</v>
      </c>
      <c r="AO34" s="6">
        <f>AJ34+AO32</f>
        <v>1.7849276495939564E-2</v>
      </c>
      <c r="AP34" s="19">
        <f t="shared" ref="AP34:AP36" si="79">AO34*$D$4*1000/$D$6</f>
        <v>1.3944040499857411</v>
      </c>
      <c r="AQ34">
        <f t="shared" si="75"/>
        <v>3136.755007080721</v>
      </c>
      <c r="AR34" s="6">
        <f t="shared" si="27"/>
        <v>16.405228687032171</v>
      </c>
      <c r="AS34" s="6">
        <f t="shared" si="28"/>
        <v>1.6077124113291527E-3</v>
      </c>
      <c r="AT34" s="6">
        <f t="shared" si="12"/>
        <v>3131.2967833299613</v>
      </c>
      <c r="AU34" s="6">
        <f t="shared" si="13"/>
        <v>16.376682176815699</v>
      </c>
      <c r="AV34" s="6">
        <f t="shared" si="14"/>
        <v>1.6049148533279385E-3</v>
      </c>
      <c r="AW34" s="6">
        <f t="shared" si="29"/>
        <v>1.3775872996647245E-3</v>
      </c>
      <c r="AX34" s="52">
        <f t="shared" si="30"/>
        <v>1.7227382476546543E-3</v>
      </c>
      <c r="AY34" s="53">
        <f t="shared" si="15"/>
        <v>0.13458210421814298</v>
      </c>
      <c r="AZ34" s="54">
        <f t="shared" si="35"/>
        <v>1.5289861542038841</v>
      </c>
      <c r="BA34" s="23">
        <f t="shared" si="16"/>
        <v>0.74267518298773216</v>
      </c>
    </row>
    <row r="35" spans="1:53" ht="15" customHeight="1" x14ac:dyDescent="0.3">
      <c r="A35" t="s">
        <v>124</v>
      </c>
      <c r="B35">
        <v>2</v>
      </c>
      <c r="C35" s="2">
        <v>45063</v>
      </c>
      <c r="D35" s="11">
        <v>0.42430555555555555</v>
      </c>
      <c r="E35" s="15">
        <v>1025.8</v>
      </c>
      <c r="F35">
        <v>1131.3</v>
      </c>
      <c r="G35">
        <v>1127.5999999999999</v>
      </c>
      <c r="H35">
        <v>0</v>
      </c>
      <c r="I35">
        <v>0.38</v>
      </c>
      <c r="J35">
        <v>20.59</v>
      </c>
      <c r="K35">
        <v>76.45</v>
      </c>
      <c r="L35">
        <v>1</v>
      </c>
      <c r="N35" t="s">
        <v>99</v>
      </c>
      <c r="O35">
        <v>800.04</v>
      </c>
      <c r="P35" s="3">
        <f t="shared" si="4"/>
        <v>45063.424305555556</v>
      </c>
      <c r="Q35" s="4">
        <f t="shared" si="5"/>
        <v>28.784722222226264</v>
      </c>
      <c r="R35">
        <f t="shared" si="17"/>
        <v>97.42</v>
      </c>
      <c r="S35">
        <f t="shared" si="18"/>
        <v>0</v>
      </c>
      <c r="T35">
        <f t="shared" si="19"/>
        <v>0.39006364196263599</v>
      </c>
      <c r="U35">
        <f t="shared" si="20"/>
        <v>21.135290494764934</v>
      </c>
      <c r="V35">
        <f t="shared" si="21"/>
        <v>78.474645863272428</v>
      </c>
      <c r="W35">
        <f t="shared" si="22"/>
        <v>100</v>
      </c>
      <c r="X35" s="10">
        <f t="shared" si="23"/>
        <v>4.4604136749360562E-2</v>
      </c>
      <c r="Y35" s="10">
        <f t="shared" si="0"/>
        <v>1.7398452027055035E-4</v>
      </c>
      <c r="Z35" s="10">
        <f t="shared" si="6"/>
        <v>0</v>
      </c>
      <c r="AA35" s="10">
        <f t="shared" si="1"/>
        <v>9.4272138746595551E-3</v>
      </c>
      <c r="AB35" s="10">
        <f t="shared" si="2"/>
        <v>3.5002938354430455E-2</v>
      </c>
      <c r="AC35" s="10">
        <f t="shared" si="73"/>
        <v>1.7398452027055035E-4</v>
      </c>
      <c r="AD35" s="10">
        <f t="shared" si="7"/>
        <v>4.4458255633853951E-2</v>
      </c>
      <c r="AE35" s="10">
        <f t="shared" si="8"/>
        <v>1.7341549107846951E-4</v>
      </c>
      <c r="AF35" s="10">
        <f t="shared" si="9"/>
        <v>0</v>
      </c>
      <c r="AG35" s="10">
        <f t="shared" si="10"/>
        <v>9.396381477120231E-3</v>
      </c>
      <c r="AH35" s="10">
        <f t="shared" si="11"/>
        <v>3.488845866565525E-2</v>
      </c>
      <c r="AI35" s="10">
        <f t="shared" si="74"/>
        <v>1.7341549107846951E-4</v>
      </c>
      <c r="AJ35" s="22"/>
      <c r="AL35" s="25"/>
      <c r="AM35" s="6"/>
      <c r="AN35" s="6"/>
      <c r="AO35" s="6"/>
      <c r="AP35" s="19"/>
      <c r="AQ35">
        <f t="shared" si="75"/>
        <v>441.27899815233008</v>
      </c>
      <c r="AR35" s="6">
        <f t="shared" si="27"/>
        <v>2.3078891603366865</v>
      </c>
      <c r="AS35" s="6">
        <f t="shared" si="28"/>
        <v>2.2617313771299528E-4</v>
      </c>
      <c r="AT35" s="6">
        <f t="shared" si="12"/>
        <v>439.83576267706826</v>
      </c>
      <c r="AU35" s="6">
        <f t="shared" si="13"/>
        <v>2.3003410388010672</v>
      </c>
      <c r="AV35" s="6">
        <f t="shared" si="14"/>
        <v>2.2543342180250458E-4</v>
      </c>
      <c r="AW35" s="6">
        <f t="shared" si="29"/>
        <v>-1.3787417156149433E-3</v>
      </c>
      <c r="AX35" s="52">
        <f t="shared" si="30"/>
        <v>3.4399653203971096E-4</v>
      </c>
      <c r="AY35" s="53">
        <f t="shared" si="15"/>
        <v>2.6873366971840017E-2</v>
      </c>
      <c r="AZ35" s="54"/>
      <c r="BA35" s="23">
        <f t="shared" si="16"/>
        <v>0</v>
      </c>
    </row>
    <row r="36" spans="1:53" ht="15" customHeight="1" x14ac:dyDescent="0.3">
      <c r="A36" t="s">
        <v>124</v>
      </c>
      <c r="B36">
        <v>2</v>
      </c>
      <c r="C36" s="2">
        <v>45068</v>
      </c>
      <c r="D36" s="11">
        <v>0.61458333333333337</v>
      </c>
      <c r="E36" s="15">
        <v>1013.4</v>
      </c>
      <c r="F36">
        <v>1067.5</v>
      </c>
      <c r="G36">
        <v>1065.3</v>
      </c>
      <c r="H36">
        <v>0.05</v>
      </c>
      <c r="I36">
        <v>6.74</v>
      </c>
      <c r="J36">
        <v>11.03</v>
      </c>
      <c r="K36">
        <v>80.95</v>
      </c>
      <c r="L36">
        <v>0</v>
      </c>
      <c r="N36" t="s">
        <v>99</v>
      </c>
      <c r="P36" s="3">
        <f t="shared" ref="P36:P37" si="80">C36+D36</f>
        <v>45068.614583333336</v>
      </c>
      <c r="Q36" s="4">
        <f t="shared" ref="Q36:Q37" si="81">P36-$P$13</f>
        <v>33.975000000005821</v>
      </c>
      <c r="R36">
        <f t="shared" ref="R36:R37" si="82">SUM(H36:K36)</f>
        <v>98.77000000000001</v>
      </c>
      <c r="S36">
        <f t="shared" ref="S36:S37" si="83">H36 * 100/R36</f>
        <v>5.0622658702035028E-2</v>
      </c>
      <c r="T36">
        <f t="shared" ref="T36:T37" si="84">I36* 100/R36</f>
        <v>6.823934393034321</v>
      </c>
      <c r="U36">
        <f t="shared" ref="U36:U37" si="85">J36* 100/R36</f>
        <v>11.167358509668926</v>
      </c>
      <c r="V36">
        <f t="shared" ref="V36:V37" si="86">K36* 100/R36</f>
        <v>81.95808443859471</v>
      </c>
      <c r="W36">
        <f t="shared" ref="W36:W37" si="87">SUM(S36:V36)</f>
        <v>100</v>
      </c>
      <c r="X36" s="10">
        <f t="shared" ref="X36:X37" si="88">F36*100*$D$3/($D$1*$D$2)</f>
        <v>4.208867319008433E-2</v>
      </c>
      <c r="Y36" s="10">
        <f t="shared" ref="Y36:Y37" si="89">X36*T36/100</f>
        <v>2.8721034453899801E-3</v>
      </c>
      <c r="Z36" s="10">
        <f t="shared" ref="Z36:Z37" si="90">X36*S36/100</f>
        <v>2.1306405381231308E-5</v>
      </c>
      <c r="AA36" s="10">
        <f t="shared" ref="AA36:AA37" si="91">X36*U36/100</f>
        <v>4.7001930270996264E-3</v>
      </c>
      <c r="AB36" s="10">
        <f t="shared" ref="AB36:AB37" si="92">X36*V36/100</f>
        <v>3.4495070312213487E-2</v>
      </c>
      <c r="AC36" s="10">
        <f t="shared" ref="AC36:AC37" si="93">Y36+Z36</f>
        <v>2.8934098507712113E-3</v>
      </c>
      <c r="AD36" s="10">
        <f t="shared" ref="AD36:AD37" si="94">G36*100*$D$3/($D$1*$D$2)</f>
        <v>4.2001933067350672E-2</v>
      </c>
      <c r="AE36" s="10">
        <f t="shared" ref="AE36:AE37" si="95">AD36*T36/100</f>
        <v>2.8661843563221978E-3</v>
      </c>
      <c r="AF36" s="10">
        <f t="shared" ref="AF36:AF37" si="96">AD36*S36/100</f>
        <v>2.1262495224942123E-5</v>
      </c>
      <c r="AG36" s="10">
        <f t="shared" ref="AG36:AG37" si="97">AD36*U36/100</f>
        <v>4.6905064466222319E-3</v>
      </c>
      <c r="AH36" s="10">
        <f t="shared" ref="AH36:AH37" si="98">AD36*V36/100</f>
        <v>3.4423979769181295E-2</v>
      </c>
      <c r="AI36" s="10">
        <f t="shared" ref="AI36:AI37" si="99">AE36+AF36</f>
        <v>2.8874468515471398E-3</v>
      </c>
      <c r="AJ36" s="22">
        <f t="shared" ref="AJ36" si="100">AC36-AI35</f>
        <v>2.7199943596927416E-3</v>
      </c>
      <c r="AK36">
        <f t="shared" ref="AK36" si="101">(AA36-AG35)*-1</f>
        <v>4.6961884500206046E-3</v>
      </c>
      <c r="AL36" s="25">
        <f t="shared" ref="AL36" si="102">Y36-AE35</f>
        <v>2.6986879543115104E-3</v>
      </c>
      <c r="AM36" s="6">
        <f>AK36+AM34</f>
        <v>4.4294092731128415E-2</v>
      </c>
      <c r="AN36" s="6">
        <f>AL36+AN34</f>
        <v>2.0408216559666844E-2</v>
      </c>
      <c r="AO36" s="6">
        <f>AJ36+AO34</f>
        <v>2.0569270855632305E-2</v>
      </c>
      <c r="AP36" s="19">
        <f t="shared" si="79"/>
        <v>1.6068928392067903</v>
      </c>
      <c r="AQ36">
        <f t="shared" ref="AQ36:AQ37" si="103">F36*100*T36/100</f>
        <v>7284.5499645641376</v>
      </c>
      <c r="AR36" s="6">
        <f t="shared" ref="AR36:AR37" si="104">AQ36*$D$7</f>
        <v>38.098196314670439</v>
      </c>
      <c r="AS36" s="6">
        <f t="shared" ref="AS36:AS37" si="105">AR36*$D$5/1000</f>
        <v>3.7336232388377032E-3</v>
      </c>
      <c r="AT36" s="6">
        <f t="shared" ref="AT36:AT37" si="106">G36*100*T36/100</f>
        <v>7269.537308899462</v>
      </c>
      <c r="AU36" s="6">
        <f t="shared" ref="AU36:AU37" si="107">AT36*$D$7</f>
        <v>38.019680125544191</v>
      </c>
      <c r="AV36" s="6">
        <f t="shared" ref="AV36:AV37" si="108">AU36*$D$5/1000</f>
        <v>3.725928652303331E-3</v>
      </c>
      <c r="AW36" s="6">
        <f t="shared" ref="AW36:AW37" si="109">AS36-AV35</f>
        <v>3.5081898170351987E-3</v>
      </c>
      <c r="AX36" s="52">
        <f t="shared" ref="AX36:AX37" si="110">AW36+AX35</f>
        <v>3.8521863490749097E-3</v>
      </c>
      <c r="AY36" s="53">
        <f t="shared" ref="AY36:AY37" si="111">(AX36*$D$4*1000/$D$6)</f>
        <v>0.30093680534736372</v>
      </c>
      <c r="AZ36" s="54">
        <f t="shared" si="35"/>
        <v>1.907829644554154</v>
      </c>
      <c r="BA36" s="23">
        <f t="shared" ref="BA36:BA37" si="112">AK36/(AL36+AW36)</f>
        <v>0.75661042846694726</v>
      </c>
    </row>
    <row r="37" spans="1:53" ht="15" customHeight="1" x14ac:dyDescent="0.3">
      <c r="A37" t="s">
        <v>124</v>
      </c>
      <c r="B37">
        <v>2</v>
      </c>
      <c r="C37" s="2">
        <v>45068</v>
      </c>
      <c r="D37" s="11">
        <v>0.65069444444444446</v>
      </c>
      <c r="E37" s="15">
        <v>1013.5</v>
      </c>
      <c r="F37">
        <v>1119.8</v>
      </c>
      <c r="G37">
        <v>1116</v>
      </c>
      <c r="H37">
        <v>0</v>
      </c>
      <c r="I37">
        <v>0.74</v>
      </c>
      <c r="J37">
        <v>20.25</v>
      </c>
      <c r="K37">
        <v>75.45</v>
      </c>
      <c r="L37">
        <v>1</v>
      </c>
      <c r="N37" t="s">
        <v>99</v>
      </c>
      <c r="O37">
        <v>799.96</v>
      </c>
      <c r="P37" s="3">
        <f t="shared" si="80"/>
        <v>45068.650694444441</v>
      </c>
      <c r="Q37" s="4">
        <f t="shared" si="81"/>
        <v>34.011111111110949</v>
      </c>
      <c r="R37">
        <f t="shared" si="82"/>
        <v>96.44</v>
      </c>
      <c r="S37">
        <f t="shared" si="83"/>
        <v>0</v>
      </c>
      <c r="T37">
        <f t="shared" si="84"/>
        <v>0.76731646619659899</v>
      </c>
      <c r="U37">
        <f t="shared" si="85"/>
        <v>20.99751140605558</v>
      </c>
      <c r="V37">
        <f t="shared" si="86"/>
        <v>78.23517212774783</v>
      </c>
      <c r="W37">
        <f t="shared" si="87"/>
        <v>100.00000000000001</v>
      </c>
      <c r="X37" s="10">
        <f t="shared" si="88"/>
        <v>4.4150722471434603E-2</v>
      </c>
      <c r="Y37" s="10">
        <f t="shared" si="89"/>
        <v>3.387757634680797E-4</v>
      </c>
      <c r="Z37" s="10">
        <f t="shared" si="90"/>
        <v>0</v>
      </c>
      <c r="AA37" s="10">
        <f t="shared" si="91"/>
        <v>9.2705529867954245E-3</v>
      </c>
      <c r="AB37" s="10">
        <f t="shared" si="92"/>
        <v>3.4541393721171099E-2</v>
      </c>
      <c r="AC37" s="10">
        <f t="shared" si="93"/>
        <v>3.387757634680797E-4</v>
      </c>
      <c r="AD37" s="10">
        <f t="shared" si="94"/>
        <v>4.4000898623076455E-2</v>
      </c>
      <c r="AE37" s="10">
        <f t="shared" si="95"/>
        <v>3.3762614040933823E-4</v>
      </c>
      <c r="AF37" s="10">
        <f t="shared" si="96"/>
        <v>0</v>
      </c>
      <c r="AG37" s="10">
        <f t="shared" si="97"/>
        <v>9.2390937071474312E-3</v>
      </c>
      <c r="AH37" s="10">
        <f t="shared" si="98"/>
        <v>3.442417877551969E-2</v>
      </c>
      <c r="AI37" s="10">
        <f t="shared" si="99"/>
        <v>3.3762614040933823E-4</v>
      </c>
      <c r="AJ37" s="22"/>
      <c r="AL37" s="25"/>
      <c r="AM37" s="6"/>
      <c r="AN37" s="6"/>
      <c r="AO37" s="6"/>
      <c r="AP37" s="19"/>
      <c r="AQ37">
        <f t="shared" si="103"/>
        <v>859.24097884695163</v>
      </c>
      <c r="AR37" s="6">
        <f t="shared" si="104"/>
        <v>4.4938303193695575</v>
      </c>
      <c r="AS37" s="6">
        <f t="shared" si="105"/>
        <v>4.4039537129821667E-4</v>
      </c>
      <c r="AT37" s="6">
        <f t="shared" si="106"/>
        <v>856.32517627540449</v>
      </c>
      <c r="AU37" s="6">
        <f t="shared" si="107"/>
        <v>4.4785806719203656</v>
      </c>
      <c r="AV37" s="6">
        <f t="shared" si="108"/>
        <v>4.3890090584819587E-4</v>
      </c>
      <c r="AW37" s="6">
        <f t="shared" si="109"/>
        <v>-3.2855332810051143E-3</v>
      </c>
      <c r="AX37" s="52">
        <f t="shared" si="110"/>
        <v>5.6665306806979532E-4</v>
      </c>
      <c r="AY37" s="53">
        <f t="shared" si="111"/>
        <v>4.4267527215073051E-2</v>
      </c>
      <c r="AZ37" s="54"/>
      <c r="BA37" s="23">
        <f t="shared" si="112"/>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7">
    <cfRule type="expression" dxfId="9" priority="1">
      <formula>$L13=0</formula>
    </cfRule>
    <cfRule type="expression" dxfId="8" priority="2">
      <formula>$L13=1</formula>
    </cfRule>
  </conditionalFormatting>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75CF5-9B94-4729-B948-0D937E9DDFA9}">
  <dimension ref="A1:BD33"/>
  <sheetViews>
    <sheetView topLeftCell="AM11" zoomScale="110" zoomScaleNormal="40" workbookViewId="0">
      <selection activeCell="AW21" sqref="AW21"/>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125</v>
      </c>
      <c r="B13">
        <v>1</v>
      </c>
      <c r="C13" s="2">
        <v>45033</v>
      </c>
      <c r="D13" s="11">
        <v>0.64027777777777783</v>
      </c>
      <c r="E13" s="15">
        <v>1025.3</v>
      </c>
      <c r="F13">
        <f>SUM(F14:F33)/(32-14)</f>
        <v>1192.0642857142857</v>
      </c>
      <c r="M13" t="s">
        <v>4</v>
      </c>
      <c r="O13">
        <v>772.11</v>
      </c>
      <c r="P13" s="3">
        <f>C13+D13</f>
        <v>45033.640277777777</v>
      </c>
      <c r="Q13" s="4">
        <f>P13-$P$13</f>
        <v>0</v>
      </c>
      <c r="S13">
        <v>0</v>
      </c>
      <c r="T13">
        <v>0.03</v>
      </c>
      <c r="U13">
        <v>21.9</v>
      </c>
      <c r="V13">
        <v>78.069999999999993</v>
      </c>
      <c r="W13">
        <f>SUM(S13:V13)</f>
        <v>100</v>
      </c>
      <c r="X13" s="6">
        <f>F13*100*$D$3/($D$1*$D$2)</f>
        <v>4.6999910204215345E-2</v>
      </c>
      <c r="Y13" s="6">
        <f t="shared" ref="Y13:Y33" si="0">X13*T13/100</f>
        <v>1.4099973061264602E-5</v>
      </c>
      <c r="Z13" s="6">
        <f>X13*S13/100</f>
        <v>0</v>
      </c>
      <c r="AA13" s="6">
        <f t="shared" ref="AA13:AA33" si="1">X13*U13/100</f>
        <v>1.0292980334723161E-2</v>
      </c>
      <c r="AB13" s="6">
        <f t="shared" ref="AB13:AB33" si="2">X13*V13/100</f>
        <v>3.6692829896430919E-2</v>
      </c>
      <c r="AC13" s="6">
        <f>Y13+Z13</f>
        <v>1.4099973061264602E-5</v>
      </c>
      <c r="AD13" s="6">
        <f>X13</f>
        <v>4.6999910204215345E-2</v>
      </c>
      <c r="AE13" s="6">
        <f>Y13</f>
        <v>1.4099973061264602E-5</v>
      </c>
      <c r="AF13" s="6">
        <f t="shared" ref="AF13:AI13" si="3">Z13</f>
        <v>0</v>
      </c>
      <c r="AG13" s="6">
        <f t="shared" si="3"/>
        <v>1.0292980334723161E-2</v>
      </c>
      <c r="AH13" s="6">
        <f t="shared" si="3"/>
        <v>3.6692829896430919E-2</v>
      </c>
      <c r="AI13" s="6">
        <f t="shared" si="3"/>
        <v>1.4099973061264602E-5</v>
      </c>
      <c r="AJ13" s="22">
        <f>AC13-AI13</f>
        <v>0</v>
      </c>
      <c r="AK13" s="6">
        <f>AA13-AG13</f>
        <v>0</v>
      </c>
      <c r="AL13" s="23">
        <f>Y13-AE13</f>
        <v>0</v>
      </c>
      <c r="AM13" s="6">
        <f>AK13</f>
        <v>0</v>
      </c>
      <c r="AN13" s="6">
        <f>AL13</f>
        <v>0</v>
      </c>
      <c r="AO13" s="6">
        <f>AJ13</f>
        <v>0</v>
      </c>
      <c r="AP13" s="19">
        <f>AO13*$D$4*1000/$D$6</f>
        <v>0</v>
      </c>
      <c r="AQ13">
        <f>F13*100*T13/100</f>
        <v>35.76192857142857</v>
      </c>
      <c r="AR13" s="6">
        <f>AQ13*$D$7</f>
        <v>0.18703488642857144</v>
      </c>
      <c r="AS13" s="6">
        <f>AR13*$D$5/1000</f>
        <v>1.8329418870000002E-5</v>
      </c>
      <c r="AT13" s="6">
        <f>G13*100*T13/100</f>
        <v>0</v>
      </c>
      <c r="AU13" s="6">
        <f>AT13*$D$7</f>
        <v>0</v>
      </c>
      <c r="AV13" s="6">
        <f>AU13*$D$5/1000</f>
        <v>0</v>
      </c>
      <c r="AW13" s="6">
        <f>AS13-AV13</f>
        <v>1.8329418870000002E-5</v>
      </c>
      <c r="AX13" s="52">
        <f>AW13</f>
        <v>1.8329418870000002E-5</v>
      </c>
      <c r="AY13" s="53">
        <f>(AX13*$D$4*1000/$D$6)</f>
        <v>1.4319132717803581E-3</v>
      </c>
      <c r="AZ13" s="54">
        <f>AP13</f>
        <v>0</v>
      </c>
      <c r="BA13" s="23">
        <v>0</v>
      </c>
    </row>
    <row r="14" spans="1:56" ht="14.4" x14ac:dyDescent="0.3">
      <c r="A14" t="s">
        <v>125</v>
      </c>
      <c r="B14">
        <v>1</v>
      </c>
      <c r="C14" s="2">
        <v>45035</v>
      </c>
      <c r="D14" s="11">
        <v>0.65486111111111112</v>
      </c>
      <c r="E14" s="15">
        <v>1022.6</v>
      </c>
      <c r="F14">
        <v>969.9</v>
      </c>
      <c r="G14">
        <v>968.1</v>
      </c>
      <c r="H14">
        <v>0.22</v>
      </c>
      <c r="I14">
        <v>1.41</v>
      </c>
      <c r="J14">
        <v>7.52</v>
      </c>
      <c r="K14">
        <v>90.34</v>
      </c>
      <c r="L14">
        <v>0</v>
      </c>
      <c r="N14" t="s">
        <v>99</v>
      </c>
      <c r="P14" s="3">
        <f t="shared" ref="P14:P33" si="4">C14+D14</f>
        <v>45035.654861111114</v>
      </c>
      <c r="Q14" s="4">
        <f t="shared" ref="Q14:Q33" si="5">P14-$P$13</f>
        <v>2.0145833333372138</v>
      </c>
      <c r="R14">
        <f>SUM(H14:K14)</f>
        <v>99.490000000000009</v>
      </c>
      <c r="S14">
        <f>H14 * 100/R14</f>
        <v>0.22112775153281736</v>
      </c>
      <c r="T14">
        <f>I14* 100/R14</f>
        <v>1.4172278620966929</v>
      </c>
      <c r="U14">
        <f>J14* 100/R14</f>
        <v>7.558548597849029</v>
      </c>
      <c r="V14">
        <f>K14* 100/R14</f>
        <v>90.803095788521446</v>
      </c>
      <c r="W14">
        <f>SUM(S14:V14)</f>
        <v>99.999999999999986</v>
      </c>
      <c r="X14" s="6">
        <f>F14*100*$D$3/($D$1*$D$2)</f>
        <v>3.8240565926990912E-2</v>
      </c>
      <c r="Y14" s="6">
        <f t="shared" si="0"/>
        <v>5.4195595494076969E-4</v>
      </c>
      <c r="Z14" s="6">
        <f t="shared" ref="Z14:Z33" si="6">X14*S14/100</f>
        <v>8.4560503607779682E-5</v>
      </c>
      <c r="AA14" s="6">
        <f t="shared" si="1"/>
        <v>2.8904317596841048E-3</v>
      </c>
      <c r="AB14" s="6">
        <f t="shared" si="2"/>
        <v>3.4723617708758252E-2</v>
      </c>
      <c r="AC14" s="6">
        <f>Y14+Z14</f>
        <v>6.2651645854854931E-4</v>
      </c>
      <c r="AD14" s="6">
        <f t="shared" ref="AD14:AD33" si="7">G14*100*$D$3/($D$1*$D$2)</f>
        <v>3.8169596735663371E-2</v>
      </c>
      <c r="AE14" s="6">
        <f t="shared" ref="AE14:AE33" si="8">AD14*T14/100</f>
        <v>5.4095015978777113E-4</v>
      </c>
      <c r="AF14" s="6">
        <f t="shared" ref="AF14:AF33" si="9">AD14*S14/100</f>
        <v>8.4403571030716064E-5</v>
      </c>
      <c r="AG14" s="6">
        <f t="shared" ref="AG14:AG33" si="10">AD14*U14/100</f>
        <v>2.8850675188681124E-3</v>
      </c>
      <c r="AH14" s="6">
        <f t="shared" ref="AH14:AH33" si="11">AD14*V14/100</f>
        <v>3.4659175485976766E-2</v>
      </c>
      <c r="AI14" s="6">
        <f>AE14+AF14</f>
        <v>6.2535373081848715E-4</v>
      </c>
      <c r="AJ14" s="22">
        <f>AC14-AI13</f>
        <v>6.1241648548728466E-4</v>
      </c>
      <c r="AK14">
        <f>(AA14-AG13)*-1</f>
        <v>7.4025485750390564E-3</v>
      </c>
      <c r="AL14" s="25">
        <f>Y14-AE13</f>
        <v>5.2785598187950504E-4</v>
      </c>
      <c r="AM14" s="6">
        <f>AK14+AM13</f>
        <v>7.4025485750390564E-3</v>
      </c>
      <c r="AN14" s="6">
        <f>AL14+AN13</f>
        <v>5.2785598187950504E-4</v>
      </c>
      <c r="AO14" s="6">
        <f>AJ14+AO13</f>
        <v>6.1241648548728466E-4</v>
      </c>
      <c r="AP14" s="19">
        <f>AO14*$D$4*1000/$D$6</f>
        <v>4.7842612995309099E-2</v>
      </c>
      <c r="AQ14">
        <f>F14*100*T14/100</f>
        <v>1374.5693034475823</v>
      </c>
      <c r="AR14" s="6">
        <f>AQ14*$D$7</f>
        <v>7.1889974570308564</v>
      </c>
      <c r="AS14" s="6">
        <f>AR14*$D$5/1000</f>
        <v>7.0452175078902389E-4</v>
      </c>
      <c r="AT14" s="6">
        <f t="shared" ref="AT14:AT33" si="12">G14*100*T14/100</f>
        <v>1372.0182932958085</v>
      </c>
      <c r="AU14" s="6">
        <f t="shared" ref="AU14:AU33" si="13">AT14*$D$7</f>
        <v>7.1756556739370785</v>
      </c>
      <c r="AV14" s="6">
        <f t="shared" ref="AV14:AV33" si="14">AU14*$D$5/1000</f>
        <v>7.0321425604583381E-4</v>
      </c>
      <c r="AW14" s="6">
        <f>AS14-AV13</f>
        <v>7.0452175078902389E-4</v>
      </c>
      <c r="AX14" s="52">
        <f>AW14+AX13</f>
        <v>7.2285116965902386E-4</v>
      </c>
      <c r="AY14" s="53">
        <f t="shared" ref="AY14:AY33" si="15">(AX14*$D$4*1000/$D$6)</f>
        <v>5.6469885417415391E-2</v>
      </c>
      <c r="AZ14" s="54">
        <f>AY14+AP14</f>
        <v>0.1043124984127245</v>
      </c>
      <c r="BA14" s="23">
        <f t="shared" ref="BA14:BA33" si="16">AK14/(AL14+AW14)</f>
        <v>6.0067204874027942</v>
      </c>
    </row>
    <row r="15" spans="1:56" ht="14.4" x14ac:dyDescent="0.3">
      <c r="A15" t="s">
        <v>125</v>
      </c>
      <c r="B15">
        <v>1</v>
      </c>
      <c r="C15" s="2">
        <v>45040</v>
      </c>
      <c r="D15" s="11">
        <v>0.49444444444444446</v>
      </c>
      <c r="E15" s="15">
        <v>1003.7</v>
      </c>
      <c r="F15">
        <v>917.4</v>
      </c>
      <c r="G15">
        <v>915.6</v>
      </c>
      <c r="H15">
        <v>0.28999999999999998</v>
      </c>
      <c r="I15">
        <v>2.66</v>
      </c>
      <c r="J15">
        <v>2.34</v>
      </c>
      <c r="K15">
        <v>94.75</v>
      </c>
      <c r="L15">
        <v>0</v>
      </c>
      <c r="N15" t="s">
        <v>99</v>
      </c>
      <c r="P15" s="3">
        <f t="shared" si="4"/>
        <v>45040.494444444441</v>
      </c>
      <c r="Q15" s="4">
        <f t="shared" si="5"/>
        <v>6.8541666666642413</v>
      </c>
      <c r="R15">
        <f t="shared" ref="R15:R33" si="17">SUM(H15:K15)</f>
        <v>100.04</v>
      </c>
      <c r="S15">
        <f t="shared" ref="S15:S33" si="18">H15 * 100/R15</f>
        <v>0.28988404638144738</v>
      </c>
      <c r="T15">
        <f t="shared" ref="T15:T33" si="19">I15* 100/R15</f>
        <v>2.658936425429828</v>
      </c>
      <c r="U15">
        <f t="shared" ref="U15:U33" si="20">J15* 100/R15</f>
        <v>2.3390643742502997</v>
      </c>
      <c r="V15">
        <f t="shared" ref="V15:V33" si="21">K15* 100/R15</f>
        <v>94.712115153938413</v>
      </c>
      <c r="W15">
        <f t="shared" ref="W15:W33" si="22">SUM(S15:V15)</f>
        <v>99.999999999999986</v>
      </c>
      <c r="X15" s="6">
        <f t="shared" ref="X15:X33" si="23">F15*100*$D$3/($D$1*$D$2)</f>
        <v>3.617063117993758E-2</v>
      </c>
      <c r="Y15" s="6">
        <f t="shared" si="0"/>
        <v>9.617540877512391E-4</v>
      </c>
      <c r="Z15" s="6">
        <f t="shared" si="6"/>
        <v>1.0485288926611252E-4</v>
      </c>
      <c r="AA15" s="6">
        <f t="shared" si="1"/>
        <v>8.4605434787139071E-4</v>
      </c>
      <c r="AB15" s="6">
        <f t="shared" si="2"/>
        <v>3.4257969855048837E-2</v>
      </c>
      <c r="AC15" s="6">
        <f t="shared" ref="AC15:AC28" si="24">Y15+Z15</f>
        <v>1.0666069770173517E-3</v>
      </c>
      <c r="AD15" s="6">
        <f t="shared" si="7"/>
        <v>3.6099661988610039E-2</v>
      </c>
      <c r="AE15" s="6">
        <f t="shared" si="8"/>
        <v>9.5986706207219817E-4</v>
      </c>
      <c r="AF15" s="6">
        <f t="shared" si="9"/>
        <v>1.0464716090260807E-4</v>
      </c>
      <c r="AG15" s="6">
        <f t="shared" si="10"/>
        <v>8.443943328003547E-4</v>
      </c>
      <c r="AH15" s="6">
        <f t="shared" si="11"/>
        <v>3.4190753432834869E-2</v>
      </c>
      <c r="AI15" s="6">
        <f t="shared" ref="AI15:AI28" si="25">AE15+AF15</f>
        <v>1.0645142229748063E-3</v>
      </c>
      <c r="AJ15" s="22">
        <f t="shared" ref="AJ15:AJ32" si="26">AC15-AI14</f>
        <v>4.4125324619886453E-4</v>
      </c>
      <c r="AK15">
        <f t="shared" ref="AK15:AK32" si="27">(AA15-AG14)*-1</f>
        <v>2.0390131709967217E-3</v>
      </c>
      <c r="AL15" s="25">
        <f t="shared" ref="AL15:AL32" si="28">Y15-AE14</f>
        <v>4.2080392796346798E-4</v>
      </c>
      <c r="AM15" s="6">
        <f t="shared" ref="AM15:AM32" si="29">AK15+AM14</f>
        <v>9.4415617460357776E-3</v>
      </c>
      <c r="AN15" s="6">
        <f t="shared" ref="AN15:AN32" si="30">AL15+AN14</f>
        <v>9.4865990984297302E-4</v>
      </c>
      <c r="AO15" s="6">
        <f t="shared" ref="AO15:AO32" si="31">AJ15+AO14</f>
        <v>1.0536697316861493E-3</v>
      </c>
      <c r="AP15" s="19">
        <f t="shared" ref="AP15:AP32" si="32">AO15*$D$4*1000/$D$6</f>
        <v>8.2313775661707375E-2</v>
      </c>
      <c r="AQ15">
        <f t="shared" ref="AQ15:AQ28" si="33">F15*100*T15/100</f>
        <v>2439.308276689324</v>
      </c>
      <c r="AR15" s="6">
        <f t="shared" ref="AR15:AR33" si="34">AQ15*$D$7</f>
        <v>12.757582287085166</v>
      </c>
      <c r="AS15" s="6">
        <f t="shared" ref="AS15:AS33" si="35">AR15*$D$5/1000</f>
        <v>1.2502430641343463E-3</v>
      </c>
      <c r="AT15" s="6">
        <f t="shared" si="12"/>
        <v>2434.5221911235508</v>
      </c>
      <c r="AU15" s="6">
        <f t="shared" si="13"/>
        <v>12.732551059576171</v>
      </c>
      <c r="AV15" s="6">
        <f t="shared" si="14"/>
        <v>1.2477900038384648E-3</v>
      </c>
      <c r="AW15" s="6">
        <f t="shared" ref="AW15:AW33" si="36">AS15-AV14</f>
        <v>5.4702880808851252E-4</v>
      </c>
      <c r="AX15" s="52">
        <f t="shared" ref="AX15:AX33" si="37">AW15+AX14</f>
        <v>1.2698799777475364E-3</v>
      </c>
      <c r="AY15" s="53">
        <f t="shared" si="15"/>
        <v>9.9204345025961149E-2</v>
      </c>
      <c r="AZ15" s="54">
        <f t="shared" ref="AZ15:AZ32" si="38">AY15+AP15</f>
        <v>0.18151812068766854</v>
      </c>
      <c r="BA15" s="23">
        <f t="shared" si="16"/>
        <v>2.1067826030707955</v>
      </c>
    </row>
    <row r="16" spans="1:56" s="7" customFormat="1" ht="14.4" x14ac:dyDescent="0.3">
      <c r="A16" t="s">
        <v>125</v>
      </c>
      <c r="B16">
        <v>1</v>
      </c>
      <c r="C16" s="2">
        <v>45040</v>
      </c>
      <c r="D16" s="11">
        <v>0.51874999999999993</v>
      </c>
      <c r="E16" s="15">
        <v>1004</v>
      </c>
      <c r="F16">
        <v>1110.0999999999999</v>
      </c>
      <c r="G16">
        <v>1106.9000000000001</v>
      </c>
      <c r="H16">
        <v>0</v>
      </c>
      <c r="I16">
        <v>0.39</v>
      </c>
      <c r="J16">
        <v>20.54</v>
      </c>
      <c r="K16">
        <v>76.44</v>
      </c>
      <c r="L16">
        <v>1</v>
      </c>
      <c r="M16"/>
      <c r="N16" t="s">
        <v>99</v>
      </c>
      <c r="O16">
        <v>772.21</v>
      </c>
      <c r="P16" s="8">
        <f t="shared" si="4"/>
        <v>45040.518750000003</v>
      </c>
      <c r="Q16" s="9">
        <f t="shared" si="5"/>
        <v>6.8784722222262644</v>
      </c>
      <c r="R16">
        <f t="shared" si="17"/>
        <v>97.37</v>
      </c>
      <c r="S16">
        <f t="shared" si="18"/>
        <v>0</v>
      </c>
      <c r="T16">
        <f t="shared" si="19"/>
        <v>0.40053404539385845</v>
      </c>
      <c r="U16">
        <f t="shared" si="20"/>
        <v>21.094793057409881</v>
      </c>
      <c r="V16">
        <f t="shared" si="21"/>
        <v>78.504672897196258</v>
      </c>
      <c r="W16">
        <f t="shared" si="22"/>
        <v>100</v>
      </c>
      <c r="X16" s="10">
        <f t="shared" si="23"/>
        <v>4.3768277384836171E-2</v>
      </c>
      <c r="Y16" s="10">
        <f t="shared" si="0"/>
        <v>1.7530685200868958E-4</v>
      </c>
      <c r="Z16" s="10">
        <f t="shared" si="6"/>
        <v>0</v>
      </c>
      <c r="AA16" s="10">
        <f t="shared" si="1"/>
        <v>9.2328275391243206E-3</v>
      </c>
      <c r="AB16" s="10">
        <f t="shared" si="2"/>
        <v>3.4360142993703165E-2</v>
      </c>
      <c r="AC16" s="10">
        <f t="shared" si="24"/>
        <v>1.7530685200868958E-4</v>
      </c>
      <c r="AD16" s="10">
        <f t="shared" si="7"/>
        <v>4.364210993358722E-2</v>
      </c>
      <c r="AE16" s="10">
        <f t="shared" si="8"/>
        <v>1.7480150841223184E-4</v>
      </c>
      <c r="AF16" s="10">
        <f t="shared" si="9"/>
        <v>0</v>
      </c>
      <c r="AG16" s="10">
        <f t="shared" si="10"/>
        <v>9.2062127763775439E-3</v>
      </c>
      <c r="AH16" s="10">
        <f t="shared" si="11"/>
        <v>3.4261095648797445E-2</v>
      </c>
      <c r="AI16" s="10">
        <f t="shared" si="25"/>
        <v>1.7480150841223184E-4</v>
      </c>
      <c r="AJ16" s="22"/>
      <c r="AK16"/>
      <c r="AL16" s="25"/>
      <c r="AM16" s="6"/>
      <c r="AN16" s="6"/>
      <c r="AO16" s="6"/>
      <c r="AP16" s="19"/>
      <c r="AQ16" s="7">
        <f t="shared" si="33"/>
        <v>444.63284379172217</v>
      </c>
      <c r="AR16" s="10">
        <f t="shared" si="34"/>
        <v>2.3254297730307072</v>
      </c>
      <c r="AS16" s="6">
        <f t="shared" si="35"/>
        <v>2.2789211775700932E-4</v>
      </c>
      <c r="AT16" s="6">
        <f t="shared" si="12"/>
        <v>443.351134846462</v>
      </c>
      <c r="AU16" s="6">
        <f t="shared" si="13"/>
        <v>2.3187264352469965</v>
      </c>
      <c r="AV16" s="6">
        <f t="shared" si="14"/>
        <v>2.2723519065420567E-4</v>
      </c>
      <c r="AW16" s="6">
        <f t="shared" si="36"/>
        <v>-1.0198978860814555E-3</v>
      </c>
      <c r="AX16" s="52">
        <f t="shared" si="37"/>
        <v>2.4998209166608091E-4</v>
      </c>
      <c r="AY16" s="53">
        <f t="shared" si="15"/>
        <v>1.9528861078620507E-2</v>
      </c>
      <c r="AZ16" s="54"/>
      <c r="BA16" s="23">
        <f t="shared" si="16"/>
        <v>0</v>
      </c>
      <c r="BB16"/>
      <c r="BC16"/>
      <c r="BD16"/>
    </row>
    <row r="17" spans="1:56" ht="14.4" x14ac:dyDescent="0.3">
      <c r="A17" t="s">
        <v>125</v>
      </c>
      <c r="B17">
        <v>1</v>
      </c>
      <c r="C17" s="2">
        <v>45042</v>
      </c>
      <c r="D17" s="11">
        <v>0.40347222222222223</v>
      </c>
      <c r="E17" s="15">
        <v>1017.3</v>
      </c>
      <c r="F17">
        <v>1044.5999999999999</v>
      </c>
      <c r="G17">
        <v>1041.5</v>
      </c>
      <c r="H17">
        <v>0.01</v>
      </c>
      <c r="I17">
        <v>1.51</v>
      </c>
      <c r="J17">
        <v>15.46</v>
      </c>
      <c r="K17">
        <v>81.540000000000006</v>
      </c>
      <c r="L17">
        <v>0</v>
      </c>
      <c r="N17" t="s">
        <v>99</v>
      </c>
      <c r="P17" s="3">
        <f t="shared" si="4"/>
        <v>45042.40347222222</v>
      </c>
      <c r="Q17" s="4">
        <f t="shared" si="5"/>
        <v>8.7631944444437977</v>
      </c>
      <c r="R17">
        <f t="shared" si="17"/>
        <v>98.52000000000001</v>
      </c>
      <c r="S17">
        <f t="shared" si="18"/>
        <v>1.0150223304912708E-2</v>
      </c>
      <c r="T17">
        <f t="shared" si="19"/>
        <v>1.5326837190418188</v>
      </c>
      <c r="U17">
        <f t="shared" si="20"/>
        <v>15.692245229395045</v>
      </c>
      <c r="V17">
        <f t="shared" si="21"/>
        <v>82.764920828258226</v>
      </c>
      <c r="W17">
        <f t="shared" si="22"/>
        <v>100</v>
      </c>
      <c r="X17" s="6">
        <f t="shared" si="23"/>
        <v>4.118578736708392E-2</v>
      </c>
      <c r="Y17" s="6">
        <f t="shared" si="0"/>
        <v>6.3124785753447738E-4</v>
      </c>
      <c r="Z17" s="6">
        <f t="shared" si="6"/>
        <v>4.1804493876455462E-6</v>
      </c>
      <c r="AA17" s="6">
        <f t="shared" si="1"/>
        <v>6.4629747533000133E-3</v>
      </c>
      <c r="AB17" s="6">
        <f t="shared" si="2"/>
        <v>3.4087384306861784E-2</v>
      </c>
      <c r="AC17" s="6">
        <f t="shared" si="24"/>
        <v>6.3542830692212297E-4</v>
      </c>
      <c r="AD17" s="6">
        <f t="shared" si="7"/>
        <v>4.1063562648686491E-2</v>
      </c>
      <c r="AE17" s="6">
        <f t="shared" si="8"/>
        <v>6.2937453917495526E-4</v>
      </c>
      <c r="AF17" s="6">
        <f t="shared" si="9"/>
        <v>4.1680433057944064E-6</v>
      </c>
      <c r="AG17" s="6">
        <f t="shared" si="10"/>
        <v>6.443794950758152E-3</v>
      </c>
      <c r="AH17" s="6">
        <f t="shared" si="11"/>
        <v>3.3986225115447591E-2</v>
      </c>
      <c r="AI17" s="6">
        <f t="shared" si="25"/>
        <v>6.3354258248074968E-4</v>
      </c>
      <c r="AJ17" s="22">
        <f t="shared" si="26"/>
        <v>4.6062679850989113E-4</v>
      </c>
      <c r="AK17">
        <f t="shared" si="27"/>
        <v>2.7432380230775306E-3</v>
      </c>
      <c r="AL17" s="25">
        <f t="shared" si="28"/>
        <v>4.5644634912224554E-4</v>
      </c>
      <c r="AM17" s="6">
        <f>AK17+AM15</f>
        <v>1.2184799769113307E-2</v>
      </c>
      <c r="AN17" s="6">
        <f>AL17+AN15</f>
        <v>1.4051062589652186E-3</v>
      </c>
      <c r="AO17" s="6">
        <f>AJ17+AO15</f>
        <v>1.5142965301960403E-3</v>
      </c>
      <c r="AP17" s="19">
        <f t="shared" si="32"/>
        <v>0.11829842039059996</v>
      </c>
      <c r="AQ17">
        <f t="shared" si="33"/>
        <v>1601.0414129110836</v>
      </c>
      <c r="AR17" s="6">
        <f t="shared" si="34"/>
        <v>8.373446589524967</v>
      </c>
      <c r="AS17" s="6">
        <f t="shared" si="35"/>
        <v>8.2059776577344677E-4</v>
      </c>
      <c r="AT17" s="6">
        <f t="shared" si="12"/>
        <v>1596.2900933820542</v>
      </c>
      <c r="AU17" s="6">
        <f t="shared" si="13"/>
        <v>8.348597188388144</v>
      </c>
      <c r="AV17" s="6">
        <f t="shared" si="14"/>
        <v>8.1816252446203813E-4</v>
      </c>
      <c r="AW17" s="6">
        <f t="shared" si="36"/>
        <v>5.9336257511924113E-4</v>
      </c>
      <c r="AX17" s="52">
        <f t="shared" si="37"/>
        <v>8.4334466678532205E-4</v>
      </c>
      <c r="AY17" s="53">
        <f t="shared" si="15"/>
        <v>6.5882962772571857E-2</v>
      </c>
      <c r="AZ17" s="54">
        <f t="shared" si="38"/>
        <v>0.18418138316317181</v>
      </c>
      <c r="BA17" s="23">
        <f t="shared" si="16"/>
        <v>2.6130831618330821</v>
      </c>
    </row>
    <row r="18" spans="1:56" s="7" customFormat="1" ht="14.4" x14ac:dyDescent="0.3">
      <c r="A18" t="s">
        <v>125</v>
      </c>
      <c r="B18">
        <v>1</v>
      </c>
      <c r="C18" s="2">
        <v>45044</v>
      </c>
      <c r="D18" s="11">
        <v>0.43541666666666662</v>
      </c>
      <c r="E18" s="15">
        <v>1007</v>
      </c>
      <c r="F18">
        <v>1008.4</v>
      </c>
      <c r="G18">
        <v>1006.1</v>
      </c>
      <c r="H18">
        <v>0.02</v>
      </c>
      <c r="I18">
        <v>2.61</v>
      </c>
      <c r="J18">
        <v>12.58</v>
      </c>
      <c r="K18">
        <v>90.25</v>
      </c>
      <c r="L18">
        <v>0</v>
      </c>
      <c r="M18"/>
      <c r="N18" t="s">
        <v>99</v>
      </c>
      <c r="O18"/>
      <c r="P18" s="8">
        <f t="shared" si="4"/>
        <v>45044.435416666667</v>
      </c>
      <c r="Q18" s="9">
        <f t="shared" si="5"/>
        <v>10.795138888890506</v>
      </c>
      <c r="R18">
        <f t="shared" si="17"/>
        <v>105.46000000000001</v>
      </c>
      <c r="S18">
        <f t="shared" si="18"/>
        <v>1.8964536317087045E-2</v>
      </c>
      <c r="T18">
        <f t="shared" si="19"/>
        <v>2.4748719893798596</v>
      </c>
      <c r="U18">
        <f t="shared" si="20"/>
        <v>11.928693343447751</v>
      </c>
      <c r="V18">
        <f t="shared" si="21"/>
        <v>85.577470130855289</v>
      </c>
      <c r="W18">
        <f t="shared" si="22"/>
        <v>99.999999999999986</v>
      </c>
      <c r="X18" s="10">
        <f t="shared" si="23"/>
        <v>3.975851807483001E-2</v>
      </c>
      <c r="Y18" s="10">
        <f t="shared" si="0"/>
        <v>9.8397242722649664E-4</v>
      </c>
      <c r="Z18" s="10">
        <f t="shared" si="6"/>
        <v>7.5400185994367539E-6</v>
      </c>
      <c r="AA18" s="10">
        <f t="shared" si="1"/>
        <v>4.7426716990457184E-3</v>
      </c>
      <c r="AB18" s="10">
        <f t="shared" si="2"/>
        <v>3.402433392995835E-2</v>
      </c>
      <c r="AC18" s="10">
        <f t="shared" si="24"/>
        <v>9.9151244582593341E-4</v>
      </c>
      <c r="AD18" s="10">
        <f t="shared" si="7"/>
        <v>3.9667835219244822E-2</v>
      </c>
      <c r="AE18" s="10">
        <f t="shared" si="8"/>
        <v>9.8172814263444881E-4</v>
      </c>
      <c r="AF18" s="10">
        <f t="shared" si="9"/>
        <v>7.5228210163559302E-6</v>
      </c>
      <c r="AG18" s="10">
        <f t="shared" si="10"/>
        <v>4.7318544192878793E-3</v>
      </c>
      <c r="AH18" s="10">
        <f t="shared" si="11"/>
        <v>3.394672983630613E-2</v>
      </c>
      <c r="AI18" s="10">
        <f t="shared" si="25"/>
        <v>9.8925096365080466E-4</v>
      </c>
      <c r="AJ18" s="22">
        <f t="shared" si="26"/>
        <v>3.5796986334518373E-4</v>
      </c>
      <c r="AK18">
        <f t="shared" si="27"/>
        <v>1.7011232517124336E-3</v>
      </c>
      <c r="AL18" s="25">
        <f t="shared" si="28"/>
        <v>3.5459788805154138E-4</v>
      </c>
      <c r="AM18" s="6">
        <f t="shared" si="29"/>
        <v>1.3885923020825742E-2</v>
      </c>
      <c r="AN18" s="6">
        <f t="shared" si="30"/>
        <v>1.7597041470167598E-3</v>
      </c>
      <c r="AO18" s="6">
        <f t="shared" si="31"/>
        <v>1.8722663935412239E-3</v>
      </c>
      <c r="AP18" s="19">
        <f t="shared" si="32"/>
        <v>0.14626339854167048</v>
      </c>
      <c r="AQ18" s="7">
        <f t="shared" si="33"/>
        <v>2495.6609140906503</v>
      </c>
      <c r="AR18" s="10">
        <f t="shared" si="34"/>
        <v>13.052306580694102</v>
      </c>
      <c r="AS18" s="6">
        <f t="shared" si="35"/>
        <v>1.2791260449080222E-3</v>
      </c>
      <c r="AT18" s="6">
        <f t="shared" si="12"/>
        <v>2489.9687085150767</v>
      </c>
      <c r="AU18" s="6">
        <f t="shared" si="13"/>
        <v>13.022536345533853</v>
      </c>
      <c r="AV18" s="6">
        <f t="shared" si="14"/>
        <v>1.2762085618623176E-3</v>
      </c>
      <c r="AW18" s="6">
        <f t="shared" si="36"/>
        <v>4.6096352044598405E-4</v>
      </c>
      <c r="AX18" s="52">
        <f t="shared" si="37"/>
        <v>1.3043081872313061E-3</v>
      </c>
      <c r="AY18" s="53">
        <f t="shared" si="15"/>
        <v>0.10189391256943256</v>
      </c>
      <c r="AZ18" s="54">
        <f t="shared" si="38"/>
        <v>0.24815731111110303</v>
      </c>
      <c r="BA18" s="23">
        <f t="shared" si="16"/>
        <v>2.0858309797251708</v>
      </c>
      <c r="BB18"/>
      <c r="BC18"/>
      <c r="BD18"/>
    </row>
    <row r="19" spans="1:56" s="7" customFormat="1" ht="14.4" x14ac:dyDescent="0.3">
      <c r="A19" t="s">
        <v>125</v>
      </c>
      <c r="B19">
        <v>1</v>
      </c>
      <c r="C19" s="2">
        <v>45044</v>
      </c>
      <c r="D19" s="11">
        <v>0.42222222222222222</v>
      </c>
      <c r="E19" s="15">
        <v>1007</v>
      </c>
      <c r="F19">
        <f t="shared" ref="F19:K19" si="39">AVERAGE(F16,F21,F23,F25,F27,F30,F33)</f>
        <v>1117.6571428571428</v>
      </c>
      <c r="G19">
        <f t="shared" si="39"/>
        <v>1114.8285714285714</v>
      </c>
      <c r="H19">
        <f t="shared" si="39"/>
        <v>0</v>
      </c>
      <c r="I19">
        <f t="shared" si="39"/>
        <v>0.51857142857142857</v>
      </c>
      <c r="J19">
        <f t="shared" si="39"/>
        <v>20.360000000000003</v>
      </c>
      <c r="K19">
        <f t="shared" si="39"/>
        <v>75.721428571428575</v>
      </c>
      <c r="L19">
        <f>AVERAGE(L16,L21,L23,L25,L27,L30,L33)</f>
        <v>1</v>
      </c>
      <c r="M19" t="s">
        <v>129</v>
      </c>
      <c r="N19" t="s">
        <v>99</v>
      </c>
      <c r="O19"/>
      <c r="P19" s="8">
        <f t="shared" si="4"/>
        <v>45044.422222222223</v>
      </c>
      <c r="Q19" s="9">
        <f t="shared" si="5"/>
        <v>10.781944444446708</v>
      </c>
      <c r="R19">
        <f t="shared" ref="R19" si="40">SUM(H19:K19)</f>
        <v>96.600000000000009</v>
      </c>
      <c r="S19">
        <f t="shared" ref="S19" si="41">H19 * 100/R19</f>
        <v>0</v>
      </c>
      <c r="T19">
        <f t="shared" ref="T19" si="42">I19* 100/R19</f>
        <v>0.53682342502218272</v>
      </c>
      <c r="U19">
        <f t="shared" ref="U19" si="43">J19* 100/R19</f>
        <v>21.076604554865426</v>
      </c>
      <c r="V19">
        <f t="shared" ref="V19" si="44">K19* 100/R19</f>
        <v>78.386572020112396</v>
      </c>
      <c r="W19">
        <f t="shared" ref="W19" si="45">SUM(S19:V19)</f>
        <v>100</v>
      </c>
      <c r="X19" s="10">
        <f t="shared" ref="X19" si="46">F19*100*$D$3/($D$1*$D$2)</f>
        <v>4.4066235338901812E-2</v>
      </c>
      <c r="Y19" s="10">
        <f t="shared" ref="Y19" si="47">X19*T19/100</f>
        <v>2.3655787382462817E-4</v>
      </c>
      <c r="Z19" s="10">
        <f t="shared" ref="Z19" si="48">X19*S19/100</f>
        <v>0</v>
      </c>
      <c r="AA19" s="10">
        <f t="shared" ref="AA19" si="49">X19*U19/100</f>
        <v>9.2876661645966974E-3</v>
      </c>
      <c r="AB19" s="10">
        <f t="shared" ref="AB19" si="50">X19*V19/100</f>
        <v>3.4542011300480485E-2</v>
      </c>
      <c r="AC19" s="10">
        <f t="shared" ref="AC19" si="51">Y19+Z19</f>
        <v>2.3655787382462817E-4</v>
      </c>
      <c r="AD19" s="10">
        <f t="shared" ref="AD19" si="52">G19*100*$D$3/($D$1*$D$2)</f>
        <v>4.3954712323958534E-2</v>
      </c>
      <c r="AE19" s="10">
        <f t="shared" ref="AE19" si="53">AD19*T19/100</f>
        <v>2.3595919215612163E-4</v>
      </c>
      <c r="AF19" s="10">
        <f t="shared" ref="AF19" si="54">AD19*S19/100</f>
        <v>0</v>
      </c>
      <c r="AG19" s="10">
        <f t="shared" ref="AG19" si="55">AD19*U19/100</f>
        <v>9.2641608997494403E-3</v>
      </c>
      <c r="AH19" s="10">
        <f t="shared" ref="AH19" si="56">AD19*V19/100</f>
        <v>3.4454592232052973E-2</v>
      </c>
      <c r="AI19" s="10">
        <f t="shared" ref="AI19" si="57">AE19+AF19</f>
        <v>2.3595919215612163E-4</v>
      </c>
      <c r="AJ19" s="22"/>
      <c r="AK19"/>
      <c r="AL19" s="25"/>
      <c r="AM19" s="6"/>
      <c r="AN19" s="6"/>
      <c r="AO19" s="6"/>
      <c r="AP19" s="19"/>
      <c r="AQ19" s="7">
        <f t="shared" ref="AQ19" si="58">F19*100*T19/100</f>
        <v>599.98453542907839</v>
      </c>
      <c r="AR19" s="10">
        <f t="shared" ref="AR19" si="59">AQ19*$D$7</f>
        <v>3.1379191202940802</v>
      </c>
      <c r="AS19" s="6">
        <f t="shared" ref="AS19" si="60">AR19*$D$5/1000</f>
        <v>3.0751607378881986E-4</v>
      </c>
      <c r="AT19" s="6">
        <f t="shared" ref="AT19" si="61">G19*100*T19/100</f>
        <v>598.46609202687284</v>
      </c>
      <c r="AU19" s="6">
        <f t="shared" ref="AU19" si="62">AT19*$D$7</f>
        <v>3.1299776613005452</v>
      </c>
      <c r="AV19" s="6">
        <f t="shared" ref="AV19" si="63">AU19*$D$5/1000</f>
        <v>3.0673781080745342E-4</v>
      </c>
      <c r="AW19" s="6">
        <f t="shared" ref="AW19" si="64">AS19-AV18</f>
        <v>-9.6869248807349769E-4</v>
      </c>
      <c r="AX19" s="52">
        <f t="shared" ref="AX19" si="65">AW19+AX18</f>
        <v>3.3561569915780841E-4</v>
      </c>
      <c r="AY19" s="53">
        <f t="shared" ref="AY19" si="66">(AX19*$D$4*1000/$D$6)</f>
        <v>2.621864758781137E-2</v>
      </c>
      <c r="AZ19" s="54"/>
      <c r="BA19" s="23">
        <f t="shared" ref="BA19" si="67">AK19/(AL19+AW19)</f>
        <v>0</v>
      </c>
      <c r="BB19"/>
      <c r="BC19"/>
      <c r="BD19"/>
    </row>
    <row r="20" spans="1:56" ht="14.4" x14ac:dyDescent="0.3">
      <c r="A20" t="s">
        <v>125</v>
      </c>
      <c r="B20">
        <v>1</v>
      </c>
      <c r="C20" s="2">
        <v>45047</v>
      </c>
      <c r="D20" s="11">
        <v>0.60069444444444442</v>
      </c>
      <c r="E20" s="15">
        <v>1013.3</v>
      </c>
      <c r="F20">
        <v>1050</v>
      </c>
      <c r="G20">
        <v>1046.5</v>
      </c>
      <c r="H20">
        <v>0.02</v>
      </c>
      <c r="I20">
        <v>5.87</v>
      </c>
      <c r="J20">
        <v>10.55</v>
      </c>
      <c r="K20">
        <v>82.38</v>
      </c>
      <c r="L20">
        <v>0</v>
      </c>
      <c r="N20" t="s">
        <v>99</v>
      </c>
      <c r="P20" s="3">
        <f t="shared" si="4"/>
        <v>45047.600694444445</v>
      </c>
      <c r="Q20" s="4">
        <f t="shared" si="5"/>
        <v>13.960416666668607</v>
      </c>
      <c r="R20">
        <f t="shared" si="17"/>
        <v>98.82</v>
      </c>
      <c r="S20">
        <f t="shared" si="18"/>
        <v>2.0238818053025704E-2</v>
      </c>
      <c r="T20">
        <f t="shared" si="19"/>
        <v>5.940093098563044</v>
      </c>
      <c r="U20">
        <f t="shared" si="20"/>
        <v>10.675976522971059</v>
      </c>
      <c r="V20">
        <f t="shared" si="21"/>
        <v>83.363691560412875</v>
      </c>
      <c r="W20">
        <f t="shared" si="22"/>
        <v>100</v>
      </c>
      <c r="X20" s="6">
        <f t="shared" si="23"/>
        <v>4.1398694941066558E-2</v>
      </c>
      <c r="Y20" s="6">
        <f t="shared" si="0"/>
        <v>2.4591210210894625E-3</v>
      </c>
      <c r="Z20" s="6">
        <f t="shared" si="6"/>
        <v>8.378606545449617E-6</v>
      </c>
      <c r="AA20" s="6">
        <f t="shared" si="1"/>
        <v>4.4197149527246734E-3</v>
      </c>
      <c r="AB20" s="6">
        <f t="shared" si="2"/>
        <v>3.4511480360706975E-2</v>
      </c>
      <c r="AC20" s="6">
        <f t="shared" si="24"/>
        <v>2.4674996276349121E-3</v>
      </c>
      <c r="AD20" s="6">
        <f t="shared" si="7"/>
        <v>4.1260699291262998E-2</v>
      </c>
      <c r="AE20" s="6">
        <f t="shared" si="8"/>
        <v>2.4509239510191643E-3</v>
      </c>
      <c r="AF20" s="6">
        <f t="shared" si="9"/>
        <v>8.3506778569647846E-6</v>
      </c>
      <c r="AG20" s="6">
        <f t="shared" si="10"/>
        <v>4.4049825695489236E-3</v>
      </c>
      <c r="AH20" s="6">
        <f t="shared" si="11"/>
        <v>3.4396442092837945E-2</v>
      </c>
      <c r="AI20" s="6">
        <f t="shared" si="25"/>
        <v>2.4592746288761291E-3</v>
      </c>
      <c r="AJ20" s="22">
        <f t="shared" ref="AJ20" si="68">AC20-AI19</f>
        <v>2.2315404354787904E-3</v>
      </c>
      <c r="AK20">
        <f t="shared" ref="AK20" si="69">(AA20-AG19)*-1</f>
        <v>4.8444459470247669E-3</v>
      </c>
      <c r="AL20" s="25">
        <f t="shared" ref="AL20" si="70">Y20-AE19</f>
        <v>2.2231618289333408E-3</v>
      </c>
      <c r="AM20" s="6">
        <f>AK20+AM18</f>
        <v>1.8730368967850509E-2</v>
      </c>
      <c r="AN20" s="6">
        <f>AL20+AN18</f>
        <v>3.9828659759501006E-3</v>
      </c>
      <c r="AO20" s="6">
        <f>AJ20+AO18</f>
        <v>4.1038068290200139E-3</v>
      </c>
      <c r="AP20" s="19">
        <f t="shared" si="32"/>
        <v>0.32059365902289644</v>
      </c>
      <c r="AQ20">
        <f t="shared" si="33"/>
        <v>6237.0977534911972</v>
      </c>
      <c r="AR20" s="6">
        <f t="shared" si="34"/>
        <v>32.62002125075896</v>
      </c>
      <c r="AS20" s="6">
        <f t="shared" si="35"/>
        <v>3.196762082574378E-3</v>
      </c>
      <c r="AT20" s="6">
        <f t="shared" si="12"/>
        <v>6216.3074276462257</v>
      </c>
      <c r="AU20" s="6">
        <f t="shared" si="13"/>
        <v>32.511287846589759</v>
      </c>
      <c r="AV20" s="6">
        <f t="shared" si="14"/>
        <v>3.1861062089657967E-3</v>
      </c>
      <c r="AW20" s="6">
        <f>AS20-AV19</f>
        <v>2.8900242717669247E-3</v>
      </c>
      <c r="AX20" s="52">
        <f>AW20+AX19</f>
        <v>3.2256399709247332E-3</v>
      </c>
      <c r="AY20" s="53">
        <f t="shared" si="15"/>
        <v>0.25199035043669843</v>
      </c>
      <c r="AZ20" s="54">
        <f t="shared" si="38"/>
        <v>0.57258400945959487</v>
      </c>
      <c r="BA20" s="23">
        <f t="shared" si="16"/>
        <v>0.94744174211873611</v>
      </c>
    </row>
    <row r="21" spans="1:56" ht="14.4" x14ac:dyDescent="0.3">
      <c r="A21" t="s">
        <v>125</v>
      </c>
      <c r="B21">
        <v>1</v>
      </c>
      <c r="C21" s="2">
        <v>45047</v>
      </c>
      <c r="D21" s="11">
        <v>0.63958333333333328</v>
      </c>
      <c r="E21" s="15">
        <v>1013.4</v>
      </c>
      <c r="F21">
        <v>1117.5</v>
      </c>
      <c r="G21">
        <v>1113.5999999999999</v>
      </c>
      <c r="H21">
        <v>0</v>
      </c>
      <c r="I21">
        <v>0.81</v>
      </c>
      <c r="J21">
        <v>20.399999999999999</v>
      </c>
      <c r="K21">
        <v>76.239999999999995</v>
      </c>
      <c r="L21">
        <v>1</v>
      </c>
      <c r="N21" t="s">
        <v>99</v>
      </c>
      <c r="O21">
        <v>772.13</v>
      </c>
      <c r="P21" s="3">
        <f t="shared" si="4"/>
        <v>45047.63958333333</v>
      </c>
      <c r="Q21" s="4">
        <f t="shared" si="5"/>
        <v>13.999305555553292</v>
      </c>
      <c r="R21">
        <f t="shared" si="17"/>
        <v>97.449999999999989</v>
      </c>
      <c r="S21">
        <f t="shared" si="18"/>
        <v>0</v>
      </c>
      <c r="T21">
        <f t="shared" si="19"/>
        <v>0.83119548486403294</v>
      </c>
      <c r="U21">
        <f t="shared" si="20"/>
        <v>20.933812211390457</v>
      </c>
      <c r="V21">
        <f t="shared" si="21"/>
        <v>78.234992303745514</v>
      </c>
      <c r="W21">
        <f t="shared" si="22"/>
        <v>100</v>
      </c>
      <c r="X21" s="6">
        <f t="shared" si="23"/>
        <v>4.4060039615849408E-2</v>
      </c>
      <c r="Y21" s="6">
        <f t="shared" si="0"/>
        <v>3.6622505991624446E-4</v>
      </c>
      <c r="Z21" s="6">
        <f t="shared" si="6"/>
        <v>0</v>
      </c>
      <c r="AA21" s="6">
        <f t="shared" si="1"/>
        <v>9.2234459534461573E-3</v>
      </c>
      <c r="AB21" s="6">
        <f t="shared" si="2"/>
        <v>3.4470368602487006E-2</v>
      </c>
      <c r="AC21" s="6">
        <f t="shared" si="24"/>
        <v>3.6622505991624446E-4</v>
      </c>
      <c r="AD21" s="6">
        <f t="shared" si="7"/>
        <v>4.3906273034639724E-2</v>
      </c>
      <c r="AE21" s="6">
        <f t="shared" si="8"/>
        <v>3.6494695903599981E-4</v>
      </c>
      <c r="AF21" s="6">
        <f t="shared" si="9"/>
        <v>0</v>
      </c>
      <c r="AG21" s="6">
        <f t="shared" si="10"/>
        <v>9.1912567460918464E-3</v>
      </c>
      <c r="AH21" s="6">
        <f t="shared" si="11"/>
        <v>3.435006932951188E-2</v>
      </c>
      <c r="AI21" s="6">
        <f t="shared" si="25"/>
        <v>3.6494695903599981E-4</v>
      </c>
      <c r="AJ21" s="22"/>
      <c r="AL21" s="25"/>
      <c r="AM21" s="6"/>
      <c r="AN21" s="6"/>
      <c r="AO21" s="6"/>
      <c r="AP21" s="19"/>
      <c r="AQ21">
        <f t="shared" si="33"/>
        <v>928.8609543355567</v>
      </c>
      <c r="AR21" s="6">
        <f t="shared" si="34"/>
        <v>4.8579427911749615</v>
      </c>
      <c r="AS21" s="6">
        <f t="shared" si="35"/>
        <v>4.7607839353514626E-4</v>
      </c>
      <c r="AT21" s="6">
        <f t="shared" si="12"/>
        <v>925.61929194458708</v>
      </c>
      <c r="AU21" s="6">
        <f t="shared" si="13"/>
        <v>4.8409888968701908</v>
      </c>
      <c r="AV21" s="6">
        <f t="shared" si="14"/>
        <v>4.7441691189327874E-4</v>
      </c>
      <c r="AW21" s="6">
        <f t="shared" si="36"/>
        <v>-2.7100278154306504E-3</v>
      </c>
      <c r="AX21" s="52">
        <f t="shared" si="37"/>
        <v>5.1561215549408282E-4</v>
      </c>
      <c r="AY21" s="53">
        <f t="shared" si="15"/>
        <v>4.0280158022448789E-2</v>
      </c>
      <c r="AZ21" s="54"/>
      <c r="BA21" s="23">
        <f t="shared" si="16"/>
        <v>0</v>
      </c>
    </row>
    <row r="22" spans="1:56" s="7" customFormat="1" ht="14.4" x14ac:dyDescent="0.3">
      <c r="A22" t="s">
        <v>125</v>
      </c>
      <c r="B22">
        <v>1</v>
      </c>
      <c r="C22" s="2">
        <v>45050</v>
      </c>
      <c r="D22" s="11">
        <v>0.43263888888888885</v>
      </c>
      <c r="E22" s="15">
        <v>1017.6</v>
      </c>
      <c r="F22">
        <v>1043.7</v>
      </c>
      <c r="G22">
        <v>1041</v>
      </c>
      <c r="H22">
        <v>0.01</v>
      </c>
      <c r="I22">
        <v>7.12</v>
      </c>
      <c r="J22">
        <v>9.42</v>
      </c>
      <c r="K22">
        <v>81.849999999999994</v>
      </c>
      <c r="L22">
        <v>0</v>
      </c>
      <c r="M22"/>
      <c r="N22" t="s">
        <v>99</v>
      </c>
      <c r="O22"/>
      <c r="P22" s="8">
        <f t="shared" si="4"/>
        <v>45050.432638888888</v>
      </c>
      <c r="Q22" s="9">
        <f t="shared" si="5"/>
        <v>16.792361111110949</v>
      </c>
      <c r="R22">
        <f t="shared" si="17"/>
        <v>98.399999999999991</v>
      </c>
      <c r="S22">
        <f t="shared" si="18"/>
        <v>1.0162601626016262E-2</v>
      </c>
      <c r="T22">
        <f t="shared" si="19"/>
        <v>7.2357723577235777</v>
      </c>
      <c r="U22">
        <f t="shared" si="20"/>
        <v>9.573170731707318</v>
      </c>
      <c r="V22">
        <f t="shared" si="21"/>
        <v>83.180894308943081</v>
      </c>
      <c r="W22">
        <f t="shared" si="22"/>
        <v>100</v>
      </c>
      <c r="X22" s="10">
        <f t="shared" si="23"/>
        <v>4.1150302771420157E-2</v>
      </c>
      <c r="Y22" s="10">
        <f t="shared" si="0"/>
        <v>2.977542233053979E-3</v>
      </c>
      <c r="Z22" s="10">
        <f t="shared" si="6"/>
        <v>4.18194133855896E-6</v>
      </c>
      <c r="AA22" s="10">
        <f t="shared" si="1"/>
        <v>3.9393887409225397E-3</v>
      </c>
      <c r="AB22" s="10">
        <f t="shared" si="2"/>
        <v>3.4229189856105076E-2</v>
      </c>
      <c r="AC22" s="10">
        <f t="shared" si="24"/>
        <v>2.981724174392538E-3</v>
      </c>
      <c r="AD22" s="10">
        <f t="shared" si="7"/>
        <v>4.1043848984428838E-2</v>
      </c>
      <c r="AE22" s="10">
        <f t="shared" si="8"/>
        <v>2.9698394793611109E-3</v>
      </c>
      <c r="AF22" s="10">
        <f t="shared" si="9"/>
        <v>4.1711228642712239E-6</v>
      </c>
      <c r="AG22" s="10">
        <f t="shared" si="10"/>
        <v>3.9291977381434931E-3</v>
      </c>
      <c r="AH22" s="10">
        <f t="shared" si="11"/>
        <v>3.4140640644059958E-2</v>
      </c>
      <c r="AI22" s="10">
        <f t="shared" si="25"/>
        <v>2.974010602225382E-3</v>
      </c>
      <c r="AJ22" s="22">
        <f t="shared" si="26"/>
        <v>2.616777215356538E-3</v>
      </c>
      <c r="AK22">
        <f t="shared" si="27"/>
        <v>5.2518680051693066E-3</v>
      </c>
      <c r="AL22" s="25">
        <f t="shared" si="28"/>
        <v>2.612595274017979E-3</v>
      </c>
      <c r="AM22" s="6">
        <f>AK22+AM20</f>
        <v>2.3982236973019815E-2</v>
      </c>
      <c r="AN22" s="6">
        <f>AL22+AN20</f>
        <v>6.5954612499680796E-3</v>
      </c>
      <c r="AO22" s="6">
        <f>AJ22+AO20</f>
        <v>6.7205840443765518E-3</v>
      </c>
      <c r="AP22" s="19">
        <f t="shared" si="32"/>
        <v>0.52501901754281299</v>
      </c>
      <c r="AQ22" s="7">
        <f t="shared" si="33"/>
        <v>7551.9756097560985</v>
      </c>
      <c r="AR22" s="10">
        <f t="shared" si="34"/>
        <v>39.496832439024395</v>
      </c>
      <c r="AS22" s="6">
        <f t="shared" si="35"/>
        <v>3.8706895790243906E-3</v>
      </c>
      <c r="AT22" s="6">
        <f t="shared" si="12"/>
        <v>7532.4390243902444</v>
      </c>
      <c r="AU22" s="6">
        <f t="shared" si="13"/>
        <v>39.394656097560983</v>
      </c>
      <c r="AV22" s="6">
        <f t="shared" si="14"/>
        <v>3.8606762975609767E-3</v>
      </c>
      <c r="AW22" s="6">
        <f t="shared" si="36"/>
        <v>3.3962726671311117E-3</v>
      </c>
      <c r="AX22" s="52">
        <f t="shared" si="37"/>
        <v>3.9118848226251945E-3</v>
      </c>
      <c r="AY22" s="53">
        <f t="shared" si="15"/>
        <v>0.30560051221051981</v>
      </c>
      <c r="AZ22" s="54">
        <f t="shared" si="38"/>
        <v>0.83061952975333275</v>
      </c>
      <c r="BA22" s="23">
        <f t="shared" si="16"/>
        <v>0.87401954188478626</v>
      </c>
      <c r="BB22"/>
      <c r="BC22"/>
      <c r="BD22"/>
    </row>
    <row r="23" spans="1:56" ht="14.4" x14ac:dyDescent="0.3">
      <c r="A23" t="s">
        <v>125</v>
      </c>
      <c r="B23">
        <v>1</v>
      </c>
      <c r="C23" s="2">
        <v>45050</v>
      </c>
      <c r="D23" s="11">
        <v>0.46736111111111112</v>
      </c>
      <c r="E23" s="15">
        <v>1017</v>
      </c>
      <c r="F23">
        <v>1123.5</v>
      </c>
      <c r="G23">
        <v>1119.9000000000001</v>
      </c>
      <c r="H23">
        <v>0</v>
      </c>
      <c r="I23">
        <v>0.69</v>
      </c>
      <c r="J23">
        <v>20.27</v>
      </c>
      <c r="K23">
        <v>75.400000000000006</v>
      </c>
      <c r="L23">
        <v>1</v>
      </c>
      <c r="N23" t="s">
        <v>99</v>
      </c>
      <c r="O23">
        <v>772.04</v>
      </c>
      <c r="P23" s="3">
        <f t="shared" si="4"/>
        <v>45050.467361111114</v>
      </c>
      <c r="Q23" s="4">
        <f t="shared" si="5"/>
        <v>16.827083333337214</v>
      </c>
      <c r="R23">
        <f t="shared" si="17"/>
        <v>96.360000000000014</v>
      </c>
      <c r="S23">
        <f t="shared" si="18"/>
        <v>0</v>
      </c>
      <c r="T23">
        <f t="shared" si="19"/>
        <v>0.71606475716064744</v>
      </c>
      <c r="U23">
        <f t="shared" si="20"/>
        <v>21.035699460356991</v>
      </c>
      <c r="V23">
        <f t="shared" si="21"/>
        <v>78.248235782482354</v>
      </c>
      <c r="W23">
        <f t="shared" si="22"/>
        <v>100</v>
      </c>
      <c r="X23" s="6">
        <f t="shared" si="23"/>
        <v>4.4296603586941215E-2</v>
      </c>
      <c r="Y23" s="6">
        <f t="shared" si="0"/>
        <v>3.1719236690524522E-4</v>
      </c>
      <c r="Z23" s="6">
        <f t="shared" si="6"/>
        <v>0</v>
      </c>
      <c r="AA23" s="6">
        <f t="shared" si="1"/>
        <v>9.3181004016946681E-3</v>
      </c>
      <c r="AB23" s="6">
        <f t="shared" si="2"/>
        <v>3.4661310818341298E-2</v>
      </c>
      <c r="AC23" s="6">
        <f t="shared" si="24"/>
        <v>3.1719236690524522E-4</v>
      </c>
      <c r="AD23" s="6">
        <f t="shared" si="7"/>
        <v>4.4154665204286139E-2</v>
      </c>
      <c r="AE23" s="6">
        <f t="shared" si="8"/>
        <v>3.1617599617016841E-4</v>
      </c>
      <c r="AF23" s="6">
        <f t="shared" si="9"/>
        <v>0</v>
      </c>
      <c r="AG23" s="6">
        <f t="shared" si="10"/>
        <v>9.2882426701004547E-3</v>
      </c>
      <c r="AH23" s="6">
        <f t="shared" si="11"/>
        <v>3.4550246538015507E-2</v>
      </c>
      <c r="AI23" s="6">
        <f t="shared" si="25"/>
        <v>3.1617599617016841E-4</v>
      </c>
      <c r="AJ23" s="22"/>
      <c r="AL23" s="25"/>
      <c r="AM23" s="6"/>
      <c r="AN23" s="6"/>
      <c r="AO23" s="6"/>
      <c r="AP23" s="19"/>
      <c r="AQ23">
        <f>F23*100*T23/100</f>
        <v>804.49875466998742</v>
      </c>
      <c r="AR23" s="6">
        <f>AQ23*$D$7</f>
        <v>4.2075284869240344</v>
      </c>
      <c r="AS23" s="6">
        <f t="shared" si="35"/>
        <v>4.1233779171855539E-4</v>
      </c>
      <c r="AT23" s="6">
        <f t="shared" si="12"/>
        <v>801.92092154420914</v>
      </c>
      <c r="AU23" s="6">
        <f t="shared" si="13"/>
        <v>4.1940464196762139</v>
      </c>
      <c r="AV23" s="6">
        <f t="shared" si="14"/>
        <v>4.1101654912826895E-4</v>
      </c>
      <c r="AW23" s="6">
        <f t="shared" si="36"/>
        <v>-3.4483385058424213E-3</v>
      </c>
      <c r="AX23" s="52">
        <f t="shared" si="37"/>
        <v>4.635463167827732E-4</v>
      </c>
      <c r="AY23" s="53">
        <f t="shared" si="15"/>
        <v>3.6212720533793714E-2</v>
      </c>
      <c r="AZ23" s="54"/>
      <c r="BA23" s="23">
        <f t="shared" si="16"/>
        <v>0</v>
      </c>
    </row>
    <row r="24" spans="1:56" s="7" customFormat="1" ht="14.4" x14ac:dyDescent="0.3">
      <c r="A24" t="s">
        <v>125</v>
      </c>
      <c r="B24">
        <v>1</v>
      </c>
      <c r="C24" s="2">
        <v>45054</v>
      </c>
      <c r="D24" s="11">
        <v>0.39652777777777781</v>
      </c>
      <c r="E24" s="15">
        <v>1018.7</v>
      </c>
      <c r="F24">
        <v>1070.0999999999999</v>
      </c>
      <c r="G24">
        <v>1067.0999999999999</v>
      </c>
      <c r="H24">
        <v>0.03</v>
      </c>
      <c r="I24">
        <v>5.1100000000000003</v>
      </c>
      <c r="J24">
        <v>12.29</v>
      </c>
      <c r="K24">
        <v>80.069999999999993</v>
      </c>
      <c r="L24">
        <v>0</v>
      </c>
      <c r="M24"/>
      <c r="N24" t="s">
        <v>99</v>
      </c>
      <c r="O24"/>
      <c r="P24" s="8">
        <f t="shared" si="4"/>
        <v>45054.396527777775</v>
      </c>
      <c r="Q24" s="9">
        <f t="shared" si="5"/>
        <v>20.756249999998545</v>
      </c>
      <c r="R24">
        <f t="shared" si="17"/>
        <v>97.5</v>
      </c>
      <c r="S24">
        <f t="shared" si="18"/>
        <v>3.0769230769230771E-2</v>
      </c>
      <c r="T24">
        <f t="shared" si="19"/>
        <v>5.2410256410256419</v>
      </c>
      <c r="U24">
        <f t="shared" si="20"/>
        <v>12.605128205128205</v>
      </c>
      <c r="V24">
        <f t="shared" si="21"/>
        <v>82.123076923076908</v>
      </c>
      <c r="W24">
        <f t="shared" si="22"/>
        <v>99.999999999999986</v>
      </c>
      <c r="X24" s="10">
        <f t="shared" si="23"/>
        <v>4.2191184244224113E-2</v>
      </c>
      <c r="Y24" s="10">
        <f t="shared" si="0"/>
        <v>2.2112507844921562E-3</v>
      </c>
      <c r="Z24" s="10">
        <f t="shared" si="6"/>
        <v>1.2981902844376651E-5</v>
      </c>
      <c r="AA24" s="10">
        <f t="shared" si="1"/>
        <v>5.3182528652463016E-3</v>
      </c>
      <c r="AB24" s="10">
        <f t="shared" si="2"/>
        <v>3.4648698691641271E-2</v>
      </c>
      <c r="AC24" s="10">
        <f t="shared" si="24"/>
        <v>2.2242326873365328E-3</v>
      </c>
      <c r="AD24" s="10">
        <f t="shared" si="7"/>
        <v>4.2072902258678206E-2</v>
      </c>
      <c r="AE24" s="10">
        <f t="shared" si="8"/>
        <v>2.2050515953009812E-3</v>
      </c>
      <c r="AF24" s="10">
        <f t="shared" si="9"/>
        <v>1.2945508387285603E-5</v>
      </c>
      <c r="AG24" s="10">
        <f t="shared" si="10"/>
        <v>5.3033432693246688E-3</v>
      </c>
      <c r="AH24" s="10">
        <f t="shared" si="11"/>
        <v>3.4551561885665265E-2</v>
      </c>
      <c r="AI24" s="10">
        <f t="shared" si="25"/>
        <v>2.2179971036882669E-3</v>
      </c>
      <c r="AJ24" s="22">
        <f t="shared" si="26"/>
        <v>1.9080566911663644E-3</v>
      </c>
      <c r="AK24">
        <f t="shared" si="27"/>
        <v>3.9699898048541531E-3</v>
      </c>
      <c r="AL24" s="25">
        <f t="shared" si="28"/>
        <v>1.8950747883219878E-3</v>
      </c>
      <c r="AM24" s="6">
        <f>AK24+AM22</f>
        <v>2.7952226777873967E-2</v>
      </c>
      <c r="AN24" s="6">
        <f>AL24+AN22</f>
        <v>8.4905360382900672E-3</v>
      </c>
      <c r="AO24" s="6">
        <f>AJ24+AO22</f>
        <v>8.6286407355429164E-3</v>
      </c>
      <c r="AP24" s="19">
        <f t="shared" si="32"/>
        <v>0.67407839137065506</v>
      </c>
      <c r="AQ24" s="7">
        <f t="shared" si="33"/>
        <v>5608.4215384615391</v>
      </c>
      <c r="AR24" s="10">
        <f t="shared" si="34"/>
        <v>29.33204464615385</v>
      </c>
      <c r="AS24" s="6">
        <f t="shared" si="35"/>
        <v>2.8745403753230774E-3</v>
      </c>
      <c r="AT24" s="6">
        <f t="shared" si="12"/>
        <v>5592.6984615384608</v>
      </c>
      <c r="AU24" s="6">
        <f t="shared" si="13"/>
        <v>29.249812953846153</v>
      </c>
      <c r="AV24" s="6">
        <f t="shared" si="14"/>
        <v>2.8664816694769233E-3</v>
      </c>
      <c r="AW24" s="6">
        <f t="shared" si="36"/>
        <v>2.4635238261948083E-3</v>
      </c>
      <c r="AX24" s="52">
        <f t="shared" si="37"/>
        <v>2.9270701429775815E-3</v>
      </c>
      <c r="AY24" s="53">
        <f t="shared" si="15"/>
        <v>0.22866576484983939</v>
      </c>
      <c r="AZ24" s="54">
        <f t="shared" si="38"/>
        <v>0.90274415622049442</v>
      </c>
      <c r="BA24" s="23">
        <f t="shared" si="16"/>
        <v>0.9108408816612894</v>
      </c>
      <c r="BB24"/>
      <c r="BC24"/>
      <c r="BD24"/>
    </row>
    <row r="25" spans="1:56" ht="14.4" x14ac:dyDescent="0.3">
      <c r="A25" t="s">
        <v>125</v>
      </c>
      <c r="B25">
        <v>1</v>
      </c>
      <c r="C25" s="2">
        <v>45054</v>
      </c>
      <c r="D25" s="11">
        <v>0.4291666666666667</v>
      </c>
      <c r="E25" s="15">
        <v>1018.7</v>
      </c>
      <c r="F25">
        <v>1126.2</v>
      </c>
      <c r="G25">
        <v>1123</v>
      </c>
      <c r="H25">
        <v>0</v>
      </c>
      <c r="I25">
        <v>0.56999999999999995</v>
      </c>
      <c r="J25">
        <v>20.2</v>
      </c>
      <c r="K25">
        <v>75.17</v>
      </c>
      <c r="L25">
        <v>1</v>
      </c>
      <c r="N25" t="s">
        <v>99</v>
      </c>
      <c r="O25">
        <v>771.98</v>
      </c>
      <c r="P25" s="3">
        <f t="shared" si="4"/>
        <v>45054.429166666669</v>
      </c>
      <c r="Q25" s="4">
        <f t="shared" si="5"/>
        <v>20.788888888891961</v>
      </c>
      <c r="R25">
        <f t="shared" si="17"/>
        <v>95.94</v>
      </c>
      <c r="S25">
        <f t="shared" si="18"/>
        <v>0</v>
      </c>
      <c r="T25">
        <f t="shared" si="19"/>
        <v>0.59412132582864285</v>
      </c>
      <c r="U25">
        <f t="shared" si="20"/>
        <v>21.054825932874714</v>
      </c>
      <c r="V25">
        <f t="shared" si="21"/>
        <v>78.351052741296641</v>
      </c>
      <c r="W25">
        <f t="shared" si="22"/>
        <v>100</v>
      </c>
      <c r="X25" s="6">
        <f t="shared" si="23"/>
        <v>4.4403057373932527E-2</v>
      </c>
      <c r="Y25" s="6">
        <f t="shared" si="0"/>
        <v>2.6380803317846093E-4</v>
      </c>
      <c r="Z25" s="6">
        <f t="shared" si="6"/>
        <v>0</v>
      </c>
      <c r="AA25" s="6">
        <f t="shared" si="1"/>
        <v>9.3489864389559828E-3</v>
      </c>
      <c r="AB25" s="6">
        <f t="shared" si="2"/>
        <v>3.4790262901798076E-2</v>
      </c>
      <c r="AC25" s="6">
        <f t="shared" si="24"/>
        <v>2.6380803317846093E-4</v>
      </c>
      <c r="AD25" s="6">
        <f t="shared" si="7"/>
        <v>4.4276889922683568E-2</v>
      </c>
      <c r="AE25" s="6">
        <f t="shared" si="8"/>
        <v>2.6305844544433641E-4</v>
      </c>
      <c r="AF25" s="6">
        <f t="shared" si="9"/>
        <v>0</v>
      </c>
      <c r="AG25" s="6">
        <f t="shared" si="10"/>
        <v>9.3224221017115701E-3</v>
      </c>
      <c r="AH25" s="6">
        <f t="shared" si="11"/>
        <v>3.4691409375527657E-2</v>
      </c>
      <c r="AI25" s="6">
        <f t="shared" si="25"/>
        <v>2.6305844544433641E-4</v>
      </c>
      <c r="AJ25" s="22"/>
      <c r="AL25" s="25"/>
      <c r="AM25" s="6"/>
      <c r="AN25" s="6"/>
      <c r="AO25" s="6"/>
      <c r="AP25" s="19"/>
      <c r="AQ25">
        <f t="shared" si="33"/>
        <v>669.09943714821759</v>
      </c>
      <c r="AR25" s="6">
        <f t="shared" si="34"/>
        <v>3.4993900562851783</v>
      </c>
      <c r="AS25" s="6">
        <f t="shared" si="35"/>
        <v>3.4294022551594752E-4</v>
      </c>
      <c r="AT25" s="6">
        <f t="shared" si="12"/>
        <v>667.19824890556595</v>
      </c>
      <c r="AU25" s="6">
        <f t="shared" si="13"/>
        <v>3.4894468417761102</v>
      </c>
      <c r="AV25" s="6">
        <f t="shared" si="14"/>
        <v>3.4196579049405878E-4</v>
      </c>
      <c r="AW25" s="6">
        <f t="shared" si="36"/>
        <v>-2.5235414439609759E-3</v>
      </c>
      <c r="AX25" s="52">
        <f t="shared" si="37"/>
        <v>4.0352869901660567E-4</v>
      </c>
      <c r="AY25" s="53">
        <f t="shared" si="15"/>
        <v>3.1524081792459968E-2</v>
      </c>
      <c r="AZ25" s="54"/>
      <c r="BA25" s="23">
        <f t="shared" si="16"/>
        <v>0</v>
      </c>
    </row>
    <row r="26" spans="1:56" s="7" customFormat="1" ht="14.4" x14ac:dyDescent="0.3">
      <c r="A26" t="s">
        <v>125</v>
      </c>
      <c r="B26">
        <v>1</v>
      </c>
      <c r="C26" s="2">
        <v>45056</v>
      </c>
      <c r="D26" s="11">
        <v>0.42986111111111108</v>
      </c>
      <c r="E26" s="15">
        <v>1007.9</v>
      </c>
      <c r="F26">
        <v>1102</v>
      </c>
      <c r="G26">
        <v>1099.7</v>
      </c>
      <c r="H26">
        <v>0.02</v>
      </c>
      <c r="I26">
        <v>2.29</v>
      </c>
      <c r="J26">
        <v>17.440000000000001</v>
      </c>
      <c r="K26">
        <v>76.599999999999994</v>
      </c>
      <c r="L26">
        <v>0</v>
      </c>
      <c r="M26"/>
      <c r="N26" t="s">
        <v>99</v>
      </c>
      <c r="O26"/>
      <c r="P26" s="8">
        <f t="shared" si="4"/>
        <v>45056.429861111108</v>
      </c>
      <c r="Q26" s="9">
        <f t="shared" si="5"/>
        <v>22.789583333331393</v>
      </c>
      <c r="R26">
        <f t="shared" si="17"/>
        <v>96.35</v>
      </c>
      <c r="S26">
        <f t="shared" si="18"/>
        <v>2.0757654385054489E-2</v>
      </c>
      <c r="T26">
        <f t="shared" si="19"/>
        <v>2.3767514270887391</v>
      </c>
      <c r="U26">
        <f t="shared" si="20"/>
        <v>18.100674623767517</v>
      </c>
      <c r="V26">
        <f t="shared" si="21"/>
        <v>79.501816294758683</v>
      </c>
      <c r="W26">
        <f t="shared" si="22"/>
        <v>100</v>
      </c>
      <c r="X26" s="10">
        <f t="shared" si="23"/>
        <v>4.3448916023862236E-2</v>
      </c>
      <c r="Y26" s="10">
        <f t="shared" si="0"/>
        <v>1.0326727316517334E-3</v>
      </c>
      <c r="Z26" s="10">
        <f t="shared" si="6"/>
        <v>9.0189758222858814E-6</v>
      </c>
      <c r="AA26" s="10">
        <f t="shared" si="1"/>
        <v>7.8645469170332896E-3</v>
      </c>
      <c r="AB26" s="10">
        <f t="shared" si="2"/>
        <v>3.4542677399354925E-2</v>
      </c>
      <c r="AC26" s="10">
        <f t="shared" si="24"/>
        <v>1.0416917074740192E-3</v>
      </c>
      <c r="AD26" s="10">
        <f t="shared" si="7"/>
        <v>4.3358233168277041E-2</v>
      </c>
      <c r="AE26" s="10">
        <f t="shared" si="8"/>
        <v>1.0305174255874877E-3</v>
      </c>
      <c r="AF26" s="10">
        <f t="shared" si="9"/>
        <v>9.0001521885370092E-6</v>
      </c>
      <c r="AG26" s="10">
        <f t="shared" si="10"/>
        <v>7.8481327084042735E-3</v>
      </c>
      <c r="AH26" s="10">
        <f t="shared" si="11"/>
        <v>3.4470582882096742E-2</v>
      </c>
      <c r="AI26" s="10">
        <f t="shared" si="25"/>
        <v>1.0395175777760247E-3</v>
      </c>
      <c r="AJ26" s="22">
        <f t="shared" si="26"/>
        <v>7.7863326202968282E-4</v>
      </c>
      <c r="AK26">
        <f t="shared" si="27"/>
        <v>1.4578751846782805E-3</v>
      </c>
      <c r="AL26" s="25">
        <f t="shared" si="28"/>
        <v>7.6961428620739704E-4</v>
      </c>
      <c r="AM26" s="6">
        <f>AK26+AM24</f>
        <v>2.9410101962552247E-2</v>
      </c>
      <c r="AN26" s="6">
        <f>AL26+AN24</f>
        <v>9.2601503244974636E-3</v>
      </c>
      <c r="AO26" s="6">
        <f>AJ26+AO24</f>
        <v>9.4072739975725999E-3</v>
      </c>
      <c r="AP26" s="19">
        <f t="shared" si="32"/>
        <v>0.73490603187892922</v>
      </c>
      <c r="AQ26" s="7">
        <f t="shared" si="33"/>
        <v>2619.1800726517904</v>
      </c>
      <c r="AR26" s="10">
        <f>AQ26*$D$7</f>
        <v>13.698311779968865</v>
      </c>
      <c r="AS26" s="6">
        <f t="shared" si="35"/>
        <v>1.342434554436949E-3</v>
      </c>
      <c r="AT26" s="6">
        <f t="shared" si="12"/>
        <v>2613.7135443694865</v>
      </c>
      <c r="AU26" s="6">
        <f t="shared" si="13"/>
        <v>13.669721837052416</v>
      </c>
      <c r="AV26" s="6">
        <f t="shared" si="14"/>
        <v>1.3396327400311367E-3</v>
      </c>
      <c r="AW26" s="6">
        <f t="shared" si="36"/>
        <v>1.0004687639428903E-3</v>
      </c>
      <c r="AX26" s="52">
        <f t="shared" si="37"/>
        <v>1.403997462959496E-3</v>
      </c>
      <c r="AY26" s="53">
        <f t="shared" si="15"/>
        <v>0.10968174250456494</v>
      </c>
      <c r="AZ26" s="54">
        <f t="shared" si="38"/>
        <v>0.84458777438349419</v>
      </c>
      <c r="BA26" s="23">
        <f t="shared" si="16"/>
        <v>0.82361965137991733</v>
      </c>
      <c r="BB26"/>
      <c r="BC26"/>
      <c r="BD26"/>
    </row>
    <row r="27" spans="1:56" ht="14.4" x14ac:dyDescent="0.3">
      <c r="A27" t="s">
        <v>125</v>
      </c>
      <c r="B27">
        <v>1</v>
      </c>
      <c r="C27" s="2">
        <v>45056</v>
      </c>
      <c r="D27" s="11">
        <v>0.45694444444444443</v>
      </c>
      <c r="E27" s="15">
        <v>1008.3</v>
      </c>
      <c r="F27">
        <v>1112.8</v>
      </c>
      <c r="G27">
        <v>1109.9000000000001</v>
      </c>
      <c r="H27">
        <v>0</v>
      </c>
      <c r="I27">
        <v>0.28000000000000003</v>
      </c>
      <c r="J27">
        <v>20.34</v>
      </c>
      <c r="K27">
        <v>75.36</v>
      </c>
      <c r="L27">
        <v>1</v>
      </c>
      <c r="N27" t="s">
        <v>99</v>
      </c>
      <c r="O27">
        <v>771.88</v>
      </c>
      <c r="P27" s="3">
        <f t="shared" si="4"/>
        <v>45056.456944444442</v>
      </c>
      <c r="Q27" s="4">
        <f t="shared" si="5"/>
        <v>22.816666666665697</v>
      </c>
      <c r="R27">
        <f t="shared" si="17"/>
        <v>95.98</v>
      </c>
      <c r="S27">
        <f t="shared" si="18"/>
        <v>0</v>
      </c>
      <c r="T27">
        <f t="shared" si="19"/>
        <v>0.29172744321733696</v>
      </c>
      <c r="U27">
        <f t="shared" si="20"/>
        <v>21.191914982287976</v>
      </c>
      <c r="V27">
        <f t="shared" si="21"/>
        <v>78.516357574494677</v>
      </c>
      <c r="W27">
        <f t="shared" si="22"/>
        <v>99.999999999999986</v>
      </c>
      <c r="X27" s="6">
        <f t="shared" si="23"/>
        <v>4.387473117182749E-2</v>
      </c>
      <c r="Y27" s="6">
        <f t="shared" si="0"/>
        <v>1.2799463146605228E-4</v>
      </c>
      <c r="Z27" s="6">
        <f t="shared" si="6"/>
        <v>0</v>
      </c>
      <c r="AA27" s="6">
        <f t="shared" si="1"/>
        <v>9.297895728641082E-3</v>
      </c>
      <c r="AB27" s="6">
        <f t="shared" si="2"/>
        <v>3.4448840811720352E-2</v>
      </c>
      <c r="AC27" s="6">
        <f t="shared" si="24"/>
        <v>1.2799463146605228E-4</v>
      </c>
      <c r="AD27" s="6">
        <f t="shared" si="7"/>
        <v>4.3760391919133119E-2</v>
      </c>
      <c r="AE27" s="6">
        <f t="shared" si="8"/>
        <v>1.2766107248757318E-4</v>
      </c>
      <c r="AF27" s="6">
        <f t="shared" si="9"/>
        <v>0</v>
      </c>
      <c r="AG27" s="6">
        <f t="shared" si="10"/>
        <v>9.2736650514187082E-3</v>
      </c>
      <c r="AH27" s="6">
        <f t="shared" si="11"/>
        <v>3.435906579522683E-2</v>
      </c>
      <c r="AI27" s="6">
        <f t="shared" si="25"/>
        <v>1.2766107248757318E-4</v>
      </c>
      <c r="AJ27" s="22"/>
      <c r="AL27" s="25"/>
      <c r="AM27" s="6"/>
      <c r="AN27" s="6"/>
      <c r="AO27" s="6"/>
      <c r="AP27" s="19"/>
      <c r="AQ27">
        <f t="shared" si="33"/>
        <v>324.63429881225255</v>
      </c>
      <c r="AR27" s="6">
        <f t="shared" si="34"/>
        <v>1.6978373827880808</v>
      </c>
      <c r="AS27" s="6">
        <f t="shared" si="35"/>
        <v>1.6638806351323193E-4</v>
      </c>
      <c r="AT27" s="6">
        <f t="shared" si="12"/>
        <v>323.7882892269223</v>
      </c>
      <c r="AU27" s="6">
        <f t="shared" si="13"/>
        <v>1.6934127526568037</v>
      </c>
      <c r="AV27" s="6">
        <f t="shared" si="14"/>
        <v>1.6595444976036678E-4</v>
      </c>
      <c r="AW27" s="6">
        <f t="shared" si="36"/>
        <v>-1.1732446765179048E-3</v>
      </c>
      <c r="AX27" s="52">
        <f t="shared" si="37"/>
        <v>2.3075278644159119E-4</v>
      </c>
      <c r="AY27" s="53">
        <f t="shared" si="15"/>
        <v>1.8026647748598974E-2</v>
      </c>
      <c r="AZ27" s="54"/>
      <c r="BA27" s="23">
        <f t="shared" si="16"/>
        <v>0</v>
      </c>
    </row>
    <row r="28" spans="1:56" s="7" customFormat="1" ht="14.4" x14ac:dyDescent="0.3">
      <c r="A28" t="s">
        <v>125</v>
      </c>
      <c r="B28">
        <v>1</v>
      </c>
      <c r="C28" s="2">
        <v>45058</v>
      </c>
      <c r="D28" s="11">
        <v>0.4069444444444445</v>
      </c>
      <c r="E28" s="15">
        <v>1014.8</v>
      </c>
      <c r="F28">
        <v>1087.9000000000001</v>
      </c>
      <c r="G28">
        <v>1084.9000000000001</v>
      </c>
      <c r="H28">
        <v>0</v>
      </c>
      <c r="I28">
        <v>1.69</v>
      </c>
      <c r="J28">
        <v>17.93</v>
      </c>
      <c r="K28">
        <v>76.900000000000006</v>
      </c>
      <c r="L28">
        <v>0</v>
      </c>
      <c r="M28"/>
      <c r="N28" t="s">
        <v>99</v>
      </c>
      <c r="O28"/>
      <c r="P28" s="8">
        <f t="shared" si="4"/>
        <v>45058.406944444447</v>
      </c>
      <c r="Q28" s="9">
        <f t="shared" si="5"/>
        <v>24.766666666670062</v>
      </c>
      <c r="R28">
        <f t="shared" si="17"/>
        <v>96.52000000000001</v>
      </c>
      <c r="S28">
        <f t="shared" si="18"/>
        <v>0</v>
      </c>
      <c r="T28">
        <f t="shared" si="19"/>
        <v>1.7509324492333194</v>
      </c>
      <c r="U28">
        <f t="shared" si="20"/>
        <v>18.576460837132199</v>
      </c>
      <c r="V28">
        <f t="shared" si="21"/>
        <v>79.67260671363448</v>
      </c>
      <c r="W28">
        <f t="shared" si="22"/>
        <v>100</v>
      </c>
      <c r="X28" s="10">
        <f t="shared" si="23"/>
        <v>4.2892990691796494E-2</v>
      </c>
      <c r="Y28" s="10">
        <f t="shared" si="0"/>
        <v>7.5102729246929209E-4</v>
      </c>
      <c r="Z28" s="10">
        <f t="shared" si="6"/>
        <v>0</v>
      </c>
      <c r="AA28" s="10">
        <f t="shared" si="1"/>
        <v>7.967999617736336E-3</v>
      </c>
      <c r="AB28" s="10">
        <f t="shared" si="2"/>
        <v>3.4173963781590863E-2</v>
      </c>
      <c r="AC28" s="10">
        <f t="shared" si="24"/>
        <v>7.5102729246929209E-4</v>
      </c>
      <c r="AD28" s="10">
        <f t="shared" si="7"/>
        <v>4.2774708706250587E-2</v>
      </c>
      <c r="AE28" s="10">
        <f t="shared" si="8"/>
        <v>7.4895625480277128E-4</v>
      </c>
      <c r="AF28" s="10">
        <f t="shared" si="9"/>
        <v>0</v>
      </c>
      <c r="AG28" s="10">
        <f t="shared" si="10"/>
        <v>7.9460270110140174E-3</v>
      </c>
      <c r="AH28" s="10">
        <f t="shared" si="11"/>
        <v>3.4079725440433799E-2</v>
      </c>
      <c r="AI28" s="10">
        <f t="shared" si="25"/>
        <v>7.4895625480277128E-4</v>
      </c>
      <c r="AJ28" s="22">
        <f t="shared" si="26"/>
        <v>6.2336621998171891E-4</v>
      </c>
      <c r="AK28">
        <f t="shared" si="27"/>
        <v>1.3056654336823723E-3</v>
      </c>
      <c r="AL28" s="25">
        <f t="shared" si="28"/>
        <v>6.2336621998171891E-4</v>
      </c>
      <c r="AM28" s="6">
        <f>AK28+AM26</f>
        <v>3.0715767396234619E-2</v>
      </c>
      <c r="AN28" s="6">
        <f>AL28+AN26</f>
        <v>9.8835165444791824E-3</v>
      </c>
      <c r="AO28" s="6">
        <f>AJ28+AO26</f>
        <v>1.0030640217554319E-2</v>
      </c>
      <c r="AP28" s="19">
        <f t="shared" si="32"/>
        <v>0.78360404952488516</v>
      </c>
      <c r="AQ28" s="7">
        <f t="shared" si="33"/>
        <v>1904.8394115209283</v>
      </c>
      <c r="AR28" s="10">
        <f t="shared" si="34"/>
        <v>9.9623101222544559</v>
      </c>
      <c r="AS28" s="6">
        <f t="shared" si="35"/>
        <v>9.7630639198093667E-4</v>
      </c>
      <c r="AT28" s="6">
        <f t="shared" si="12"/>
        <v>1899.5866141732286</v>
      </c>
      <c r="AU28" s="6">
        <f t="shared" si="13"/>
        <v>9.9348379921259866</v>
      </c>
      <c r="AV28" s="6">
        <f t="shared" si="14"/>
        <v>9.7361412322834672E-4</v>
      </c>
      <c r="AW28" s="6">
        <f t="shared" si="36"/>
        <v>8.1035194222056986E-4</v>
      </c>
      <c r="AX28" s="52">
        <f t="shared" si="37"/>
        <v>1.0411047286621612E-3</v>
      </c>
      <c r="AY28" s="53">
        <f t="shared" si="15"/>
        <v>8.1332184553030346E-2</v>
      </c>
      <c r="AZ28" s="54">
        <f t="shared" si="38"/>
        <v>0.86493623407791553</v>
      </c>
      <c r="BA28" s="23">
        <f t="shared" si="16"/>
        <v>0.91068486687563555</v>
      </c>
      <c r="BB28"/>
      <c r="BC28"/>
      <c r="BD28"/>
    </row>
    <row r="29" spans="1:56" ht="15" customHeight="1" x14ac:dyDescent="0.3">
      <c r="A29" t="s">
        <v>125</v>
      </c>
      <c r="B29">
        <v>1</v>
      </c>
      <c r="C29" s="2">
        <v>45061</v>
      </c>
      <c r="D29" s="11">
        <v>0.43333333333333335</v>
      </c>
      <c r="E29" s="15">
        <v>1012.8</v>
      </c>
      <c r="F29">
        <v>1059</v>
      </c>
      <c r="G29">
        <v>1056.8</v>
      </c>
      <c r="H29">
        <v>0.03</v>
      </c>
      <c r="I29">
        <v>3.04</v>
      </c>
      <c r="J29">
        <v>15.03</v>
      </c>
      <c r="K29">
        <v>80.03</v>
      </c>
      <c r="L29">
        <v>0</v>
      </c>
      <c r="N29" t="s">
        <v>99</v>
      </c>
      <c r="P29" s="3">
        <f t="shared" si="4"/>
        <v>45061.433333333334</v>
      </c>
      <c r="Q29" s="4">
        <f t="shared" si="5"/>
        <v>27.793055555557657</v>
      </c>
      <c r="R29">
        <f t="shared" si="17"/>
        <v>98.13</v>
      </c>
      <c r="S29">
        <f t="shared" si="18"/>
        <v>3.0571690614490984E-2</v>
      </c>
      <c r="T29">
        <f t="shared" si="19"/>
        <v>3.0979313156017527</v>
      </c>
      <c r="U29">
        <f t="shared" si="20"/>
        <v>15.316416997859982</v>
      </c>
      <c r="V29">
        <f t="shared" si="21"/>
        <v>81.555079995923776</v>
      </c>
      <c r="W29">
        <f t="shared" si="22"/>
        <v>100</v>
      </c>
      <c r="X29" s="6">
        <f t="shared" si="23"/>
        <v>4.1753540897704271E-2</v>
      </c>
      <c r="Y29" s="6">
        <f t="shared" si="0"/>
        <v>1.2934960188425656E-3</v>
      </c>
      <c r="Z29" s="6">
        <f t="shared" si="6"/>
        <v>1.276476334384111E-5</v>
      </c>
      <c r="AA29" s="6">
        <f t="shared" si="1"/>
        <v>6.3951464352643957E-3</v>
      </c>
      <c r="AB29" s="6">
        <f t="shared" si="2"/>
        <v>3.405213368025347E-2</v>
      </c>
      <c r="AC29" s="6">
        <f>Y29+Z29</f>
        <v>1.3062607821864066E-3</v>
      </c>
      <c r="AD29" s="6">
        <f t="shared" si="7"/>
        <v>4.1666800774970605E-2</v>
      </c>
      <c r="AE29" s="6">
        <f t="shared" si="8"/>
        <v>1.2908088694172082E-3</v>
      </c>
      <c r="AF29" s="6">
        <f t="shared" si="9"/>
        <v>1.2738245421880346E-5</v>
      </c>
      <c r="AG29" s="6">
        <f t="shared" si="10"/>
        <v>6.3818609563620517E-3</v>
      </c>
      <c r="AH29" s="6">
        <f t="shared" si="11"/>
        <v>3.3981392703769465E-2</v>
      </c>
      <c r="AI29" s="6">
        <f>AE29+AF29</f>
        <v>1.3035471148390885E-3</v>
      </c>
      <c r="AJ29" s="22">
        <f t="shared" si="26"/>
        <v>5.5730452738363535E-4</v>
      </c>
      <c r="AK29">
        <f t="shared" si="27"/>
        <v>1.5508805757496217E-3</v>
      </c>
      <c r="AL29" s="25">
        <f t="shared" si="28"/>
        <v>5.4453976403979435E-4</v>
      </c>
      <c r="AM29" s="6">
        <f t="shared" si="29"/>
        <v>3.2266647971984239E-2</v>
      </c>
      <c r="AN29" s="6">
        <f t="shared" si="30"/>
        <v>1.0428056308518978E-2</v>
      </c>
      <c r="AO29" s="6">
        <f t="shared" si="31"/>
        <v>1.0587944744937954E-2</v>
      </c>
      <c r="AP29" s="19">
        <f t="shared" si="32"/>
        <v>0.82714125901547209</v>
      </c>
      <c r="AQ29">
        <f>F29*100*T29/100</f>
        <v>3280.7092632222561</v>
      </c>
      <c r="AR29" s="6">
        <f t="shared" si="34"/>
        <v>17.1581094466524</v>
      </c>
      <c r="AS29" s="6">
        <f t="shared" si="35"/>
        <v>1.6814947257719353E-3</v>
      </c>
      <c r="AT29" s="6">
        <f t="shared" si="12"/>
        <v>3273.893814327932</v>
      </c>
      <c r="AU29" s="6">
        <f t="shared" si="13"/>
        <v>17.122464648935086</v>
      </c>
      <c r="AV29" s="6">
        <f t="shared" si="14"/>
        <v>1.6780015355956385E-3</v>
      </c>
      <c r="AW29" s="6">
        <f t="shared" si="36"/>
        <v>7.0788060254358862E-4</v>
      </c>
      <c r="AX29" s="52">
        <f t="shared" si="37"/>
        <v>1.7489853312057497E-3</v>
      </c>
      <c r="AY29" s="53">
        <f t="shared" si="15"/>
        <v>0.1366325536922316</v>
      </c>
      <c r="AZ29" s="54">
        <f t="shared" si="38"/>
        <v>0.96377381270770368</v>
      </c>
      <c r="BA29" s="23">
        <f t="shared" si="16"/>
        <v>1.2383067356054274</v>
      </c>
    </row>
    <row r="30" spans="1:56" ht="15" customHeight="1" x14ac:dyDescent="0.3">
      <c r="A30" t="s">
        <v>125</v>
      </c>
      <c r="B30">
        <v>1</v>
      </c>
      <c r="C30" s="2">
        <v>45061</v>
      </c>
      <c r="D30" s="11">
        <v>0.46388888888888885</v>
      </c>
      <c r="E30" s="15">
        <v>1012.8</v>
      </c>
      <c r="F30">
        <v>1115.5</v>
      </c>
      <c r="G30">
        <v>1114.7</v>
      </c>
      <c r="H30">
        <v>0</v>
      </c>
      <c r="I30">
        <v>0.41</v>
      </c>
      <c r="J30">
        <v>20.48</v>
      </c>
      <c r="K30">
        <v>75.97</v>
      </c>
      <c r="L30">
        <v>1</v>
      </c>
      <c r="N30" t="s">
        <v>99</v>
      </c>
      <c r="O30">
        <v>771.82</v>
      </c>
      <c r="P30" s="8">
        <f t="shared" si="4"/>
        <v>45061.463888888888</v>
      </c>
      <c r="Q30" s="9">
        <f t="shared" si="5"/>
        <v>27.823611111110949</v>
      </c>
      <c r="R30">
        <f t="shared" si="17"/>
        <v>96.86</v>
      </c>
      <c r="S30">
        <f t="shared" si="18"/>
        <v>0</v>
      </c>
      <c r="T30">
        <f t="shared" si="19"/>
        <v>0.42329134833780713</v>
      </c>
      <c r="U30">
        <f t="shared" si="20"/>
        <v>21.143919058434854</v>
      </c>
      <c r="V30">
        <f t="shared" si="21"/>
        <v>78.432789593227341</v>
      </c>
      <c r="W30">
        <f t="shared" si="22"/>
        <v>100</v>
      </c>
      <c r="X30" s="6">
        <f t="shared" si="23"/>
        <v>4.3981184958818809E-2</v>
      </c>
      <c r="Y30" s="6">
        <f t="shared" si="0"/>
        <v>1.8616855082712898E-4</v>
      </c>
      <c r="Z30" s="6">
        <f t="shared" si="6"/>
        <v>0</v>
      </c>
      <c r="AA30" s="6">
        <f t="shared" si="1"/>
        <v>9.2993461486331735E-3</v>
      </c>
      <c r="AB30" s="6">
        <f t="shared" si="2"/>
        <v>3.4495670259358506E-2</v>
      </c>
      <c r="AC30" s="6">
        <f t="shared" ref="AC30:AC33" si="71">Y30+Z30</f>
        <v>1.8616855082712898E-4</v>
      </c>
      <c r="AD30" s="6">
        <f t="shared" si="7"/>
        <v>4.394964309600656E-2</v>
      </c>
      <c r="AE30" s="6">
        <f t="shared" si="8"/>
        <v>1.8603503685074013E-4</v>
      </c>
      <c r="AF30" s="6">
        <f t="shared" si="9"/>
        <v>0</v>
      </c>
      <c r="AG30" s="6">
        <f t="shared" si="10"/>
        <v>9.2926769626906283E-3</v>
      </c>
      <c r="AH30" s="6">
        <f t="shared" si="11"/>
        <v>3.4470931096465193E-2</v>
      </c>
      <c r="AI30" s="6">
        <f t="shared" ref="AI30:AI33" si="72">AE30+AF30</f>
        <v>1.8603503685074013E-4</v>
      </c>
      <c r="AJ30" s="22"/>
      <c r="AL30" s="25"/>
      <c r="AM30" s="6"/>
      <c r="AN30" s="6"/>
      <c r="AO30" s="6"/>
      <c r="AP30" s="19"/>
      <c r="AQ30">
        <f t="shared" ref="AQ30:AQ33" si="73">F30*100*T30/100</f>
        <v>472.18149907082386</v>
      </c>
      <c r="AR30" s="6">
        <f t="shared" si="34"/>
        <v>2.4695092401404088</v>
      </c>
      <c r="AS30" s="6">
        <f t="shared" si="35"/>
        <v>2.4201190553376007E-4</v>
      </c>
      <c r="AT30" s="6">
        <f t="shared" si="12"/>
        <v>471.84286599215358</v>
      </c>
      <c r="AU30" s="6">
        <f t="shared" si="13"/>
        <v>2.4677381891389634</v>
      </c>
      <c r="AV30" s="6">
        <f t="shared" si="14"/>
        <v>2.4183834253561841E-4</v>
      </c>
      <c r="AW30" s="6">
        <f t="shared" si="36"/>
        <v>-1.4359896300618785E-3</v>
      </c>
      <c r="AX30" s="52">
        <f t="shared" si="37"/>
        <v>3.129957011438712E-4</v>
      </c>
      <c r="AY30" s="53">
        <f t="shared" si="15"/>
        <v>2.4451549809451637E-2</v>
      </c>
      <c r="AZ30" s="54"/>
      <c r="BA30" s="23">
        <f t="shared" si="16"/>
        <v>0</v>
      </c>
    </row>
    <row r="31" spans="1:56" ht="15" customHeight="1" x14ac:dyDescent="0.3">
      <c r="A31" t="s">
        <v>125</v>
      </c>
      <c r="B31">
        <v>1</v>
      </c>
      <c r="C31" s="2">
        <v>45063</v>
      </c>
      <c r="D31" s="11">
        <v>0.39652777777777781</v>
      </c>
      <c r="E31" s="15">
        <v>1025.5</v>
      </c>
      <c r="F31">
        <v>1098.2</v>
      </c>
      <c r="G31">
        <v>1095.2</v>
      </c>
      <c r="H31">
        <v>0</v>
      </c>
      <c r="I31">
        <v>1.63</v>
      </c>
      <c r="J31">
        <v>18.68</v>
      </c>
      <c r="K31">
        <v>77.92</v>
      </c>
      <c r="L31">
        <v>0</v>
      </c>
      <c r="N31" t="s">
        <v>99</v>
      </c>
      <c r="P31" s="3">
        <f t="shared" si="4"/>
        <v>45063.396527777775</v>
      </c>
      <c r="Q31" s="4">
        <f t="shared" si="5"/>
        <v>29.756249999998545</v>
      </c>
      <c r="R31">
        <f t="shared" si="17"/>
        <v>98.23</v>
      </c>
      <c r="S31">
        <f t="shared" si="18"/>
        <v>0</v>
      </c>
      <c r="T31">
        <f t="shared" si="19"/>
        <v>1.6593708642980758</v>
      </c>
      <c r="U31">
        <f t="shared" si="20"/>
        <v>19.016593708642979</v>
      </c>
      <c r="V31">
        <f t="shared" si="21"/>
        <v>79.324035427058945</v>
      </c>
      <c r="W31">
        <f t="shared" si="22"/>
        <v>100</v>
      </c>
      <c r="X31" s="10">
        <f t="shared" si="23"/>
        <v>4.3299092175504088E-2</v>
      </c>
      <c r="Y31" s="10">
        <f t="shared" si="0"/>
        <v>7.1849252006588277E-4</v>
      </c>
      <c r="Z31" s="10">
        <f t="shared" si="6"/>
        <v>0</v>
      </c>
      <c r="AA31" s="10">
        <f t="shared" si="1"/>
        <v>8.2340124385464359E-3</v>
      </c>
      <c r="AB31" s="10">
        <f t="shared" si="2"/>
        <v>3.4346587216891773E-2</v>
      </c>
      <c r="AC31" s="10">
        <f t="shared" si="71"/>
        <v>7.1849252006588277E-4</v>
      </c>
      <c r="AD31" s="10">
        <f t="shared" si="7"/>
        <v>4.3180810189958188E-2</v>
      </c>
      <c r="AE31" s="10">
        <f t="shared" si="8"/>
        <v>7.1652978326002079E-4</v>
      </c>
      <c r="AF31" s="10">
        <f t="shared" si="9"/>
        <v>0</v>
      </c>
      <c r="AG31" s="10">
        <f t="shared" si="10"/>
        <v>8.2115192339246561E-3</v>
      </c>
      <c r="AH31" s="10">
        <f t="shared" si="11"/>
        <v>3.425276117277351E-2</v>
      </c>
      <c r="AI31" s="10">
        <f t="shared" si="72"/>
        <v>7.1652978326002079E-4</v>
      </c>
      <c r="AJ31" s="22">
        <f t="shared" si="26"/>
        <v>5.3245748321514266E-4</v>
      </c>
      <c r="AK31">
        <f t="shared" si="27"/>
        <v>1.0586645241441924E-3</v>
      </c>
      <c r="AL31" s="25">
        <f t="shared" si="28"/>
        <v>5.3245748321514266E-4</v>
      </c>
      <c r="AM31" s="6">
        <f>AK31+AM29</f>
        <v>3.3325312496128433E-2</v>
      </c>
      <c r="AN31" s="6">
        <f>AL31+AN29</f>
        <v>1.0960513791734121E-2</v>
      </c>
      <c r="AO31" s="6">
        <f>AJ31+AO29</f>
        <v>1.1120402228153097E-2</v>
      </c>
      <c r="AP31" s="19">
        <f t="shared" si="32"/>
        <v>0.86873739156511964</v>
      </c>
      <c r="AQ31" s="7">
        <f t="shared" si="73"/>
        <v>1822.3210831721467</v>
      </c>
      <c r="AR31" s="10">
        <f t="shared" si="34"/>
        <v>9.5307392649903271</v>
      </c>
      <c r="AS31" s="6">
        <f t="shared" si="35"/>
        <v>9.3401244796905217E-4</v>
      </c>
      <c r="AT31" s="6">
        <f t="shared" si="12"/>
        <v>1817.3429705792526</v>
      </c>
      <c r="AU31" s="6">
        <f t="shared" si="13"/>
        <v>9.5047037361294908</v>
      </c>
      <c r="AV31" s="6">
        <f t="shared" si="14"/>
        <v>9.3146096614069019E-4</v>
      </c>
      <c r="AW31" s="6">
        <f t="shared" si="36"/>
        <v>6.9217410543343373E-4</v>
      </c>
      <c r="AX31" s="52">
        <f t="shared" si="37"/>
        <v>1.0051698065773049E-3</v>
      </c>
      <c r="AY31" s="53">
        <f t="shared" si="15"/>
        <v>7.8524911053600585E-2</v>
      </c>
      <c r="AZ31" s="54">
        <f t="shared" si="38"/>
        <v>0.94726230261872024</v>
      </c>
      <c r="BA31" s="23">
        <f t="shared" si="16"/>
        <v>0.86447592398989603</v>
      </c>
    </row>
    <row r="32" spans="1:56" ht="15" customHeight="1" x14ac:dyDescent="0.3">
      <c r="A32" t="s">
        <v>125</v>
      </c>
      <c r="B32">
        <v>1</v>
      </c>
      <c r="C32" s="2">
        <v>45068</v>
      </c>
      <c r="D32" s="11">
        <v>0.61875000000000002</v>
      </c>
      <c r="E32" s="15">
        <v>1013.4</v>
      </c>
      <c r="F32">
        <v>1064.7</v>
      </c>
      <c r="G32">
        <v>1063.0999999999999</v>
      </c>
      <c r="H32">
        <v>0</v>
      </c>
      <c r="I32">
        <v>3.56</v>
      </c>
      <c r="J32">
        <v>14.03</v>
      </c>
      <c r="K32">
        <v>80.42</v>
      </c>
      <c r="L32">
        <v>0</v>
      </c>
      <c r="N32" t="s">
        <v>99</v>
      </c>
      <c r="P32" s="3">
        <f t="shared" si="4"/>
        <v>45068.618750000001</v>
      </c>
      <c r="Q32" s="4">
        <f t="shared" si="5"/>
        <v>34.978472222224809</v>
      </c>
      <c r="R32">
        <f t="shared" si="17"/>
        <v>98.01</v>
      </c>
      <c r="S32">
        <f t="shared" si="18"/>
        <v>0</v>
      </c>
      <c r="T32">
        <f t="shared" si="19"/>
        <v>3.6322824201612081</v>
      </c>
      <c r="U32">
        <f t="shared" si="20"/>
        <v>14.314865830017345</v>
      </c>
      <c r="V32">
        <f t="shared" si="21"/>
        <v>82.052851749821443</v>
      </c>
      <c r="W32">
        <f t="shared" si="22"/>
        <v>100</v>
      </c>
      <c r="X32" s="10">
        <f t="shared" si="23"/>
        <v>4.1978276670241489E-2</v>
      </c>
      <c r="Y32" s="10">
        <f t="shared" si="0"/>
        <v>1.5247695637798154E-3</v>
      </c>
      <c r="Z32" s="10">
        <f t="shared" si="6"/>
        <v>0</v>
      </c>
      <c r="AA32" s="10">
        <f t="shared" si="1"/>
        <v>6.0091339830985416E-3</v>
      </c>
      <c r="AB32" s="10">
        <f t="shared" si="2"/>
        <v>3.4444373123363133E-2</v>
      </c>
      <c r="AC32" s="10">
        <f t="shared" si="71"/>
        <v>1.5247695637798154E-3</v>
      </c>
      <c r="AD32" s="10">
        <f t="shared" si="7"/>
        <v>4.1915192944617E-2</v>
      </c>
      <c r="AE32" s="10">
        <f t="shared" si="8"/>
        <v>1.5224781847039742E-3</v>
      </c>
      <c r="AF32" s="10">
        <f t="shared" si="9"/>
        <v>0</v>
      </c>
      <c r="AG32" s="10">
        <f t="shared" si="10"/>
        <v>6.000103632414819E-3</v>
      </c>
      <c r="AH32" s="10">
        <f t="shared" si="11"/>
        <v>3.4392611127498203E-2</v>
      </c>
      <c r="AI32" s="10">
        <f t="shared" si="72"/>
        <v>1.5224781847039742E-3</v>
      </c>
      <c r="AJ32" s="22">
        <f t="shared" si="26"/>
        <v>8.0823978051979461E-4</v>
      </c>
      <c r="AK32">
        <f t="shared" si="27"/>
        <v>2.2023852508261145E-3</v>
      </c>
      <c r="AL32" s="25">
        <f t="shared" si="28"/>
        <v>8.0823978051979461E-4</v>
      </c>
      <c r="AM32" s="6">
        <f t="shared" si="29"/>
        <v>3.5527697746954551E-2</v>
      </c>
      <c r="AN32" s="6">
        <f t="shared" si="30"/>
        <v>1.1768753572253916E-2</v>
      </c>
      <c r="AO32" s="6">
        <f t="shared" si="31"/>
        <v>1.1928642008672892E-2</v>
      </c>
      <c r="AP32" s="19">
        <f t="shared" si="32"/>
        <v>0.93187792410002479</v>
      </c>
      <c r="AQ32">
        <f t="shared" si="73"/>
        <v>3867.2910927456383</v>
      </c>
      <c r="AR32" s="6">
        <f t="shared" si="34"/>
        <v>20.225932415059688</v>
      </c>
      <c r="AS32" s="6">
        <f t="shared" si="35"/>
        <v>1.9821413766758496E-3</v>
      </c>
      <c r="AT32" s="6">
        <f t="shared" si="12"/>
        <v>3861.4794408733801</v>
      </c>
      <c r="AU32" s="6">
        <f t="shared" si="13"/>
        <v>20.195537475767779</v>
      </c>
      <c r="AV32" s="6">
        <f t="shared" si="14"/>
        <v>1.9791626726252424E-3</v>
      </c>
      <c r="AW32" s="6">
        <f t="shared" si="36"/>
        <v>1.0506804105351593E-3</v>
      </c>
      <c r="AX32" s="52">
        <f t="shared" si="37"/>
        <v>2.055850217112464E-3</v>
      </c>
      <c r="AY32" s="53">
        <f t="shared" si="15"/>
        <v>0.16060515783694715</v>
      </c>
      <c r="AZ32" s="54">
        <f t="shared" si="38"/>
        <v>1.092483081936972</v>
      </c>
      <c r="BA32" s="23">
        <f t="shared" si="16"/>
        <v>1.184765898731909</v>
      </c>
    </row>
    <row r="33" spans="1:53" ht="15" customHeight="1" x14ac:dyDescent="0.3">
      <c r="A33" t="s">
        <v>125</v>
      </c>
      <c r="B33">
        <v>1</v>
      </c>
      <c r="C33" s="2">
        <v>45068</v>
      </c>
      <c r="D33" s="11">
        <v>0.65486111111111112</v>
      </c>
      <c r="E33" s="15">
        <v>1013.6</v>
      </c>
      <c r="F33">
        <v>1118</v>
      </c>
      <c r="G33">
        <v>1115.8</v>
      </c>
      <c r="H33">
        <v>0</v>
      </c>
      <c r="I33">
        <v>0.48</v>
      </c>
      <c r="J33">
        <v>20.29</v>
      </c>
      <c r="K33">
        <v>75.47</v>
      </c>
      <c r="L33">
        <v>1</v>
      </c>
      <c r="N33" t="s">
        <v>99</v>
      </c>
      <c r="O33">
        <v>771.73</v>
      </c>
      <c r="P33" s="3">
        <f t="shared" si="4"/>
        <v>45068.654861111114</v>
      </c>
      <c r="Q33" s="4">
        <f t="shared" si="5"/>
        <v>35.014583333337214</v>
      </c>
      <c r="R33">
        <f t="shared" si="17"/>
        <v>96.24</v>
      </c>
      <c r="S33">
        <f t="shared" si="18"/>
        <v>0</v>
      </c>
      <c r="T33">
        <f t="shared" si="19"/>
        <v>0.49875311720698257</v>
      </c>
      <c r="U33">
        <f t="shared" si="20"/>
        <v>21.082709891936826</v>
      </c>
      <c r="V33">
        <f t="shared" si="21"/>
        <v>78.418536990856197</v>
      </c>
      <c r="W33">
        <f t="shared" si="22"/>
        <v>100</v>
      </c>
      <c r="X33" s="10">
        <f t="shared" si="23"/>
        <v>4.4079753280107062E-2</v>
      </c>
      <c r="Y33" s="10">
        <f t="shared" si="0"/>
        <v>2.1984914354168113E-4</v>
      </c>
      <c r="Z33" s="10">
        <f t="shared" si="6"/>
        <v>0</v>
      </c>
      <c r="AA33" s="10">
        <f t="shared" si="1"/>
        <v>9.2932065051264789E-3</v>
      </c>
      <c r="AB33" s="10">
        <f t="shared" si="2"/>
        <v>3.4566697631438909E-2</v>
      </c>
      <c r="AC33" s="10">
        <f t="shared" si="71"/>
        <v>2.1984914354168113E-4</v>
      </c>
      <c r="AD33" s="10">
        <f t="shared" si="7"/>
        <v>4.399301315737339E-2</v>
      </c>
      <c r="AE33" s="10">
        <f t="shared" si="8"/>
        <v>2.1941652447567776E-4</v>
      </c>
      <c r="AF33" s="10">
        <f t="shared" si="9"/>
        <v>0</v>
      </c>
      <c r="AG33" s="10">
        <f t="shared" si="10"/>
        <v>9.2749193366906298E-3</v>
      </c>
      <c r="AH33" s="10">
        <f t="shared" si="11"/>
        <v>3.4498677296207085E-2</v>
      </c>
      <c r="AI33" s="10">
        <f t="shared" si="72"/>
        <v>2.1941652447567776E-4</v>
      </c>
      <c r="AJ33" s="22"/>
      <c r="AL33" s="25"/>
      <c r="AM33" s="6"/>
      <c r="AN33" s="6"/>
      <c r="AO33" s="6"/>
      <c r="AP33" s="19"/>
      <c r="AQ33">
        <f t="shared" si="73"/>
        <v>557.60598503740653</v>
      </c>
      <c r="AR33" s="6">
        <f t="shared" si="34"/>
        <v>2.9162793017456363</v>
      </c>
      <c r="AS33" s="6">
        <f t="shared" si="35"/>
        <v>2.857953715710724E-4</v>
      </c>
      <c r="AT33" s="6">
        <f t="shared" si="12"/>
        <v>556.50872817955121</v>
      </c>
      <c r="AU33" s="6">
        <f t="shared" si="13"/>
        <v>2.9105406483790528</v>
      </c>
      <c r="AV33" s="6">
        <f t="shared" si="14"/>
        <v>2.8523298354114719E-4</v>
      </c>
      <c r="AW33" s="6">
        <f t="shared" si="36"/>
        <v>-1.69336730105417E-3</v>
      </c>
      <c r="AX33" s="52">
        <f t="shared" si="37"/>
        <v>3.6248291605829402E-4</v>
      </c>
      <c r="AY33" s="53">
        <f t="shared" si="15"/>
        <v>2.8317542524331902E-2</v>
      </c>
      <c r="AZ33" s="54"/>
      <c r="BA33"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3">
    <cfRule type="expression" dxfId="7" priority="1">
      <formula>$L13=0</formula>
    </cfRule>
    <cfRule type="expression" dxfId="6" priority="2">
      <formula>$L13=1</formula>
    </cfRule>
  </conditionalFormatting>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D5D8-904B-4756-BE04-4671364A4B37}">
  <dimension ref="A1:BD36"/>
  <sheetViews>
    <sheetView zoomScaleNormal="100" workbookViewId="0">
      <selection activeCell="C20" sqref="C20"/>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125</v>
      </c>
      <c r="B13">
        <v>2</v>
      </c>
      <c r="C13" s="2">
        <v>45034</v>
      </c>
      <c r="D13" s="11">
        <v>0.64166666666666672</v>
      </c>
      <c r="E13" s="15">
        <v>1025.2</v>
      </c>
      <c r="F13">
        <f>SUM(F14:F36)/(36-14)</f>
        <v>1142.1409090909094</v>
      </c>
      <c r="M13" t="s">
        <v>4</v>
      </c>
      <c r="O13">
        <v>870.12</v>
      </c>
      <c r="P13" s="3">
        <f>C13+D13</f>
        <v>45034.64166666667</v>
      </c>
      <c r="Q13" s="4">
        <f>P13-$P$13</f>
        <v>0</v>
      </c>
      <c r="S13">
        <v>0</v>
      </c>
      <c r="T13">
        <v>0.03</v>
      </c>
      <c r="U13">
        <v>21.9</v>
      </c>
      <c r="V13">
        <v>78.069999999999993</v>
      </c>
      <c r="W13">
        <f>SUM(S13:V13)</f>
        <v>100</v>
      </c>
      <c r="X13" s="6">
        <f>F13*100*$D$3/($D$1*$D$2)</f>
        <v>4.5031564833492368E-2</v>
      </c>
      <c r="Y13" s="6">
        <f t="shared" ref="Y13:Y32" si="0">X13*T13/100</f>
        <v>1.3509469450047711E-5</v>
      </c>
      <c r="Z13" s="6">
        <f>X13*S13/100</f>
        <v>0</v>
      </c>
      <c r="AA13" s="6">
        <f t="shared" ref="AA13:AA32" si="1">X13*U13/100</f>
        <v>9.8619126985348277E-3</v>
      </c>
      <c r="AB13" s="6">
        <f t="shared" ref="AB13:AB32" si="2">X13*V13/100</f>
        <v>3.5156142665507491E-2</v>
      </c>
      <c r="AC13" s="6">
        <f>Y13+Z13</f>
        <v>1.3509469450047711E-5</v>
      </c>
      <c r="AD13" s="6">
        <f>X13</f>
        <v>4.5031564833492368E-2</v>
      </c>
      <c r="AE13" s="6">
        <f>Y13</f>
        <v>1.3509469450047711E-5</v>
      </c>
      <c r="AF13" s="6">
        <f t="shared" ref="AF13:AI13" si="3">Z13</f>
        <v>0</v>
      </c>
      <c r="AG13" s="6">
        <f t="shared" si="3"/>
        <v>9.8619126985348277E-3</v>
      </c>
      <c r="AH13" s="6">
        <f t="shared" si="3"/>
        <v>3.5156142665507491E-2</v>
      </c>
      <c r="AI13" s="6">
        <f t="shared" si="3"/>
        <v>1.3509469450047711E-5</v>
      </c>
      <c r="AJ13" s="22">
        <f>AC13-AI13</f>
        <v>0</v>
      </c>
      <c r="AK13" s="6">
        <f>AA13-AG13</f>
        <v>0</v>
      </c>
      <c r="AL13" s="23">
        <f>Y13-AE13</f>
        <v>0</v>
      </c>
      <c r="AM13" s="6">
        <f>AK13</f>
        <v>0</v>
      </c>
      <c r="AN13" s="6">
        <f>AL13</f>
        <v>0</v>
      </c>
      <c r="AO13" s="6">
        <f>AJ13</f>
        <v>0</v>
      </c>
      <c r="AP13" s="19">
        <f>AO13*$D$4*1000/$D$6</f>
        <v>0</v>
      </c>
      <c r="AQ13">
        <f>F13*100*T13/100</f>
        <v>34.264227272727283</v>
      </c>
      <c r="AR13" s="6">
        <f>AQ13*$D$7</f>
        <v>0.1792019086363637</v>
      </c>
      <c r="AS13" s="6">
        <f>AR13*$D$5/1000</f>
        <v>1.7561787046363646E-5</v>
      </c>
      <c r="AT13" s="6">
        <f>G13*100*T13/100</f>
        <v>0</v>
      </c>
      <c r="AU13" s="6">
        <f>AT13*$D$7</f>
        <v>0</v>
      </c>
      <c r="AV13" s="6">
        <f>AU13*$D$5/1000</f>
        <v>0</v>
      </c>
      <c r="AW13" s="6">
        <f>AS13-AV13</f>
        <v>1.7561787046363646E-5</v>
      </c>
      <c r="AX13" s="52">
        <f>AW13</f>
        <v>1.7561787046363646E-5</v>
      </c>
      <c r="AY13" s="53">
        <f>(AX13*$D$4*1000/$D$6)</f>
        <v>1.3719450750851042E-3</v>
      </c>
      <c r="AZ13" s="54">
        <f>AP13</f>
        <v>0</v>
      </c>
      <c r="BA13" s="23">
        <v>0</v>
      </c>
    </row>
    <row r="14" spans="1:56" ht="14.4" x14ac:dyDescent="0.3">
      <c r="A14" t="s">
        <v>125</v>
      </c>
      <c r="B14">
        <v>2</v>
      </c>
      <c r="C14" s="2">
        <v>45035</v>
      </c>
      <c r="D14" s="11">
        <v>0.66736111111111107</v>
      </c>
      <c r="E14" s="15">
        <v>1022.5</v>
      </c>
      <c r="F14">
        <v>1005.3</v>
      </c>
      <c r="G14">
        <v>1003.5</v>
      </c>
      <c r="H14">
        <v>0.46</v>
      </c>
      <c r="I14">
        <v>4.41</v>
      </c>
      <c r="J14">
        <v>6.88</v>
      </c>
      <c r="K14">
        <v>87.77</v>
      </c>
      <c r="L14">
        <v>0</v>
      </c>
      <c r="N14" t="s">
        <v>99</v>
      </c>
      <c r="P14" s="3">
        <f t="shared" ref="P14:P32" si="4">C14+D14</f>
        <v>45035.667361111111</v>
      </c>
      <c r="Q14" s="4">
        <f t="shared" ref="Q14:Q32" si="5">P14-$P$13</f>
        <v>1.0256944444408873</v>
      </c>
      <c r="R14">
        <f>SUM(H14:K14)</f>
        <v>99.52</v>
      </c>
      <c r="S14">
        <f>H14 * 100/R14</f>
        <v>0.46221864951768493</v>
      </c>
      <c r="T14">
        <f>I14* 100/R14</f>
        <v>4.4312700964630229</v>
      </c>
      <c r="U14">
        <f>J14* 100/R14</f>
        <v>6.9131832797427659</v>
      </c>
      <c r="V14">
        <f>K14* 100/R14</f>
        <v>88.193327974276528</v>
      </c>
      <c r="W14">
        <f>SUM(S14:V14)</f>
        <v>100</v>
      </c>
      <c r="X14" s="6">
        <f>F14*100*$D$3/($D$1*$D$2)</f>
        <v>3.9636293356432581E-2</v>
      </c>
      <c r="Y14" s="6">
        <f t="shared" si="0"/>
        <v>1.756391214849957E-3</v>
      </c>
      <c r="Z14" s="6">
        <f t="shared" ref="Z14:Z32" si="6">X14*S14/100</f>
        <v>1.8320633987097055E-4</v>
      </c>
      <c r="AA14" s="6">
        <f t="shared" si="1"/>
        <v>2.7401296050266898E-3</v>
      </c>
      <c r="AB14" s="6">
        <f t="shared" si="2"/>
        <v>3.4956566196684961E-2</v>
      </c>
      <c r="AC14" s="6">
        <f>Y14+Z14</f>
        <v>1.9395975547209275E-3</v>
      </c>
      <c r="AD14" s="6">
        <f t="shared" ref="AD14:AD32" si="7">G14*100*$D$3/($D$1*$D$2)</f>
        <v>3.9565324165105033E-2</v>
      </c>
      <c r="AE14" s="6">
        <f t="shared" ref="AE14:AE32" si="8">AD14*T14/100</f>
        <v>1.7532463782969575E-3</v>
      </c>
      <c r="AF14" s="6">
        <f t="shared" ref="AF14:AF32" si="9">AD14*S14/100</f>
        <v>1.8287830703324272E-4</v>
      </c>
      <c r="AG14" s="6">
        <f t="shared" ref="AG14:AG32" si="10">AD14*U14/100</f>
        <v>2.735223374758065E-3</v>
      </c>
      <c r="AH14" s="6">
        <f t="shared" ref="AH14:AH32" si="11">AD14*V14/100</f>
        <v>3.4893976105016766E-2</v>
      </c>
      <c r="AI14" s="6">
        <f>AE14+AF14</f>
        <v>1.9361246853302001E-3</v>
      </c>
      <c r="AJ14" s="22">
        <f>AC14-AI13</f>
        <v>1.9260880852708798E-3</v>
      </c>
      <c r="AK14">
        <f>(AA14-AG13)*-1</f>
        <v>7.1217830935081383E-3</v>
      </c>
      <c r="AL14" s="25">
        <f>Y14-AE13</f>
        <v>1.7428817453999093E-3</v>
      </c>
      <c r="AM14" s="6">
        <f>AK14+AM13</f>
        <v>7.1217830935081383E-3</v>
      </c>
      <c r="AN14" s="6">
        <f>AL14+AN13</f>
        <v>1.7428817453999093E-3</v>
      </c>
      <c r="AO14" s="6">
        <f>AJ14+AO13</f>
        <v>1.9260880852708798E-3</v>
      </c>
      <c r="AP14" s="19">
        <f>AO14*$D$4*1000/$D$6</f>
        <v>0.15046800509488223</v>
      </c>
      <c r="AQ14">
        <f>F14*100*T14/100</f>
        <v>4454.7558279742771</v>
      </c>
      <c r="AR14" s="6">
        <f>AQ14*$D$7</f>
        <v>23.298372980305469</v>
      </c>
      <c r="AS14" s="6">
        <f>AR14*$D$5/1000</f>
        <v>2.283240552069936E-3</v>
      </c>
      <c r="AT14" s="6">
        <f t="shared" ref="AT14:AT32" si="12">G14*100*T14/100</f>
        <v>4446.7795418006435</v>
      </c>
      <c r="AU14" s="6">
        <f t="shared" ref="AU14:AU32" si="13">AT14*$D$7</f>
        <v>23.256657003617367</v>
      </c>
      <c r="AV14" s="6">
        <f t="shared" ref="AV14:AV32" si="14">AU14*$D$5/1000</f>
        <v>2.2791523863545022E-3</v>
      </c>
      <c r="AW14" s="6">
        <f>AS14-AV13</f>
        <v>2.283240552069936E-3</v>
      </c>
      <c r="AX14" s="52">
        <f>AW14+AX13</f>
        <v>2.3008023391162995E-3</v>
      </c>
      <c r="AY14" s="53">
        <f t="shared" ref="AY14:AY32" si="15">(AX14*$D$4*1000/$D$6)</f>
        <v>0.17974107245244708</v>
      </c>
      <c r="AZ14" s="54">
        <f>AY14+AP14</f>
        <v>0.33020907754732931</v>
      </c>
      <c r="BA14" s="23">
        <f t="shared" ref="BA14:BA32" si="16">AK14/(AL14+AW14)</f>
        <v>1.7688938803433052</v>
      </c>
    </row>
    <row r="15" spans="1:56" ht="14.4" x14ac:dyDescent="0.3">
      <c r="A15" t="s">
        <v>125</v>
      </c>
      <c r="B15">
        <v>2</v>
      </c>
      <c r="C15" s="2">
        <v>45035</v>
      </c>
      <c r="D15" s="11">
        <v>0.7402777777777777</v>
      </c>
      <c r="E15" s="15">
        <v>1021.3</v>
      </c>
      <c r="F15">
        <v>1138.3</v>
      </c>
      <c r="G15">
        <v>1133.9000000000001</v>
      </c>
      <c r="H15">
        <v>0</v>
      </c>
      <c r="I15">
        <v>1.17</v>
      </c>
      <c r="J15">
        <v>20.29</v>
      </c>
      <c r="K15">
        <v>76.17</v>
      </c>
      <c r="L15">
        <v>1</v>
      </c>
      <c r="M15" t="s">
        <v>122</v>
      </c>
      <c r="N15" t="s">
        <v>99</v>
      </c>
      <c r="O15">
        <v>870.1</v>
      </c>
      <c r="P15" s="3">
        <f t="shared" si="4"/>
        <v>45035.740277777775</v>
      </c>
      <c r="Q15" s="4">
        <f t="shared" si="5"/>
        <v>1.0986111111051287</v>
      </c>
      <c r="R15">
        <f t="shared" ref="R15:R32" si="17">SUM(H15:K15)</f>
        <v>97.63</v>
      </c>
      <c r="S15">
        <f t="shared" ref="S15:S32" si="18">H15 * 100/R15</f>
        <v>0</v>
      </c>
      <c r="T15">
        <f t="shared" ref="T15:T32" si="19">I15* 100/R15</f>
        <v>1.1984021304926764</v>
      </c>
      <c r="U15">
        <f t="shared" ref="U15:U32" si="20">J15* 100/R15</f>
        <v>20.782546348458467</v>
      </c>
      <c r="V15">
        <f t="shared" ref="V15:V32" si="21">K15* 100/R15</f>
        <v>78.019051521048866</v>
      </c>
      <c r="W15">
        <f t="shared" ref="W15:W32" si="22">SUM(S15:V15)</f>
        <v>100.00000000000001</v>
      </c>
      <c r="X15" s="6">
        <f t="shared" ref="X15:X32" si="23">F15*100*$D$3/($D$1*$D$2)</f>
        <v>4.4880128048967675E-2</v>
      </c>
      <c r="Y15" s="6">
        <f t="shared" si="0"/>
        <v>5.3784441070666984E-4</v>
      </c>
      <c r="Z15" s="6">
        <f t="shared" si="6"/>
        <v>0</v>
      </c>
      <c r="AA15" s="6">
        <f t="shared" si="1"/>
        <v>9.3272334130242163E-3</v>
      </c>
      <c r="AB15" s="6">
        <f t="shared" si="2"/>
        <v>3.5015050225236793E-2</v>
      </c>
      <c r="AC15" s="6">
        <f t="shared" ref="AC15:AC27" si="24">Y15+Z15</f>
        <v>5.3784441070666984E-4</v>
      </c>
      <c r="AD15" s="6">
        <f t="shared" si="7"/>
        <v>4.4706647803500359E-2</v>
      </c>
      <c r="AE15" s="6">
        <f t="shared" si="8"/>
        <v>5.3576541974900563E-4</v>
      </c>
      <c r="AF15" s="6">
        <f t="shared" si="9"/>
        <v>0</v>
      </c>
      <c r="AG15" s="6">
        <f t="shared" si="10"/>
        <v>9.2911798006045515E-3</v>
      </c>
      <c r="AH15" s="6">
        <f t="shared" si="11"/>
        <v>3.4879702583146807E-2</v>
      </c>
      <c r="AI15" s="6">
        <f t="shared" ref="AI15:AI27" si="25">AE15+AF15</f>
        <v>5.3576541974900563E-4</v>
      </c>
      <c r="AJ15" s="22"/>
      <c r="AL15" s="25"/>
      <c r="AM15" s="6"/>
      <c r="AN15" s="6"/>
      <c r="AO15" s="6"/>
      <c r="AP15" s="19"/>
      <c r="AQ15">
        <f t="shared" ref="AQ15:AQ27" si="26">F15*100*T15/100</f>
        <v>1364.1411451398135</v>
      </c>
      <c r="AR15" s="6">
        <f t="shared" ref="AR15:AR32" si="27">AQ15*$D$7</f>
        <v>7.1344581890812249</v>
      </c>
      <c r="AS15" s="6">
        <f t="shared" ref="AS15:AS32" si="28">AR15*$D$5/1000</f>
        <v>6.9917690252995998E-4</v>
      </c>
      <c r="AT15" s="6">
        <f t="shared" si="12"/>
        <v>1358.8681757656459</v>
      </c>
      <c r="AU15" s="6">
        <f t="shared" si="13"/>
        <v>7.1068805592543285</v>
      </c>
      <c r="AV15" s="6">
        <f t="shared" si="14"/>
        <v>6.9647429480692419E-4</v>
      </c>
      <c r="AW15" s="6">
        <f t="shared" ref="AW15:AW32" si="29">AS15-AV14</f>
        <v>-1.5799754838245422E-3</v>
      </c>
      <c r="AX15" s="52">
        <f t="shared" ref="AX15:AX32" si="30">AW15+AX14</f>
        <v>7.2082685529175727E-4</v>
      </c>
      <c r="AY15" s="53">
        <f t="shared" si="15"/>
        <v>5.6311743872977819E-2</v>
      </c>
      <c r="AZ15" s="54"/>
      <c r="BA15" s="23">
        <f t="shared" si="16"/>
        <v>0</v>
      </c>
    </row>
    <row r="16" spans="1:56" s="7" customFormat="1" ht="14.4" x14ac:dyDescent="0.3">
      <c r="A16" t="s">
        <v>125</v>
      </c>
      <c r="B16">
        <v>2</v>
      </c>
      <c r="C16" s="2">
        <v>45040</v>
      </c>
      <c r="D16" s="11">
        <v>0.49583333333333335</v>
      </c>
      <c r="E16" s="15">
        <v>1003.7</v>
      </c>
      <c r="F16">
        <v>997.2</v>
      </c>
      <c r="G16">
        <v>995.5</v>
      </c>
      <c r="H16">
        <v>0.27</v>
      </c>
      <c r="I16">
        <v>6</v>
      </c>
      <c r="J16">
        <v>5.4</v>
      </c>
      <c r="K16">
        <v>87.72</v>
      </c>
      <c r="L16">
        <v>0</v>
      </c>
      <c r="M16"/>
      <c r="N16" t="s">
        <v>99</v>
      </c>
      <c r="O16"/>
      <c r="P16" s="8">
        <f t="shared" si="4"/>
        <v>45040.495833333334</v>
      </c>
      <c r="Q16" s="9">
        <f t="shared" si="5"/>
        <v>5.8541666666642413</v>
      </c>
      <c r="R16">
        <f t="shared" si="17"/>
        <v>99.39</v>
      </c>
      <c r="S16">
        <f t="shared" si="18"/>
        <v>0.2716571083610021</v>
      </c>
      <c r="T16">
        <f t="shared" si="19"/>
        <v>6.0368246302444915</v>
      </c>
      <c r="U16">
        <f t="shared" si="20"/>
        <v>5.4331421672200424</v>
      </c>
      <c r="V16">
        <f t="shared" si="21"/>
        <v>88.258376094174466</v>
      </c>
      <c r="W16">
        <f t="shared" si="22"/>
        <v>100</v>
      </c>
      <c r="X16" s="10">
        <f t="shared" si="23"/>
        <v>3.9316931995458639E-2</v>
      </c>
      <c r="Y16" s="10">
        <f t="shared" si="0"/>
        <v>2.373494234558324E-3</v>
      </c>
      <c r="Z16" s="10">
        <f t="shared" si="6"/>
        <v>1.0680724055512459E-4</v>
      </c>
      <c r="AA16" s="10">
        <f t="shared" si="1"/>
        <v>2.1361448111024916E-3</v>
      </c>
      <c r="AB16" s="10">
        <f t="shared" si="2"/>
        <v>3.4700485709242695E-2</v>
      </c>
      <c r="AC16" s="10">
        <f t="shared" si="24"/>
        <v>2.4803014751134484E-3</v>
      </c>
      <c r="AD16" s="10">
        <f t="shared" si="7"/>
        <v>3.9249905536982627E-2</v>
      </c>
      <c r="AE16" s="10">
        <f t="shared" si="8"/>
        <v>2.3694479648042636E-3</v>
      </c>
      <c r="AF16" s="10">
        <f t="shared" si="9"/>
        <v>1.0662515841619184E-4</v>
      </c>
      <c r="AG16" s="10">
        <f t="shared" si="10"/>
        <v>2.1325031683238375E-3</v>
      </c>
      <c r="AH16" s="10">
        <f t="shared" si="11"/>
        <v>3.4641329245438335E-2</v>
      </c>
      <c r="AI16" s="10">
        <f t="shared" si="25"/>
        <v>2.4760731232204556E-3</v>
      </c>
      <c r="AJ16" s="22">
        <f t="shared" ref="AJ16" si="31">AC16-AI15</f>
        <v>1.9445360553644428E-3</v>
      </c>
      <c r="AK16">
        <f t="shared" ref="AK16" si="32">(AA16-AG15)*-1</f>
        <v>7.1550349895020595E-3</v>
      </c>
      <c r="AL16" s="25">
        <f t="shared" ref="AL16" si="33">Y16-AE15</f>
        <v>1.8377288148093184E-3</v>
      </c>
      <c r="AM16" s="6">
        <f>AK16+AM14</f>
        <v>1.4276818083010198E-2</v>
      </c>
      <c r="AN16" s="6">
        <f>AL16+AN14</f>
        <v>3.5806105602092277E-3</v>
      </c>
      <c r="AO16" s="6">
        <f>AJ16+AO14</f>
        <v>3.8706241406353224E-3</v>
      </c>
      <c r="AP16" s="19">
        <f t="shared" ref="AP16:AP35" si="34">AO16*$D$4*1000/$D$6</f>
        <v>0.30237718480646847</v>
      </c>
      <c r="AQ16" s="7">
        <f t="shared" si="26"/>
        <v>6019.9215212798072</v>
      </c>
      <c r="AR16" s="10">
        <f t="shared" si="27"/>
        <v>31.484189556293394</v>
      </c>
      <c r="AS16" s="6">
        <f t="shared" si="28"/>
        <v>3.0854505765167527E-3</v>
      </c>
      <c r="AT16" s="6">
        <f t="shared" si="12"/>
        <v>6009.6589194083908</v>
      </c>
      <c r="AU16" s="6">
        <f t="shared" si="13"/>
        <v>31.430516148505884</v>
      </c>
      <c r="AV16" s="6">
        <f t="shared" si="14"/>
        <v>3.080190582553577E-3</v>
      </c>
      <c r="AW16" s="6">
        <f t="shared" si="29"/>
        <v>2.3889762817098283E-3</v>
      </c>
      <c r="AX16" s="52">
        <f t="shared" si="30"/>
        <v>3.1098031370015858E-3</v>
      </c>
      <c r="AY16" s="53">
        <f t="shared" si="15"/>
        <v>0.24294105645569558</v>
      </c>
      <c r="AZ16" s="54">
        <f t="shared" ref="AZ16:AZ35" si="35">AY16+AP16</f>
        <v>0.54531824126216399</v>
      </c>
      <c r="BA16" s="23">
        <f t="shared" si="16"/>
        <v>1.6928162306366026</v>
      </c>
      <c r="BB16"/>
      <c r="BC16"/>
      <c r="BD16"/>
    </row>
    <row r="17" spans="1:56" ht="14.4" x14ac:dyDescent="0.3">
      <c r="A17" t="s">
        <v>125</v>
      </c>
      <c r="B17">
        <v>2</v>
      </c>
      <c r="C17" s="2">
        <v>45040</v>
      </c>
      <c r="D17" s="11">
        <v>0.52013888888888882</v>
      </c>
      <c r="E17" s="15">
        <v>1004.1</v>
      </c>
      <c r="F17">
        <v>1109.7</v>
      </c>
      <c r="G17">
        <v>1106.7</v>
      </c>
      <c r="H17">
        <v>0</v>
      </c>
      <c r="I17">
        <v>0.83</v>
      </c>
      <c r="J17">
        <v>20.45</v>
      </c>
      <c r="K17">
        <v>75.98</v>
      </c>
      <c r="L17">
        <v>1</v>
      </c>
      <c r="N17" t="s">
        <v>99</v>
      </c>
      <c r="O17">
        <v>870.04</v>
      </c>
      <c r="P17" s="3">
        <f t="shared" si="4"/>
        <v>45040.520138888889</v>
      </c>
      <c r="Q17" s="4">
        <f t="shared" si="5"/>
        <v>5.8784722222189885</v>
      </c>
      <c r="R17">
        <f t="shared" si="17"/>
        <v>97.26</v>
      </c>
      <c r="S17">
        <f t="shared" si="18"/>
        <v>0</v>
      </c>
      <c r="T17">
        <f t="shared" si="19"/>
        <v>0.85338268558502972</v>
      </c>
      <c r="U17">
        <f t="shared" si="20"/>
        <v>21.026115566522723</v>
      </c>
      <c r="V17">
        <f t="shared" si="21"/>
        <v>78.120501747892249</v>
      </c>
      <c r="W17">
        <f t="shared" si="22"/>
        <v>100</v>
      </c>
      <c r="X17" s="6">
        <f t="shared" si="23"/>
        <v>4.3752506453430054E-2</v>
      </c>
      <c r="Y17" s="6">
        <f t="shared" si="0"/>
        <v>3.7337631458304481E-4</v>
      </c>
      <c r="Z17" s="6">
        <f t="shared" si="6"/>
        <v>0</v>
      </c>
      <c r="AA17" s="6">
        <f t="shared" si="1"/>
        <v>9.1994525701485155E-3</v>
      </c>
      <c r="AB17" s="6">
        <f t="shared" si="2"/>
        <v>3.4179677568698497E-2</v>
      </c>
      <c r="AC17" s="6">
        <f t="shared" si="24"/>
        <v>3.7337631458304481E-4</v>
      </c>
      <c r="AD17" s="6">
        <f t="shared" si="7"/>
        <v>4.3634224467884147E-2</v>
      </c>
      <c r="AE17" s="6">
        <f t="shared" si="8"/>
        <v>3.7236691659822988E-4</v>
      </c>
      <c r="AF17" s="6">
        <f t="shared" si="9"/>
        <v>0</v>
      </c>
      <c r="AG17" s="6">
        <f t="shared" si="10"/>
        <v>9.1745824631732555E-3</v>
      </c>
      <c r="AH17" s="6">
        <f t="shared" si="11"/>
        <v>3.4087275088112663E-2</v>
      </c>
      <c r="AI17" s="6">
        <f t="shared" si="25"/>
        <v>3.7236691659822988E-4</v>
      </c>
      <c r="AJ17" s="22"/>
      <c r="AL17" s="25"/>
      <c r="AM17" s="6"/>
      <c r="AN17" s="6"/>
      <c r="AO17" s="6"/>
      <c r="AP17" s="19"/>
      <c r="AQ17">
        <f t="shared" si="26"/>
        <v>946.99876619370741</v>
      </c>
      <c r="AR17" s="6">
        <f t="shared" si="27"/>
        <v>4.9528035471930902</v>
      </c>
      <c r="AS17" s="6">
        <f t="shared" si="28"/>
        <v>4.8537474762492291E-4</v>
      </c>
      <c r="AT17" s="6">
        <f t="shared" si="12"/>
        <v>944.43861813695241</v>
      </c>
      <c r="AU17" s="6">
        <f t="shared" si="13"/>
        <v>4.9394139728562614</v>
      </c>
      <c r="AV17" s="6">
        <f t="shared" si="14"/>
        <v>4.8406256933991365E-4</v>
      </c>
      <c r="AW17" s="6">
        <f t="shared" si="29"/>
        <v>-2.5948158349286543E-3</v>
      </c>
      <c r="AX17" s="52">
        <f t="shared" si="30"/>
        <v>5.1498730207293151E-4</v>
      </c>
      <c r="AY17" s="53">
        <f t="shared" si="15"/>
        <v>4.0231343823100202E-2</v>
      </c>
      <c r="AZ17" s="54"/>
      <c r="BA17" s="23">
        <f t="shared" si="16"/>
        <v>0</v>
      </c>
    </row>
    <row r="18" spans="1:56" s="7" customFormat="1" ht="14.4" x14ac:dyDescent="0.3">
      <c r="A18" t="s">
        <v>125</v>
      </c>
      <c r="B18">
        <v>2</v>
      </c>
      <c r="C18" s="2">
        <v>45042</v>
      </c>
      <c r="D18" s="11">
        <v>0.4055555555555555</v>
      </c>
      <c r="E18" s="15">
        <v>1017.3</v>
      </c>
      <c r="F18">
        <v>1062.5</v>
      </c>
      <c r="G18">
        <v>1059.0999999999999</v>
      </c>
      <c r="H18">
        <v>0.03</v>
      </c>
      <c r="I18">
        <v>2.94</v>
      </c>
      <c r="J18">
        <v>15.72</v>
      </c>
      <c r="K18">
        <v>79.88</v>
      </c>
      <c r="L18">
        <v>0</v>
      </c>
      <c r="M18"/>
      <c r="N18" t="s">
        <v>99</v>
      </c>
      <c r="O18"/>
      <c r="P18" s="8">
        <f t="shared" si="4"/>
        <v>45042.405555555553</v>
      </c>
      <c r="Q18" s="9">
        <f t="shared" si="5"/>
        <v>7.7638888888832298</v>
      </c>
      <c r="R18">
        <f t="shared" si="17"/>
        <v>98.57</v>
      </c>
      <c r="S18">
        <f t="shared" si="18"/>
        <v>3.043522369889419E-2</v>
      </c>
      <c r="T18">
        <f t="shared" si="19"/>
        <v>2.9826519224916304</v>
      </c>
      <c r="U18">
        <f t="shared" si="20"/>
        <v>15.948057218220555</v>
      </c>
      <c r="V18">
        <f t="shared" si="21"/>
        <v>81.038855635588931</v>
      </c>
      <c r="W18">
        <f t="shared" si="22"/>
        <v>100.00000000000001</v>
      </c>
      <c r="X18" s="10">
        <f t="shared" si="23"/>
        <v>4.1891536547507824E-2</v>
      </c>
      <c r="Y18" s="10">
        <f t="shared" si="0"/>
        <v>1.2494787201955261E-3</v>
      </c>
      <c r="Z18" s="10">
        <f t="shared" si="6"/>
        <v>1.2749782859138021E-5</v>
      </c>
      <c r="AA18" s="10">
        <f t="shared" si="1"/>
        <v>6.6808862181883229E-3</v>
      </c>
      <c r="AB18" s="10">
        <f t="shared" si="2"/>
        <v>3.3948421826264841E-2</v>
      </c>
      <c r="AC18" s="10">
        <f t="shared" si="24"/>
        <v>1.2622285030546641E-3</v>
      </c>
      <c r="AD18" s="10">
        <f t="shared" si="7"/>
        <v>4.1757483630555793E-2</v>
      </c>
      <c r="AE18" s="10">
        <f t="shared" si="8"/>
        <v>1.2454803882909003E-3</v>
      </c>
      <c r="AF18" s="10">
        <f t="shared" si="9"/>
        <v>1.2708983553988777E-5</v>
      </c>
      <c r="AG18" s="10">
        <f t="shared" si="10"/>
        <v>6.65950738229012E-3</v>
      </c>
      <c r="AH18" s="10">
        <f t="shared" si="11"/>
        <v>3.3839786876420787E-2</v>
      </c>
      <c r="AI18" s="10">
        <f t="shared" si="25"/>
        <v>1.2581893718448891E-3</v>
      </c>
      <c r="AJ18" s="22">
        <f t="shared" ref="AJ18:AJ31" si="36">AC18-AI17</f>
        <v>8.8986158645643423E-4</v>
      </c>
      <c r="AK18">
        <f t="shared" ref="AK18:AK31" si="37">(AA18-AG17)*-1</f>
        <v>2.4936962449849326E-3</v>
      </c>
      <c r="AL18" s="25">
        <f t="shared" ref="AL18:AL31" si="38">Y18-AE17</f>
        <v>8.7711180359729621E-4</v>
      </c>
      <c r="AM18" s="6">
        <f>AK18+AM16</f>
        <v>1.6770514327995131E-2</v>
      </c>
      <c r="AN18" s="6">
        <f>AL18+AN16</f>
        <v>4.4577223638065239E-3</v>
      </c>
      <c r="AO18" s="6">
        <f>AJ18+AO16</f>
        <v>4.7604857270917567E-3</v>
      </c>
      <c r="AP18" s="19">
        <f t="shared" si="34"/>
        <v>0.37189409773926202</v>
      </c>
      <c r="AQ18" s="7">
        <f t="shared" si="26"/>
        <v>3169.0676676473577</v>
      </c>
      <c r="AR18" s="10">
        <f t="shared" si="27"/>
        <v>16.57422390179568</v>
      </c>
      <c r="AS18" s="6">
        <f t="shared" si="28"/>
        <v>1.6242739423759766E-3</v>
      </c>
      <c r="AT18" s="6">
        <f t="shared" si="12"/>
        <v>3158.9266511108854</v>
      </c>
      <c r="AU18" s="6">
        <f t="shared" si="13"/>
        <v>16.521186385309932</v>
      </c>
      <c r="AV18" s="6">
        <f t="shared" si="14"/>
        <v>1.6190762657603735E-3</v>
      </c>
      <c r="AW18" s="6">
        <f t="shared" si="29"/>
        <v>1.1402113730360629E-3</v>
      </c>
      <c r="AX18" s="52">
        <f t="shared" si="30"/>
        <v>1.6551986751089944E-3</v>
      </c>
      <c r="AY18" s="53">
        <f t="shared" si="15"/>
        <v>0.12930584254370492</v>
      </c>
      <c r="AZ18" s="54">
        <f t="shared" si="35"/>
        <v>0.50119994028296699</v>
      </c>
      <c r="BA18" s="23">
        <f t="shared" si="16"/>
        <v>1.2361411765201529</v>
      </c>
      <c r="BB18"/>
      <c r="BC18"/>
      <c r="BD18"/>
    </row>
    <row r="19" spans="1:56" ht="14.4" x14ac:dyDescent="0.3">
      <c r="A19" t="s">
        <v>125</v>
      </c>
      <c r="B19">
        <v>2</v>
      </c>
      <c r="C19" s="2">
        <v>45042</v>
      </c>
      <c r="D19" s="11">
        <v>0.44236111111111115</v>
      </c>
      <c r="E19" s="15">
        <v>1017.3</v>
      </c>
      <c r="F19">
        <v>1126.5999999999999</v>
      </c>
      <c r="G19">
        <v>1123.3</v>
      </c>
      <c r="H19">
        <v>0</v>
      </c>
      <c r="I19">
        <v>0.57999999999999996</v>
      </c>
      <c r="J19">
        <v>20.62</v>
      </c>
      <c r="K19">
        <v>76.44</v>
      </c>
      <c r="L19">
        <v>1</v>
      </c>
      <c r="N19" t="s">
        <v>99</v>
      </c>
      <c r="O19">
        <v>869.93</v>
      </c>
      <c r="P19" s="3">
        <f t="shared" si="4"/>
        <v>45042.442361111112</v>
      </c>
      <c r="Q19" s="4">
        <f t="shared" si="5"/>
        <v>7.8006944444423425</v>
      </c>
      <c r="R19">
        <f t="shared" si="17"/>
        <v>97.64</v>
      </c>
      <c r="S19">
        <f t="shared" si="18"/>
        <v>0</v>
      </c>
      <c r="T19">
        <f t="shared" si="19"/>
        <v>0.59401884473576394</v>
      </c>
      <c r="U19">
        <f t="shared" si="20"/>
        <v>21.118394100778371</v>
      </c>
      <c r="V19">
        <f t="shared" si="21"/>
        <v>78.287587054485869</v>
      </c>
      <c r="W19">
        <f t="shared" si="22"/>
        <v>100</v>
      </c>
      <c r="X19" s="6">
        <f t="shared" si="23"/>
        <v>4.4418828305338644E-2</v>
      </c>
      <c r="Y19" s="6">
        <f t="shared" si="0"/>
        <v>2.6385621074453513E-4</v>
      </c>
      <c r="Z19" s="6">
        <f t="shared" si="6"/>
        <v>0</v>
      </c>
      <c r="AA19" s="6">
        <f t="shared" si="1"/>
        <v>9.3805432164695089E-3</v>
      </c>
      <c r="AB19" s="6">
        <f t="shared" si="2"/>
        <v>3.4774428878124597E-2</v>
      </c>
      <c r="AC19" s="6">
        <f t="shared" si="24"/>
        <v>2.6385621074453513E-4</v>
      </c>
      <c r="AD19" s="6">
        <f t="shared" si="7"/>
        <v>4.4288718121238149E-2</v>
      </c>
      <c r="AE19" s="6">
        <f t="shared" si="8"/>
        <v>2.6308333173205779E-4</v>
      </c>
      <c r="AF19" s="6">
        <f t="shared" si="9"/>
        <v>0</v>
      </c>
      <c r="AG19" s="6">
        <f t="shared" si="10"/>
        <v>9.3530660350259181E-3</v>
      </c>
      <c r="AH19" s="6">
        <f t="shared" si="11"/>
        <v>3.4672568754480174E-2</v>
      </c>
      <c r="AI19" s="6">
        <f t="shared" si="25"/>
        <v>2.6308333173205779E-4</v>
      </c>
      <c r="AJ19" s="22"/>
      <c r="AL19" s="25"/>
      <c r="AM19" s="6"/>
      <c r="AN19" s="6"/>
      <c r="AO19" s="6"/>
      <c r="AP19" s="19"/>
      <c r="AQ19">
        <f t="shared" si="26"/>
        <v>669.22163047931156</v>
      </c>
      <c r="AR19" s="6">
        <f t="shared" si="27"/>
        <v>3.5000291274067998</v>
      </c>
      <c r="AS19" s="6">
        <f t="shared" si="28"/>
        <v>3.4300285448586636E-4</v>
      </c>
      <c r="AT19" s="6">
        <f t="shared" si="12"/>
        <v>667.26136829168365</v>
      </c>
      <c r="AU19" s="6">
        <f t="shared" si="13"/>
        <v>3.4897769561655059</v>
      </c>
      <c r="AV19" s="6">
        <f t="shared" si="14"/>
        <v>3.4199814170421958E-4</v>
      </c>
      <c r="AW19" s="6">
        <f t="shared" si="29"/>
        <v>-1.276073411274507E-3</v>
      </c>
      <c r="AX19" s="52">
        <f t="shared" si="30"/>
        <v>3.7912526383448737E-4</v>
      </c>
      <c r="AY19" s="53">
        <f t="shared" si="15"/>
        <v>2.9617660047060304E-2</v>
      </c>
      <c r="AZ19" s="54"/>
      <c r="BA19" s="23">
        <f t="shared" si="16"/>
        <v>0</v>
      </c>
    </row>
    <row r="20" spans="1:56" ht="14.4" x14ac:dyDescent="0.3">
      <c r="A20" t="s">
        <v>125</v>
      </c>
      <c r="B20">
        <v>2</v>
      </c>
      <c r="C20" s="2">
        <v>45044</v>
      </c>
      <c r="D20" s="11">
        <v>0.4368055555555555</v>
      </c>
      <c r="E20" s="15">
        <v>1007</v>
      </c>
      <c r="F20">
        <v>1083.9000000000001</v>
      </c>
      <c r="G20">
        <v>1080.5999999999999</v>
      </c>
      <c r="H20">
        <v>0.02</v>
      </c>
      <c r="I20">
        <v>2.5499999999999998</v>
      </c>
      <c r="J20">
        <v>18.64</v>
      </c>
      <c r="K20">
        <v>92.36</v>
      </c>
      <c r="L20">
        <v>0</v>
      </c>
      <c r="N20" t="s">
        <v>99</v>
      </c>
      <c r="P20" s="3">
        <f t="shared" si="4"/>
        <v>45044.436805555553</v>
      </c>
      <c r="Q20" s="4">
        <f t="shared" si="5"/>
        <v>9.7951388888832298</v>
      </c>
      <c r="R20">
        <f t="shared" si="17"/>
        <v>113.57</v>
      </c>
      <c r="S20">
        <f t="shared" si="18"/>
        <v>1.7610284406093159E-2</v>
      </c>
      <c r="T20">
        <f t="shared" si="19"/>
        <v>2.2453112617768776</v>
      </c>
      <c r="U20">
        <f t="shared" si="20"/>
        <v>16.412785066478826</v>
      </c>
      <c r="V20">
        <f t="shared" si="21"/>
        <v>81.324293387338216</v>
      </c>
      <c r="W20">
        <f t="shared" si="22"/>
        <v>100.00000000000001</v>
      </c>
      <c r="X20" s="6">
        <f t="shared" si="23"/>
        <v>4.2735281377735281E-2</v>
      </c>
      <c r="Y20" s="6">
        <f t="shared" si="0"/>
        <v>9.5954008552632695E-4</v>
      </c>
      <c r="Z20" s="6">
        <f t="shared" si="6"/>
        <v>7.5258045923633506E-6</v>
      </c>
      <c r="AA20" s="6">
        <f t="shared" si="1"/>
        <v>7.0140498800826427E-3</v>
      </c>
      <c r="AB20" s="6">
        <f t="shared" si="2"/>
        <v>3.475416560753395E-2</v>
      </c>
      <c r="AC20" s="6">
        <f t="shared" si="24"/>
        <v>9.6706589011869026E-4</v>
      </c>
      <c r="AD20" s="6">
        <f t="shared" si="7"/>
        <v>4.2605171193634779E-2</v>
      </c>
      <c r="AE20" s="6">
        <f t="shared" si="8"/>
        <v>9.5661870690999995E-4</v>
      </c>
      <c r="AF20" s="6">
        <f t="shared" si="9"/>
        <v>7.5028918189019609E-6</v>
      </c>
      <c r="AG20" s="6">
        <f t="shared" si="10"/>
        <v>6.9926951752166278E-3</v>
      </c>
      <c r="AH20" s="6">
        <f t="shared" si="11"/>
        <v>3.4648354419689255E-2</v>
      </c>
      <c r="AI20" s="6">
        <f t="shared" si="25"/>
        <v>9.6412159872890193E-4</v>
      </c>
      <c r="AJ20" s="22">
        <f t="shared" ref="AJ20" si="39">AC20-AI19</f>
        <v>7.0398255838663242E-4</v>
      </c>
      <c r="AK20">
        <f t="shared" ref="AK20" si="40">(AA20-AG19)*-1</f>
        <v>2.3390161549432754E-3</v>
      </c>
      <c r="AL20" s="25">
        <f t="shared" ref="AL20" si="41">Y20-AE19</f>
        <v>6.9645675379426922E-4</v>
      </c>
      <c r="AM20" s="6">
        <f>AK20+AM18</f>
        <v>1.9109530482938408E-2</v>
      </c>
      <c r="AN20" s="6">
        <f>AL20+AN18</f>
        <v>5.1541791176007929E-3</v>
      </c>
      <c r="AO20" s="6">
        <f>AJ20+AO18</f>
        <v>5.4644682854783893E-3</v>
      </c>
      <c r="AP20" s="19">
        <f t="shared" si="34"/>
        <v>0.42688994761345433</v>
      </c>
      <c r="AQ20">
        <f t="shared" si="26"/>
        <v>2433.6928766399578</v>
      </c>
      <c r="AR20" s="6">
        <f t="shared" si="27"/>
        <v>12.728213744826981</v>
      </c>
      <c r="AS20" s="6">
        <f t="shared" si="28"/>
        <v>1.247364946993044E-3</v>
      </c>
      <c r="AT20" s="6">
        <f t="shared" si="12"/>
        <v>2426.2833494760935</v>
      </c>
      <c r="AU20" s="6">
        <f t="shared" si="13"/>
        <v>12.689461917759969</v>
      </c>
      <c r="AV20" s="6">
        <f t="shared" si="14"/>
        <v>1.243567267940477E-3</v>
      </c>
      <c r="AW20" s="6">
        <f t="shared" si="29"/>
        <v>9.0536680528882445E-4</v>
      </c>
      <c r="AX20" s="52">
        <f t="shared" si="30"/>
        <v>1.2844920691233118E-3</v>
      </c>
      <c r="AY20" s="53">
        <f t="shared" si="15"/>
        <v>0.1003458568064402</v>
      </c>
      <c r="AZ20" s="54">
        <f t="shared" si="35"/>
        <v>0.52723580441989459</v>
      </c>
      <c r="BA20" s="23">
        <f t="shared" si="16"/>
        <v>1.4602208474709668</v>
      </c>
    </row>
    <row r="21" spans="1:56" s="7" customFormat="1" ht="14.4" x14ac:dyDescent="0.3">
      <c r="A21" t="s">
        <v>125</v>
      </c>
      <c r="B21">
        <v>2</v>
      </c>
      <c r="C21" s="2">
        <v>45047</v>
      </c>
      <c r="D21" s="11">
        <v>0.60555555555555551</v>
      </c>
      <c r="E21" s="15">
        <v>1013.3</v>
      </c>
      <c r="F21">
        <v>1038.0999999999999</v>
      </c>
      <c r="G21">
        <v>1035.4000000000001</v>
      </c>
      <c r="H21">
        <v>0.04</v>
      </c>
      <c r="I21">
        <v>5.61</v>
      </c>
      <c r="J21">
        <v>8.9600000000000009</v>
      </c>
      <c r="K21">
        <v>84.36</v>
      </c>
      <c r="L21">
        <v>0</v>
      </c>
      <c r="M21"/>
      <c r="N21" t="s">
        <v>99</v>
      </c>
      <c r="O21"/>
      <c r="P21" s="8">
        <f t="shared" si="4"/>
        <v>45047.605555555558</v>
      </c>
      <c r="Q21" s="9">
        <f t="shared" si="5"/>
        <v>12.963888888887595</v>
      </c>
      <c r="R21">
        <f t="shared" si="17"/>
        <v>98.97</v>
      </c>
      <c r="S21">
        <f t="shared" si="18"/>
        <v>4.0416287763968883E-2</v>
      </c>
      <c r="T21">
        <f t="shared" si="19"/>
        <v>5.6683843588966356</v>
      </c>
      <c r="U21">
        <f t="shared" si="20"/>
        <v>9.0532484591290299</v>
      </c>
      <c r="V21">
        <f t="shared" si="21"/>
        <v>85.237950894210371</v>
      </c>
      <c r="W21">
        <f t="shared" si="22"/>
        <v>100</v>
      </c>
      <c r="X21" s="10">
        <f t="shared" si="23"/>
        <v>4.0929509731734467E-2</v>
      </c>
      <c r="Y21" s="10">
        <f t="shared" si="0"/>
        <v>2.3200419278067127E-3</v>
      </c>
      <c r="Z21" s="10">
        <f t="shared" si="6"/>
        <v>1.6542188433559451E-5</v>
      </c>
      <c r="AA21" s="10">
        <f t="shared" si="1"/>
        <v>3.7054502091173171E-3</v>
      </c>
      <c r="AB21" s="10">
        <f t="shared" si="2"/>
        <v>3.4887475406376878E-2</v>
      </c>
      <c r="AC21" s="10">
        <f t="shared" si="24"/>
        <v>2.3365841162402722E-3</v>
      </c>
      <c r="AD21" s="10">
        <f t="shared" si="7"/>
        <v>4.0823055944743163E-2</v>
      </c>
      <c r="AE21" s="10">
        <f t="shared" si="8"/>
        <v>2.3140077179954447E-3</v>
      </c>
      <c r="AF21" s="10">
        <f t="shared" si="9"/>
        <v>1.6499163764673405E-5</v>
      </c>
      <c r="AG21" s="10">
        <f t="shared" si="10"/>
        <v>3.6958126832868422E-3</v>
      </c>
      <c r="AH21" s="10">
        <f t="shared" si="11"/>
        <v>3.47967363796962E-2</v>
      </c>
      <c r="AI21" s="10">
        <f t="shared" si="25"/>
        <v>2.330506881760118E-3</v>
      </c>
      <c r="AJ21" s="22">
        <f t="shared" si="36"/>
        <v>1.3724625175113702E-3</v>
      </c>
      <c r="AK21">
        <f t="shared" si="37"/>
        <v>3.2872449660993107E-3</v>
      </c>
      <c r="AL21" s="25">
        <f t="shared" si="38"/>
        <v>1.3634232208967127E-3</v>
      </c>
      <c r="AM21" s="6">
        <f t="shared" ref="AM21:AN21" si="42">AK21+AM20</f>
        <v>2.2396775449037717E-2</v>
      </c>
      <c r="AN21" s="6">
        <f t="shared" si="42"/>
        <v>6.5176023384975051E-3</v>
      </c>
      <c r="AO21" s="6">
        <f t="shared" ref="AO21" si="43">AJ21+AO20</f>
        <v>6.8369308029897595E-3</v>
      </c>
      <c r="AP21" s="19">
        <f t="shared" si="34"/>
        <v>0.53410814737112156</v>
      </c>
      <c r="AQ21" s="7">
        <f t="shared" si="26"/>
        <v>5884.3498029705961</v>
      </c>
      <c r="AR21" s="10">
        <f t="shared" si="27"/>
        <v>30.77514946953622</v>
      </c>
      <c r="AS21" s="6">
        <f t="shared" si="28"/>
        <v>3.0159646480145499E-3</v>
      </c>
      <c r="AT21" s="6">
        <f t="shared" si="12"/>
        <v>5869.0451652015772</v>
      </c>
      <c r="AU21" s="6">
        <f t="shared" si="13"/>
        <v>30.695106214004252</v>
      </c>
      <c r="AV21" s="6">
        <f t="shared" si="14"/>
        <v>3.0081204089724167E-3</v>
      </c>
      <c r="AW21" s="6">
        <f t="shared" si="29"/>
        <v>1.7723973800740729E-3</v>
      </c>
      <c r="AX21" s="52">
        <f t="shared" si="30"/>
        <v>3.0568894491973847E-3</v>
      </c>
      <c r="AY21" s="53">
        <f t="shared" si="15"/>
        <v>0.23880738411381416</v>
      </c>
      <c r="AZ21" s="54">
        <f t="shared" si="35"/>
        <v>0.77291553148493575</v>
      </c>
      <c r="BA21" s="23">
        <f t="shared" si="16"/>
        <v>1.0482885931298644</v>
      </c>
      <c r="BB21"/>
      <c r="BC21"/>
      <c r="BD21"/>
    </row>
    <row r="22" spans="1:56" ht="14.4" x14ac:dyDescent="0.3">
      <c r="A22" t="s">
        <v>125</v>
      </c>
      <c r="B22">
        <v>2</v>
      </c>
      <c r="C22" s="2">
        <v>45047</v>
      </c>
      <c r="D22" s="11">
        <v>0.64166666666666672</v>
      </c>
      <c r="E22" s="15">
        <v>1013.4</v>
      </c>
      <c r="F22">
        <v>1120.5</v>
      </c>
      <c r="G22">
        <v>1117.5</v>
      </c>
      <c r="H22">
        <v>0</v>
      </c>
      <c r="I22">
        <v>1.07</v>
      </c>
      <c r="J22">
        <v>20.38</v>
      </c>
      <c r="K22">
        <v>75.88</v>
      </c>
      <c r="L22">
        <v>1</v>
      </c>
      <c r="N22" t="s">
        <v>99</v>
      </c>
      <c r="O22">
        <v>869.86</v>
      </c>
      <c r="P22" s="3">
        <f t="shared" si="4"/>
        <v>45047.64166666667</v>
      </c>
      <c r="Q22" s="4">
        <f t="shared" si="5"/>
        <v>13</v>
      </c>
      <c r="R22">
        <f t="shared" si="17"/>
        <v>97.33</v>
      </c>
      <c r="S22">
        <f t="shared" si="18"/>
        <v>0</v>
      </c>
      <c r="T22">
        <f t="shared" si="19"/>
        <v>1.0993527175588205</v>
      </c>
      <c r="U22">
        <f t="shared" si="20"/>
        <v>20.939073255933423</v>
      </c>
      <c r="V22">
        <f t="shared" si="21"/>
        <v>77.961574026507762</v>
      </c>
      <c r="W22">
        <f t="shared" si="22"/>
        <v>100</v>
      </c>
      <c r="X22" s="6">
        <f t="shared" si="23"/>
        <v>4.4178321601395315E-2</v>
      </c>
      <c r="Y22" s="6">
        <f t="shared" si="0"/>
        <v>4.856755790968148E-4</v>
      </c>
      <c r="Z22" s="6">
        <f t="shared" si="6"/>
        <v>0</v>
      </c>
      <c r="AA22" s="6">
        <f t="shared" si="1"/>
        <v>9.2505311233580245E-3</v>
      </c>
      <c r="AB22" s="6">
        <f t="shared" si="2"/>
        <v>3.4442114898940474E-2</v>
      </c>
      <c r="AC22" s="6">
        <f t="shared" si="24"/>
        <v>4.856755790968148E-4</v>
      </c>
      <c r="AD22" s="6">
        <f t="shared" si="7"/>
        <v>4.4060039615849408E-2</v>
      </c>
      <c r="AE22" s="6">
        <f t="shared" si="8"/>
        <v>4.8437524287433338E-4</v>
      </c>
      <c r="AF22" s="6">
        <f t="shared" si="9"/>
        <v>0</v>
      </c>
      <c r="AG22" s="6">
        <f t="shared" si="10"/>
        <v>9.2257639717559948E-3</v>
      </c>
      <c r="AH22" s="6">
        <f t="shared" si="11"/>
        <v>3.4349900401219081E-2</v>
      </c>
      <c r="AI22" s="6">
        <f t="shared" si="25"/>
        <v>4.8437524287433338E-4</v>
      </c>
      <c r="AJ22" s="22"/>
      <c r="AL22" s="25"/>
      <c r="AM22" s="6"/>
      <c r="AN22" s="6"/>
      <c r="AO22" s="6"/>
      <c r="AP22" s="19"/>
      <c r="AQ22">
        <f>F22*100*T22/100</f>
        <v>1231.8247200246583</v>
      </c>
      <c r="AR22" s="6">
        <f>AQ22*$D$7</f>
        <v>6.4424432857289631</v>
      </c>
      <c r="AS22" s="6">
        <f t="shared" si="28"/>
        <v>6.3135944200143844E-4</v>
      </c>
      <c r="AT22" s="6">
        <f t="shared" si="12"/>
        <v>1228.526661871982</v>
      </c>
      <c r="AU22" s="6">
        <f t="shared" si="13"/>
        <v>6.4251944415904667</v>
      </c>
      <c r="AV22" s="6">
        <f t="shared" si="14"/>
        <v>6.2966905527586583E-4</v>
      </c>
      <c r="AW22" s="6">
        <f t="shared" si="29"/>
        <v>-2.3767609669709784E-3</v>
      </c>
      <c r="AX22" s="52">
        <f t="shared" si="30"/>
        <v>6.8012848222640627E-4</v>
      </c>
      <c r="AY22" s="53">
        <f t="shared" si="15"/>
        <v>5.3132344627127959E-2</v>
      </c>
      <c r="AZ22" s="54"/>
      <c r="BA22" s="23">
        <f t="shared" si="16"/>
        <v>0</v>
      </c>
    </row>
    <row r="23" spans="1:56" s="7" customFormat="1" ht="14.4" x14ac:dyDescent="0.3">
      <c r="A23" t="s">
        <v>125</v>
      </c>
      <c r="B23">
        <v>2</v>
      </c>
      <c r="C23" s="2">
        <v>45050</v>
      </c>
      <c r="D23" s="11">
        <v>0.4375</v>
      </c>
      <c r="E23" s="15">
        <v>1017.5</v>
      </c>
      <c r="F23">
        <v>1068</v>
      </c>
      <c r="G23">
        <v>1065.0999999999999</v>
      </c>
      <c r="H23">
        <v>0.02</v>
      </c>
      <c r="I23">
        <v>5.34</v>
      </c>
      <c r="J23">
        <v>13.11</v>
      </c>
      <c r="K23">
        <v>79.599999999999994</v>
      </c>
      <c r="L23">
        <v>0</v>
      </c>
      <c r="M23"/>
      <c r="N23" t="s">
        <v>99</v>
      </c>
      <c r="O23"/>
      <c r="P23" s="8">
        <f t="shared" si="4"/>
        <v>45050.4375</v>
      </c>
      <c r="Q23" s="9">
        <f t="shared" si="5"/>
        <v>15.795833333329938</v>
      </c>
      <c r="R23">
        <f t="shared" si="17"/>
        <v>98.07</v>
      </c>
      <c r="S23">
        <f t="shared" si="18"/>
        <v>2.0393596410727032E-2</v>
      </c>
      <c r="T23">
        <f t="shared" si="19"/>
        <v>5.4450902416641176</v>
      </c>
      <c r="U23">
        <f t="shared" si="20"/>
        <v>13.36800244723157</v>
      </c>
      <c r="V23">
        <f t="shared" si="21"/>
        <v>81.166513714693579</v>
      </c>
      <c r="W23">
        <f t="shared" si="22"/>
        <v>100</v>
      </c>
      <c r="X23" s="10">
        <f t="shared" si="23"/>
        <v>4.2108386854341984E-2</v>
      </c>
      <c r="Y23" s="10">
        <f t="shared" si="0"/>
        <v>2.2928396635279514E-3</v>
      </c>
      <c r="Z23" s="10">
        <f t="shared" si="6"/>
        <v>8.5874144701421409E-6</v>
      </c>
      <c r="AA23" s="10">
        <f t="shared" si="1"/>
        <v>5.6290501851781723E-3</v>
      </c>
      <c r="AB23" s="10">
        <f t="shared" si="2"/>
        <v>3.4177909591165713E-2</v>
      </c>
      <c r="AC23" s="10">
        <f t="shared" si="24"/>
        <v>2.3014270779980936E-3</v>
      </c>
      <c r="AD23" s="10">
        <f t="shared" si="7"/>
        <v>4.1994047601647606E-2</v>
      </c>
      <c r="AE23" s="10">
        <f t="shared" si="8"/>
        <v>2.2866137880370981E-3</v>
      </c>
      <c r="AF23" s="10">
        <f t="shared" si="9"/>
        <v>8.5640965844086072E-6</v>
      </c>
      <c r="AG23" s="10">
        <f t="shared" si="10"/>
        <v>5.6137653110798422E-3</v>
      </c>
      <c r="AH23" s="10">
        <f t="shared" si="11"/>
        <v>3.4085104405946254E-2</v>
      </c>
      <c r="AI23" s="10">
        <f t="shared" si="25"/>
        <v>2.2951778846215065E-3</v>
      </c>
      <c r="AJ23" s="22">
        <f t="shared" si="36"/>
        <v>1.8170518351237602E-3</v>
      </c>
      <c r="AK23">
        <f t="shared" si="37"/>
        <v>3.5967137865778225E-3</v>
      </c>
      <c r="AL23" s="25">
        <f t="shared" si="38"/>
        <v>1.8084644206536179E-3</v>
      </c>
      <c r="AM23" s="6">
        <f>AK23+AM21</f>
        <v>2.5993489235615539E-2</v>
      </c>
      <c r="AN23" s="6">
        <f>AL23+AN21</f>
        <v>8.3260667591511239E-3</v>
      </c>
      <c r="AO23" s="6">
        <f>AJ23+AO21</f>
        <v>8.6539826381135197E-3</v>
      </c>
      <c r="AP23" s="19">
        <f t="shared" si="34"/>
        <v>0.67605812716481084</v>
      </c>
      <c r="AQ23" s="7">
        <f t="shared" si="26"/>
        <v>5815.3563780972781</v>
      </c>
      <c r="AR23" s="10">
        <f t="shared" si="27"/>
        <v>30.414313857448768</v>
      </c>
      <c r="AS23" s="6">
        <f t="shared" si="28"/>
        <v>2.9806027580299792E-3</v>
      </c>
      <c r="AT23" s="6">
        <f t="shared" si="12"/>
        <v>5799.5656163964513</v>
      </c>
      <c r="AU23" s="6">
        <f t="shared" si="13"/>
        <v>30.331728173753444</v>
      </c>
      <c r="AV23" s="6">
        <f t="shared" si="14"/>
        <v>2.9725093610278373E-3</v>
      </c>
      <c r="AW23" s="6">
        <f t="shared" si="29"/>
        <v>2.3509337027541135E-3</v>
      </c>
      <c r="AX23" s="52">
        <f t="shared" si="30"/>
        <v>3.0310621849805198E-3</v>
      </c>
      <c r="AY23" s="53">
        <f t="shared" si="15"/>
        <v>0.23678973136288942</v>
      </c>
      <c r="AZ23" s="54">
        <f t="shared" si="35"/>
        <v>0.91284785852770023</v>
      </c>
      <c r="BA23" s="23">
        <f t="shared" si="16"/>
        <v>0.86471976951104867</v>
      </c>
      <c r="BB23"/>
      <c r="BC23"/>
      <c r="BD23"/>
    </row>
    <row r="24" spans="1:56" ht="14.4" x14ac:dyDescent="0.3">
      <c r="A24" t="s">
        <v>125</v>
      </c>
      <c r="B24">
        <v>2</v>
      </c>
      <c r="C24" s="2">
        <v>45050</v>
      </c>
      <c r="D24" s="11">
        <v>0.4694444444444445</v>
      </c>
      <c r="E24" s="15">
        <v>1017</v>
      </c>
      <c r="F24">
        <v>1125.5</v>
      </c>
      <c r="G24">
        <v>1122.9000000000001</v>
      </c>
      <c r="H24">
        <v>0</v>
      </c>
      <c r="I24">
        <v>0.9</v>
      </c>
      <c r="J24">
        <v>20.309999999999999</v>
      </c>
      <c r="K24">
        <v>75.45</v>
      </c>
      <c r="L24">
        <v>1</v>
      </c>
      <c r="N24" t="s">
        <v>99</v>
      </c>
      <c r="O24">
        <v>869.71</v>
      </c>
      <c r="P24" s="3">
        <f t="shared" si="4"/>
        <v>45050.469444444447</v>
      </c>
      <c r="Q24" s="4">
        <f t="shared" si="5"/>
        <v>15.827777777776646</v>
      </c>
      <c r="R24">
        <f t="shared" si="17"/>
        <v>96.66</v>
      </c>
      <c r="S24">
        <f t="shared" si="18"/>
        <v>0</v>
      </c>
      <c r="T24">
        <f t="shared" si="19"/>
        <v>0.93109869646182497</v>
      </c>
      <c r="U24">
        <f t="shared" si="20"/>
        <v>21.011793916821848</v>
      </c>
      <c r="V24">
        <f t="shared" si="21"/>
        <v>78.057107386716325</v>
      </c>
      <c r="W24">
        <f t="shared" si="22"/>
        <v>100</v>
      </c>
      <c r="X24" s="6">
        <f t="shared" si="23"/>
        <v>4.4375458243971821E-2</v>
      </c>
      <c r="Y24" s="6">
        <f t="shared" si="0"/>
        <v>4.1317931325858309E-4</v>
      </c>
      <c r="Z24" s="6">
        <f t="shared" si="6"/>
        <v>0</v>
      </c>
      <c r="AA24" s="6">
        <f t="shared" si="1"/>
        <v>9.324079835868691E-3</v>
      </c>
      <c r="AB24" s="6">
        <f t="shared" si="2"/>
        <v>3.463819909484455E-2</v>
      </c>
      <c r="AC24" s="6">
        <f t="shared" si="24"/>
        <v>4.1317931325858309E-4</v>
      </c>
      <c r="AD24" s="6">
        <f t="shared" si="7"/>
        <v>4.4272947189832046E-2</v>
      </c>
      <c r="AE24" s="6">
        <f t="shared" si="8"/>
        <v>4.1222483416975832E-4</v>
      </c>
      <c r="AF24" s="6">
        <f t="shared" si="9"/>
        <v>0</v>
      </c>
      <c r="AG24" s="6">
        <f t="shared" si="10"/>
        <v>9.3025404244308791E-3</v>
      </c>
      <c r="AH24" s="6">
        <f t="shared" si="11"/>
        <v>3.4558181931231412E-2</v>
      </c>
      <c r="AI24" s="6">
        <f t="shared" si="25"/>
        <v>4.1222483416975832E-4</v>
      </c>
      <c r="AJ24" s="22"/>
      <c r="AL24" s="25"/>
      <c r="AM24" s="6"/>
      <c r="AN24" s="6"/>
      <c r="AO24" s="6"/>
      <c r="AP24" s="19"/>
      <c r="AQ24">
        <f t="shared" si="26"/>
        <v>1047.9515828677841</v>
      </c>
      <c r="AR24" s="6">
        <f t="shared" si="27"/>
        <v>5.4807867783985111</v>
      </c>
      <c r="AS24" s="6">
        <f t="shared" si="28"/>
        <v>5.3711710428305413E-4</v>
      </c>
      <c r="AT24" s="6">
        <f t="shared" si="12"/>
        <v>1045.5307262569834</v>
      </c>
      <c r="AU24" s="6">
        <f t="shared" si="13"/>
        <v>5.4681256983240232</v>
      </c>
      <c r="AV24" s="6">
        <f t="shared" si="14"/>
        <v>5.3587631843575434E-4</v>
      </c>
      <c r="AW24" s="6">
        <f t="shared" si="29"/>
        <v>-2.4353922567447832E-3</v>
      </c>
      <c r="AX24" s="52">
        <f t="shared" si="30"/>
        <v>5.956699282357366E-4</v>
      </c>
      <c r="AY24" s="53">
        <f t="shared" si="15"/>
        <v>4.6534354519947994E-2</v>
      </c>
      <c r="AZ24" s="54"/>
      <c r="BA24" s="23">
        <f t="shared" si="16"/>
        <v>0</v>
      </c>
    </row>
    <row r="25" spans="1:56" s="7" customFormat="1" ht="14.4" x14ac:dyDescent="0.3">
      <c r="A25" t="s">
        <v>125</v>
      </c>
      <c r="B25">
        <v>2</v>
      </c>
      <c r="C25" s="2">
        <v>45054</v>
      </c>
      <c r="D25" s="11">
        <v>0.3979166666666667</v>
      </c>
      <c r="E25" s="15">
        <v>1018.1</v>
      </c>
      <c r="F25">
        <v>1067.5999999999999</v>
      </c>
      <c r="G25">
        <v>1064.3</v>
      </c>
      <c r="H25">
        <v>0.08</v>
      </c>
      <c r="I25">
        <v>7.19</v>
      </c>
      <c r="J25">
        <v>10.039999999999999</v>
      </c>
      <c r="K25">
        <v>79.45</v>
      </c>
      <c r="L25">
        <v>0</v>
      </c>
      <c r="M25"/>
      <c r="N25" t="s">
        <v>99</v>
      </c>
      <c r="O25"/>
      <c r="P25" s="8">
        <f t="shared" si="4"/>
        <v>45054.397916666669</v>
      </c>
      <c r="Q25" s="9">
        <f t="shared" si="5"/>
        <v>19.756249999998545</v>
      </c>
      <c r="R25">
        <f t="shared" si="17"/>
        <v>96.76</v>
      </c>
      <c r="S25">
        <f t="shared" si="18"/>
        <v>8.2678792889623806E-2</v>
      </c>
      <c r="T25">
        <f t="shared" si="19"/>
        <v>7.4307565109549394</v>
      </c>
      <c r="U25">
        <f t="shared" si="20"/>
        <v>10.376188507647786</v>
      </c>
      <c r="V25">
        <f t="shared" si="21"/>
        <v>82.110376188507644</v>
      </c>
      <c r="W25">
        <f t="shared" si="22"/>
        <v>100</v>
      </c>
      <c r="X25" s="10">
        <f t="shared" si="23"/>
        <v>4.209261592293586E-2</v>
      </c>
      <c r="Y25" s="10">
        <f t="shared" si="0"/>
        <v>3.1277997983248118E-3</v>
      </c>
      <c r="Z25" s="10">
        <f t="shared" si="6"/>
        <v>3.480166674074895E-5</v>
      </c>
      <c r="AA25" s="10">
        <f t="shared" si="1"/>
        <v>4.3676091759639931E-3</v>
      </c>
      <c r="AB25" s="10">
        <f t="shared" si="2"/>
        <v>3.4562405281906301E-2</v>
      </c>
      <c r="AC25" s="10">
        <f t="shared" si="24"/>
        <v>3.1626014650655608E-3</v>
      </c>
      <c r="AD25" s="10">
        <f t="shared" si="7"/>
        <v>4.1962505738835365E-2</v>
      </c>
      <c r="AE25" s="10">
        <f t="shared" si="8"/>
        <v>3.1181316273483487E-3</v>
      </c>
      <c r="AF25" s="10">
        <f t="shared" si="9"/>
        <v>3.4694093211108195E-5</v>
      </c>
      <c r="AG25" s="10">
        <f t="shared" si="10"/>
        <v>4.3541086979940781E-3</v>
      </c>
      <c r="AH25" s="10">
        <f t="shared" si="11"/>
        <v>3.4455571320281826E-2</v>
      </c>
      <c r="AI25" s="10">
        <f t="shared" si="25"/>
        <v>3.1528257205594569E-3</v>
      </c>
      <c r="AJ25" s="22">
        <f t="shared" si="36"/>
        <v>2.7503766308958023E-3</v>
      </c>
      <c r="AK25">
        <f t="shared" si="37"/>
        <v>4.934931248466886E-3</v>
      </c>
      <c r="AL25" s="25">
        <f t="shared" si="38"/>
        <v>2.7155749641550537E-3</v>
      </c>
      <c r="AM25" s="6">
        <f>AK25+AM23</f>
        <v>3.0928420484082425E-2</v>
      </c>
      <c r="AN25" s="6">
        <f>AL25+AN23</f>
        <v>1.1041641723306177E-2</v>
      </c>
      <c r="AO25" s="6">
        <f>AJ25+AO23</f>
        <v>1.1404359269009321E-2</v>
      </c>
      <c r="AP25" s="19">
        <f t="shared" si="34"/>
        <v>0.89092041102150821</v>
      </c>
      <c r="AQ25" s="7">
        <f t="shared" si="26"/>
        <v>7933.0756510954925</v>
      </c>
      <c r="AR25" s="10">
        <f>AQ25*$D$7</f>
        <v>41.489985655229425</v>
      </c>
      <c r="AS25" s="6">
        <f t="shared" si="28"/>
        <v>4.0660185942124841E-3</v>
      </c>
      <c r="AT25" s="6">
        <f t="shared" si="12"/>
        <v>7908.5541546093418</v>
      </c>
      <c r="AU25" s="6">
        <f t="shared" si="13"/>
        <v>41.36173822860686</v>
      </c>
      <c r="AV25" s="6">
        <f t="shared" si="14"/>
        <v>4.0534503464034729E-3</v>
      </c>
      <c r="AW25" s="6">
        <f t="shared" si="29"/>
        <v>3.5301422757767296E-3</v>
      </c>
      <c r="AX25" s="52">
        <f t="shared" si="30"/>
        <v>4.1258122040124662E-3</v>
      </c>
      <c r="AY25" s="53">
        <f t="shared" si="15"/>
        <v>0.32231274181137309</v>
      </c>
      <c r="AZ25" s="54">
        <f t="shared" si="35"/>
        <v>1.2132331528328812</v>
      </c>
      <c r="BA25" s="23">
        <f t="shared" si="16"/>
        <v>0.79013043000339001</v>
      </c>
      <c r="BB25"/>
      <c r="BC25"/>
      <c r="BD25"/>
    </row>
    <row r="26" spans="1:56" ht="14.4" x14ac:dyDescent="0.3">
      <c r="A26" t="s">
        <v>125</v>
      </c>
      <c r="B26">
        <v>2</v>
      </c>
      <c r="C26" s="2">
        <v>45054</v>
      </c>
      <c r="D26" s="11">
        <v>0.43124999999999997</v>
      </c>
      <c r="E26" s="15">
        <v>1018.7</v>
      </c>
      <c r="F26">
        <v>1127.7</v>
      </c>
      <c r="G26">
        <v>1124.5999999999999</v>
      </c>
      <c r="H26">
        <v>0</v>
      </c>
      <c r="I26">
        <v>1.1200000000000001</v>
      </c>
      <c r="J26">
        <v>20.2</v>
      </c>
      <c r="K26">
        <v>75.010000000000005</v>
      </c>
      <c r="L26">
        <v>1</v>
      </c>
      <c r="N26" t="s">
        <v>99</v>
      </c>
      <c r="O26">
        <v>869.62</v>
      </c>
      <c r="P26" s="3">
        <f t="shared" si="4"/>
        <v>45054.431250000001</v>
      </c>
      <c r="Q26" s="4">
        <f t="shared" si="5"/>
        <v>19.789583333331393</v>
      </c>
      <c r="R26">
        <f t="shared" si="17"/>
        <v>96.330000000000013</v>
      </c>
      <c r="S26">
        <f t="shared" si="18"/>
        <v>0</v>
      </c>
      <c r="T26">
        <f t="shared" si="19"/>
        <v>1.1626699885809197</v>
      </c>
      <c r="U26">
        <f t="shared" si="20"/>
        <v>20.969583722620158</v>
      </c>
      <c r="V26">
        <f t="shared" si="21"/>
        <v>77.867746288798926</v>
      </c>
      <c r="W26">
        <f t="shared" si="22"/>
        <v>100</v>
      </c>
      <c r="X26" s="6">
        <f t="shared" si="23"/>
        <v>4.4462198366705487E-2</v>
      </c>
      <c r="Y26" s="6">
        <f t="shared" si="0"/>
        <v>5.169486366730006E-4</v>
      </c>
      <c r="Z26" s="6">
        <f t="shared" si="6"/>
        <v>0</v>
      </c>
      <c r="AA26" s="6">
        <f t="shared" si="1"/>
        <v>9.3235379114237592E-3</v>
      </c>
      <c r="AB26" s="6">
        <f t="shared" si="2"/>
        <v>3.4621711818608729E-2</v>
      </c>
      <c r="AC26" s="6">
        <f t="shared" si="24"/>
        <v>5.169486366730006E-4</v>
      </c>
      <c r="AD26" s="6">
        <f t="shared" si="7"/>
        <v>4.4339973648308044E-2</v>
      </c>
      <c r="AE26" s="6">
        <f t="shared" si="8"/>
        <v>5.1552756655356589E-4</v>
      </c>
      <c r="AF26" s="6">
        <f t="shared" si="9"/>
        <v>0</v>
      </c>
      <c r="AG26" s="6">
        <f t="shared" si="10"/>
        <v>9.29790789676967E-3</v>
      </c>
      <c r="AH26" s="6">
        <f t="shared" si="11"/>
        <v>3.4526538184984808E-2</v>
      </c>
      <c r="AI26" s="6">
        <f t="shared" si="25"/>
        <v>5.1552756655356589E-4</v>
      </c>
      <c r="AJ26" s="22"/>
      <c r="AL26" s="25"/>
      <c r="AM26" s="6"/>
      <c r="AN26" s="6"/>
      <c r="AO26" s="6"/>
      <c r="AP26" s="19"/>
      <c r="AQ26">
        <f t="shared" si="26"/>
        <v>1311.1429461227031</v>
      </c>
      <c r="AR26" s="6">
        <f t="shared" si="27"/>
        <v>6.8572776082217377</v>
      </c>
      <c r="AS26" s="6">
        <f t="shared" si="28"/>
        <v>6.7201320560573031E-4</v>
      </c>
      <c r="AT26" s="6">
        <f t="shared" si="12"/>
        <v>1307.538669158102</v>
      </c>
      <c r="AU26" s="6">
        <f t="shared" si="13"/>
        <v>6.8384272396968742</v>
      </c>
      <c r="AV26" s="6">
        <f t="shared" si="14"/>
        <v>6.7016586949029369E-4</v>
      </c>
      <c r="AW26" s="6">
        <f t="shared" si="29"/>
        <v>-3.3814371407977425E-3</v>
      </c>
      <c r="AX26" s="52">
        <f t="shared" si="30"/>
        <v>7.4437506321472363E-4</v>
      </c>
      <c r="AY26" s="53">
        <f t="shared" si="15"/>
        <v>5.8151354375126765E-2</v>
      </c>
      <c r="AZ26" s="54"/>
      <c r="BA26" s="23">
        <f t="shared" si="16"/>
        <v>0</v>
      </c>
    </row>
    <row r="27" spans="1:56" s="7" customFormat="1" ht="14.4" x14ac:dyDescent="0.3">
      <c r="A27" t="s">
        <v>125</v>
      </c>
      <c r="B27">
        <v>2</v>
      </c>
      <c r="C27" s="2">
        <v>45056</v>
      </c>
      <c r="D27" s="11">
        <v>0.43194444444444446</v>
      </c>
      <c r="E27" s="15">
        <v>1007.9</v>
      </c>
      <c r="F27">
        <v>1093.4000000000001</v>
      </c>
      <c r="G27">
        <v>1090.9000000000001</v>
      </c>
      <c r="H27">
        <v>0.08</v>
      </c>
      <c r="I27">
        <v>4.3600000000000003</v>
      </c>
      <c r="J27">
        <v>15.05</v>
      </c>
      <c r="K27">
        <v>77.45</v>
      </c>
      <c r="L27">
        <v>0</v>
      </c>
      <c r="M27"/>
      <c r="N27" t="s">
        <v>99</v>
      </c>
      <c r="O27"/>
      <c r="P27" s="8">
        <f t="shared" si="4"/>
        <v>45056.431944444441</v>
      </c>
      <c r="Q27" s="9">
        <f t="shared" si="5"/>
        <v>21.790277777770825</v>
      </c>
      <c r="R27">
        <f t="shared" si="17"/>
        <v>96.94</v>
      </c>
      <c r="S27">
        <f t="shared" si="18"/>
        <v>8.2525273364968024E-2</v>
      </c>
      <c r="T27">
        <f t="shared" si="19"/>
        <v>4.4976273983907582</v>
      </c>
      <c r="U27">
        <f t="shared" si="20"/>
        <v>15.525067051784609</v>
      </c>
      <c r="V27">
        <f t="shared" si="21"/>
        <v>79.89478027645967</v>
      </c>
      <c r="W27">
        <f t="shared" si="22"/>
        <v>100</v>
      </c>
      <c r="X27" s="10">
        <f t="shared" si="23"/>
        <v>4.3109840998630647E-2</v>
      </c>
      <c r="Y27" s="10">
        <f t="shared" si="0"/>
        <v>1.9389200201571041E-3</v>
      </c>
      <c r="Z27" s="10">
        <f t="shared" si="6"/>
        <v>3.5576514131323004E-5</v>
      </c>
      <c r="AA27" s="10">
        <f t="shared" si="1"/>
        <v>6.6928317209551391E-3</v>
      </c>
      <c r="AB27" s="10">
        <f t="shared" si="2"/>
        <v>3.4442512743387083E-2</v>
      </c>
      <c r="AC27" s="10">
        <f t="shared" si="24"/>
        <v>1.9744965342884269E-3</v>
      </c>
      <c r="AD27" s="10">
        <f t="shared" si="7"/>
        <v>4.3011272677342394E-2</v>
      </c>
      <c r="AE27" s="10">
        <f t="shared" si="8"/>
        <v>1.9344867843327097E-3</v>
      </c>
      <c r="AF27" s="10">
        <f t="shared" si="9"/>
        <v>3.5495170354728613E-5</v>
      </c>
      <c r="AG27" s="10">
        <f t="shared" si="10"/>
        <v>6.6775289229833203E-3</v>
      </c>
      <c r="AH27" s="10">
        <f t="shared" si="11"/>
        <v>3.4363761799671641E-2</v>
      </c>
      <c r="AI27" s="10">
        <f t="shared" si="25"/>
        <v>1.9699819546874385E-3</v>
      </c>
      <c r="AJ27" s="22">
        <f t="shared" si="36"/>
        <v>1.4589689677348612E-3</v>
      </c>
      <c r="AK27">
        <f t="shared" si="37"/>
        <v>2.6050761758145309E-3</v>
      </c>
      <c r="AL27" s="25">
        <f t="shared" si="38"/>
        <v>1.4233924536035383E-3</v>
      </c>
      <c r="AM27" s="6">
        <f>AK27+AM25</f>
        <v>3.3533496659896952E-2</v>
      </c>
      <c r="AN27" s="6">
        <f>AL27+AN25</f>
        <v>1.2465034176909716E-2</v>
      </c>
      <c r="AO27" s="6">
        <f>AJ27+AO25</f>
        <v>1.2863328236744182E-2</v>
      </c>
      <c r="AP27" s="19">
        <f t="shared" si="34"/>
        <v>1.0048965846706641</v>
      </c>
      <c r="AQ27" s="7">
        <f t="shared" si="26"/>
        <v>4917.7057974004556</v>
      </c>
      <c r="AR27" s="10">
        <f t="shared" si="27"/>
        <v>25.719601320404383</v>
      </c>
      <c r="AS27" s="6">
        <f t="shared" si="28"/>
        <v>2.5205209293996294E-3</v>
      </c>
      <c r="AT27" s="6">
        <f t="shared" si="12"/>
        <v>4906.4617289044791</v>
      </c>
      <c r="AU27" s="6">
        <f t="shared" si="13"/>
        <v>25.660794842170425</v>
      </c>
      <c r="AV27" s="6">
        <f t="shared" si="14"/>
        <v>2.5147578945327017E-3</v>
      </c>
      <c r="AW27" s="6">
        <f t="shared" si="29"/>
        <v>1.8503550599093357E-3</v>
      </c>
      <c r="AX27" s="52">
        <f t="shared" si="30"/>
        <v>2.5947301231240595E-3</v>
      </c>
      <c r="AY27" s="53">
        <f t="shared" si="15"/>
        <v>0.20270301673724711</v>
      </c>
      <c r="AZ27" s="54">
        <f t="shared" si="35"/>
        <v>1.2075996014079111</v>
      </c>
      <c r="BA27" s="23">
        <f t="shared" si="16"/>
        <v>0.79574743167018713</v>
      </c>
      <c r="BB27"/>
      <c r="BC27"/>
      <c r="BD27"/>
    </row>
    <row r="28" spans="1:56" ht="15" customHeight="1" x14ac:dyDescent="0.3">
      <c r="A28" t="s">
        <v>125</v>
      </c>
      <c r="B28">
        <v>2</v>
      </c>
      <c r="C28" s="2">
        <v>45056</v>
      </c>
      <c r="D28" s="11">
        <v>0.4597222222222222</v>
      </c>
      <c r="E28" s="15">
        <v>1008.4</v>
      </c>
      <c r="F28">
        <v>1116.5999999999999</v>
      </c>
      <c r="G28">
        <v>1113.3</v>
      </c>
      <c r="H28">
        <v>0</v>
      </c>
      <c r="I28">
        <v>0.59</v>
      </c>
      <c r="J28">
        <v>20.170000000000002</v>
      </c>
      <c r="K28">
        <v>74.819999999999993</v>
      </c>
      <c r="L28">
        <v>1</v>
      </c>
      <c r="N28" t="s">
        <v>99</v>
      </c>
      <c r="O28">
        <v>869.52</v>
      </c>
      <c r="P28" s="3">
        <f t="shared" si="4"/>
        <v>45056.459722222222</v>
      </c>
      <c r="Q28" s="4">
        <f t="shared" si="5"/>
        <v>21.818055555551837</v>
      </c>
      <c r="R28">
        <f t="shared" si="17"/>
        <v>95.58</v>
      </c>
      <c r="S28">
        <f t="shared" si="18"/>
        <v>0</v>
      </c>
      <c r="T28">
        <f t="shared" si="19"/>
        <v>0.61728395061728392</v>
      </c>
      <c r="U28">
        <f t="shared" si="20"/>
        <v>21.102741159238338</v>
      </c>
      <c r="V28">
        <f t="shared" si="21"/>
        <v>78.279974890144373</v>
      </c>
      <c r="W28">
        <f t="shared" si="22"/>
        <v>100</v>
      </c>
      <c r="X28" s="6">
        <f t="shared" si="23"/>
        <v>4.4024555020185631E-2</v>
      </c>
      <c r="Y28" s="6">
        <f t="shared" si="0"/>
        <v>2.7175651247028166E-4</v>
      </c>
      <c r="Z28" s="6">
        <f t="shared" si="6"/>
        <v>0</v>
      </c>
      <c r="AA28" s="6">
        <f t="shared" si="1"/>
        <v>9.2903878924162405E-3</v>
      </c>
      <c r="AB28" s="6">
        <f t="shared" si="2"/>
        <v>3.4462410615299109E-2</v>
      </c>
      <c r="AC28" s="6">
        <f>Y28+Z28</f>
        <v>2.7175651247028166E-4</v>
      </c>
      <c r="AD28" s="6">
        <f t="shared" si="7"/>
        <v>4.3894444836085136E-2</v>
      </c>
      <c r="AE28" s="6">
        <f t="shared" si="8"/>
        <v>2.7095336318571072E-4</v>
      </c>
      <c r="AF28" s="6">
        <f t="shared" si="9"/>
        <v>0</v>
      </c>
      <c r="AG28" s="6">
        <f t="shared" si="10"/>
        <v>9.262931077043705E-3</v>
      </c>
      <c r="AH28" s="6">
        <f t="shared" si="11"/>
        <v>3.4360560395855722E-2</v>
      </c>
      <c r="AI28" s="6">
        <f>AE28+AF28</f>
        <v>2.7095336318571072E-4</v>
      </c>
      <c r="AJ28" s="22"/>
      <c r="AL28" s="25"/>
      <c r="AM28" s="6"/>
      <c r="AN28" s="6"/>
      <c r="AO28" s="6"/>
      <c r="AP28" s="19"/>
      <c r="AQ28">
        <f>F28*100*T28/100</f>
        <v>689.25925925925912</v>
      </c>
      <c r="AR28" s="6">
        <f t="shared" si="27"/>
        <v>3.6048259259259252</v>
      </c>
      <c r="AS28" s="6">
        <f t="shared" si="28"/>
        <v>3.5327294074074069E-4</v>
      </c>
      <c r="AT28" s="6">
        <f t="shared" si="12"/>
        <v>687.22222222222217</v>
      </c>
      <c r="AU28" s="6">
        <f t="shared" si="13"/>
        <v>3.5941722222222223</v>
      </c>
      <c r="AV28" s="6">
        <f t="shared" si="14"/>
        <v>3.5222887777777777E-4</v>
      </c>
      <c r="AW28" s="6">
        <f t="shared" si="29"/>
        <v>-2.1614849537919612E-3</v>
      </c>
      <c r="AX28" s="52">
        <f t="shared" si="30"/>
        <v>4.3324516933209833E-4</v>
      </c>
      <c r="AY28" s="53">
        <f t="shared" si="15"/>
        <v>3.3845563370081905E-2</v>
      </c>
      <c r="AZ28" s="54"/>
      <c r="BA28" s="23">
        <f t="shared" si="16"/>
        <v>0</v>
      </c>
    </row>
    <row r="29" spans="1:56" ht="15" customHeight="1" x14ac:dyDescent="0.3">
      <c r="A29" t="s">
        <v>125</v>
      </c>
      <c r="B29">
        <v>2</v>
      </c>
      <c r="C29" s="2">
        <v>45058</v>
      </c>
      <c r="D29" s="11">
        <v>0.40763888888888888</v>
      </c>
      <c r="E29" s="15">
        <v>1014.8</v>
      </c>
      <c r="F29">
        <v>1082.3</v>
      </c>
      <c r="G29">
        <v>1078.8</v>
      </c>
      <c r="H29">
        <v>0.01</v>
      </c>
      <c r="I29">
        <v>3.46</v>
      </c>
      <c r="J29">
        <v>15.75</v>
      </c>
      <c r="K29">
        <v>77.510000000000005</v>
      </c>
      <c r="L29">
        <v>0</v>
      </c>
      <c r="N29" t="s">
        <v>99</v>
      </c>
      <c r="P29" s="8">
        <f t="shared" si="4"/>
        <v>45058.407638888886</v>
      </c>
      <c r="Q29" s="9">
        <f t="shared" si="5"/>
        <v>23.765972222216078</v>
      </c>
      <c r="R29">
        <f t="shared" si="17"/>
        <v>96.73</v>
      </c>
      <c r="S29">
        <f t="shared" si="18"/>
        <v>1.0338054378166029E-2</v>
      </c>
      <c r="T29">
        <f t="shared" si="19"/>
        <v>3.5769668148454459</v>
      </c>
      <c r="U29">
        <f t="shared" si="20"/>
        <v>16.282435645611496</v>
      </c>
      <c r="V29">
        <f t="shared" si="21"/>
        <v>80.130259485164899</v>
      </c>
      <c r="W29">
        <f t="shared" si="22"/>
        <v>100</v>
      </c>
      <c r="X29" s="6">
        <f t="shared" si="23"/>
        <v>4.2672197652110798E-2</v>
      </c>
      <c r="Y29" s="6">
        <f t="shared" si="0"/>
        <v>1.5263703491812607E-3</v>
      </c>
      <c r="Z29" s="6">
        <f t="shared" si="6"/>
        <v>4.4114749976337016E-6</v>
      </c>
      <c r="AA29" s="6">
        <f t="shared" si="1"/>
        <v>6.9480731212730809E-3</v>
      </c>
      <c r="AB29" s="6">
        <f t="shared" si="2"/>
        <v>3.419334270665883E-2</v>
      </c>
      <c r="AC29" s="6">
        <f t="shared" ref="AC29:AC32" si="44">Y29+Z29</f>
        <v>1.5307818241788943E-3</v>
      </c>
      <c r="AD29" s="6">
        <f t="shared" si="7"/>
        <v>4.2534202002307238E-2</v>
      </c>
      <c r="AE29" s="6">
        <f t="shared" si="8"/>
        <v>1.5214342905818571E-3</v>
      </c>
      <c r="AF29" s="6">
        <f t="shared" si="9"/>
        <v>4.3972089323175059E-6</v>
      </c>
      <c r="AG29" s="6">
        <f t="shared" si="10"/>
        <v>6.9256040684000722E-3</v>
      </c>
      <c r="AH29" s="6">
        <f t="shared" si="11"/>
        <v>3.4082766434392994E-2</v>
      </c>
      <c r="AI29" s="6">
        <f t="shared" ref="AI29:AI32" si="45">AE29+AF29</f>
        <v>1.5258314995141747E-3</v>
      </c>
      <c r="AJ29" s="22">
        <f t="shared" ref="AJ29" si="46">AC29-AI28</f>
        <v>1.2598284609931837E-3</v>
      </c>
      <c r="AK29">
        <f t="shared" ref="AK29" si="47">(AA29-AG28)*-1</f>
        <v>2.3148579557706241E-3</v>
      </c>
      <c r="AL29" s="25">
        <f t="shared" ref="AL29" si="48">Y29-AE28</f>
        <v>1.25541698599555E-3</v>
      </c>
      <c r="AM29" s="6">
        <f>AK29+AM27</f>
        <v>3.5848354615667578E-2</v>
      </c>
      <c r="AN29" s="6">
        <f>AL29+AN27</f>
        <v>1.3720451162905265E-2</v>
      </c>
      <c r="AO29" s="6">
        <f>AJ29+AO27</f>
        <v>1.4123156697737366E-2</v>
      </c>
      <c r="AP29" s="19">
        <f t="shared" si="34"/>
        <v>1.103315694750326</v>
      </c>
      <c r="AQ29">
        <f t="shared" ref="AQ29:AQ32" si="49">F29*100*T29/100</f>
        <v>3871.3511837072265</v>
      </c>
      <c r="AR29" s="6">
        <f t="shared" si="27"/>
        <v>20.247166690788795</v>
      </c>
      <c r="AS29" s="6">
        <f t="shared" si="28"/>
        <v>1.9842223356973019E-3</v>
      </c>
      <c r="AT29" s="6">
        <f t="shared" si="12"/>
        <v>3858.831799855267</v>
      </c>
      <c r="AU29" s="6">
        <f t="shared" si="13"/>
        <v>20.181690313243049</v>
      </c>
      <c r="AV29" s="6">
        <f t="shared" si="14"/>
        <v>1.9778056506978186E-3</v>
      </c>
      <c r="AW29" s="6">
        <f t="shared" si="29"/>
        <v>1.6319934579195241E-3</v>
      </c>
      <c r="AX29" s="52">
        <f t="shared" si="30"/>
        <v>2.0652386272516227E-3</v>
      </c>
      <c r="AY29" s="53">
        <f t="shared" si="15"/>
        <v>0.16133859020458111</v>
      </c>
      <c r="AZ29" s="54">
        <f t="shared" si="35"/>
        <v>1.2646542849549072</v>
      </c>
      <c r="BA29" s="23">
        <f t="shared" si="16"/>
        <v>0.80170727395163155</v>
      </c>
    </row>
    <row r="30" spans="1:56" ht="15" customHeight="1" x14ac:dyDescent="0.3">
      <c r="A30" t="s">
        <v>125</v>
      </c>
      <c r="B30">
        <v>2</v>
      </c>
      <c r="C30" s="2">
        <v>45058</v>
      </c>
      <c r="D30" s="11">
        <v>0.44027777777777777</v>
      </c>
      <c r="E30" s="15">
        <v>1015.1</v>
      </c>
      <c r="F30">
        <v>1122.4000000000001</v>
      </c>
      <c r="G30">
        <v>1118.9000000000001</v>
      </c>
      <c r="H30">
        <v>0</v>
      </c>
      <c r="I30">
        <v>0.56000000000000005</v>
      </c>
      <c r="J30">
        <v>20.25</v>
      </c>
      <c r="K30">
        <v>75.19</v>
      </c>
      <c r="L30">
        <v>1</v>
      </c>
      <c r="N30" t="s">
        <v>99</v>
      </c>
      <c r="O30">
        <v>869.43</v>
      </c>
      <c r="P30" s="3">
        <f t="shared" si="4"/>
        <v>45058.44027777778</v>
      </c>
      <c r="Q30" s="4">
        <f t="shared" si="5"/>
        <v>23.798611111109494</v>
      </c>
      <c r="R30">
        <f t="shared" si="17"/>
        <v>96</v>
      </c>
      <c r="S30">
        <f t="shared" si="18"/>
        <v>0</v>
      </c>
      <c r="T30">
        <f t="shared" si="19"/>
        <v>0.58333333333333337</v>
      </c>
      <c r="U30">
        <f t="shared" si="20"/>
        <v>21.09375</v>
      </c>
      <c r="V30">
        <f t="shared" si="21"/>
        <v>78.322916666666671</v>
      </c>
      <c r="W30">
        <f t="shared" si="22"/>
        <v>100</v>
      </c>
      <c r="X30" s="10">
        <f t="shared" si="23"/>
        <v>4.4253233525574392E-2</v>
      </c>
      <c r="Y30" s="10">
        <f t="shared" si="0"/>
        <v>2.5814386223251733E-4</v>
      </c>
      <c r="Z30" s="10">
        <f t="shared" si="6"/>
        <v>0</v>
      </c>
      <c r="AA30" s="10">
        <f t="shared" si="1"/>
        <v>9.3346664468008482E-3</v>
      </c>
      <c r="AB30" s="10">
        <f t="shared" si="2"/>
        <v>3.4660423216541031E-2</v>
      </c>
      <c r="AC30" s="10">
        <f t="shared" si="44"/>
        <v>2.5814386223251733E-4</v>
      </c>
      <c r="AD30" s="10">
        <f t="shared" si="7"/>
        <v>4.4115237875770832E-2</v>
      </c>
      <c r="AE30" s="10">
        <f t="shared" si="8"/>
        <v>2.5733888760866319E-4</v>
      </c>
      <c r="AF30" s="10">
        <f t="shared" si="9"/>
        <v>0</v>
      </c>
      <c r="AG30" s="10">
        <f t="shared" si="10"/>
        <v>9.3055579894204092E-3</v>
      </c>
      <c r="AH30" s="10">
        <f t="shared" si="11"/>
        <v>3.4552340998741757E-2</v>
      </c>
      <c r="AI30" s="10">
        <f t="shared" si="45"/>
        <v>2.5733888760866319E-4</v>
      </c>
      <c r="AJ30" s="22"/>
      <c r="AL30" s="25"/>
      <c r="AM30" s="6"/>
      <c r="AN30" s="6"/>
      <c r="AO30" s="6"/>
      <c r="AP30" s="19"/>
      <c r="AQ30" s="7">
        <f t="shared" si="49"/>
        <v>654.73333333333346</v>
      </c>
      <c r="AR30" s="10">
        <f t="shared" si="27"/>
        <v>3.4242553333333343</v>
      </c>
      <c r="AS30" s="6">
        <f t="shared" si="28"/>
        <v>3.3557702266666676E-4</v>
      </c>
      <c r="AT30" s="6">
        <f t="shared" si="12"/>
        <v>652.69166666666683</v>
      </c>
      <c r="AU30" s="6">
        <f t="shared" si="13"/>
        <v>3.4135774166666679</v>
      </c>
      <c r="AV30" s="6">
        <f t="shared" si="14"/>
        <v>3.3453058683333348E-4</v>
      </c>
      <c r="AW30" s="6">
        <f t="shared" si="29"/>
        <v>-1.6422286280311517E-3</v>
      </c>
      <c r="AX30" s="52">
        <f t="shared" si="30"/>
        <v>4.2300999922047092E-4</v>
      </c>
      <c r="AY30" s="53">
        <f t="shared" si="15"/>
        <v>3.3045981232442158E-2</v>
      </c>
      <c r="AZ30" s="54"/>
      <c r="BA30" s="23">
        <f t="shared" si="16"/>
        <v>0</v>
      </c>
    </row>
    <row r="31" spans="1:56" ht="15" customHeight="1" x14ac:dyDescent="0.3">
      <c r="A31" t="s">
        <v>125</v>
      </c>
      <c r="B31">
        <v>2</v>
      </c>
      <c r="C31" s="2">
        <v>45061</v>
      </c>
      <c r="D31" s="11">
        <v>0.43541666666666662</v>
      </c>
      <c r="E31" s="15">
        <v>1012.8</v>
      </c>
      <c r="F31">
        <v>1080.9000000000001</v>
      </c>
      <c r="G31">
        <v>1077.4000000000001</v>
      </c>
      <c r="H31">
        <v>0.04</v>
      </c>
      <c r="I31">
        <v>3.74</v>
      </c>
      <c r="J31">
        <v>14.91</v>
      </c>
      <c r="K31">
        <v>79.430000000000007</v>
      </c>
      <c r="L31">
        <v>0</v>
      </c>
      <c r="N31" t="s">
        <v>99</v>
      </c>
      <c r="P31" s="3">
        <f t="shared" si="4"/>
        <v>45061.435416666667</v>
      </c>
      <c r="Q31" s="4">
        <f t="shared" si="5"/>
        <v>26.79374999999709</v>
      </c>
      <c r="R31">
        <f t="shared" si="17"/>
        <v>98.12</v>
      </c>
      <c r="S31">
        <f t="shared" si="18"/>
        <v>4.0766408479412965E-2</v>
      </c>
      <c r="T31">
        <f t="shared" si="19"/>
        <v>3.811659192825112</v>
      </c>
      <c r="U31">
        <f t="shared" si="20"/>
        <v>15.195678760701181</v>
      </c>
      <c r="V31">
        <f t="shared" si="21"/>
        <v>80.951895637994298</v>
      </c>
      <c r="W31">
        <f t="shared" si="22"/>
        <v>100</v>
      </c>
      <c r="X31" s="10">
        <f t="shared" si="23"/>
        <v>4.2616999392189374E-2</v>
      </c>
      <c r="Y31" s="10">
        <f t="shared" si="0"/>
        <v>1.6244147750386084E-3</v>
      </c>
      <c r="Z31" s="10">
        <f t="shared" si="6"/>
        <v>1.737342005388886E-5</v>
      </c>
      <c r="AA31" s="10">
        <f t="shared" si="1"/>
        <v>6.475942325087072E-3</v>
      </c>
      <c r="AB31" s="10">
        <f t="shared" si="2"/>
        <v>3.4499268872009804E-2</v>
      </c>
      <c r="AC31" s="10">
        <f t="shared" si="44"/>
        <v>1.6417881950924972E-3</v>
      </c>
      <c r="AD31" s="10">
        <f t="shared" si="7"/>
        <v>4.2479003742385821E-2</v>
      </c>
      <c r="AE31" s="10">
        <f t="shared" si="8"/>
        <v>1.6191548511671724E-3</v>
      </c>
      <c r="AF31" s="10">
        <f t="shared" si="9"/>
        <v>1.7317164183606123E-5</v>
      </c>
      <c r="AG31" s="10">
        <f t="shared" si="10"/>
        <v>6.4549729494391816E-3</v>
      </c>
      <c r="AH31" s="10">
        <f t="shared" si="11"/>
        <v>3.4387558777595861E-2</v>
      </c>
      <c r="AI31" s="10">
        <f t="shared" si="45"/>
        <v>1.6364720153507785E-3</v>
      </c>
      <c r="AJ31" s="22">
        <f t="shared" si="36"/>
        <v>1.384449307483834E-3</v>
      </c>
      <c r="AK31">
        <f t="shared" si="37"/>
        <v>2.8296156643333372E-3</v>
      </c>
      <c r="AL31" s="25">
        <f t="shared" si="38"/>
        <v>1.3670758874299452E-3</v>
      </c>
      <c r="AM31" s="6">
        <f>AK31+AM29</f>
        <v>3.8677970280000917E-2</v>
      </c>
      <c r="AN31" s="6">
        <f>AL31+AN29</f>
        <v>1.5087527050335212E-2</v>
      </c>
      <c r="AO31" s="6">
        <f>AJ31+AO29</f>
        <v>1.55076060052212E-2</v>
      </c>
      <c r="AP31" s="19">
        <f t="shared" si="34"/>
        <v>1.2114703150115209</v>
      </c>
      <c r="AQ31">
        <f t="shared" si="49"/>
        <v>4120.0224215246644</v>
      </c>
      <c r="AR31" s="6">
        <f t="shared" si="27"/>
        <v>21.547717264573997</v>
      </c>
      <c r="AS31" s="6">
        <f t="shared" si="28"/>
        <v>2.1116762919282518E-3</v>
      </c>
      <c r="AT31" s="6">
        <f t="shared" si="12"/>
        <v>4106.6816143497763</v>
      </c>
      <c r="AU31" s="6">
        <f t="shared" si="13"/>
        <v>21.477944843049332</v>
      </c>
      <c r="AV31" s="6">
        <f t="shared" si="14"/>
        <v>2.1048385946188346E-3</v>
      </c>
      <c r="AW31" s="6">
        <f t="shared" si="29"/>
        <v>1.7771457050949184E-3</v>
      </c>
      <c r="AX31" s="52">
        <f t="shared" si="30"/>
        <v>2.2001557043153895E-3</v>
      </c>
      <c r="AY31" s="53">
        <f t="shared" si="15"/>
        <v>0.17187845263053161</v>
      </c>
      <c r="AZ31" s="54">
        <f t="shared" si="35"/>
        <v>1.3833487676420526</v>
      </c>
      <c r="BA31" s="23">
        <f t="shared" si="16"/>
        <v>0.89994155343902071</v>
      </c>
    </row>
    <row r="32" spans="1:56" ht="15" customHeight="1" x14ac:dyDescent="0.3">
      <c r="A32" t="s">
        <v>125</v>
      </c>
      <c r="B32">
        <v>2</v>
      </c>
      <c r="C32" s="2">
        <v>45061</v>
      </c>
      <c r="D32" s="11">
        <v>0.46597222222222223</v>
      </c>
      <c r="E32" s="15">
        <v>1012.8</v>
      </c>
      <c r="F32">
        <v>1121.2</v>
      </c>
      <c r="G32">
        <v>1117.5999999999999</v>
      </c>
      <c r="H32">
        <v>0</v>
      </c>
      <c r="I32">
        <v>0.62</v>
      </c>
      <c r="J32">
        <v>20.39</v>
      </c>
      <c r="K32">
        <v>75.760000000000005</v>
      </c>
      <c r="L32">
        <v>1</v>
      </c>
      <c r="N32" t="s">
        <v>99</v>
      </c>
      <c r="O32">
        <v>869.35</v>
      </c>
      <c r="P32" s="3">
        <f t="shared" si="4"/>
        <v>45061.46597222222</v>
      </c>
      <c r="Q32" s="4">
        <f t="shared" si="5"/>
        <v>26.824305555550382</v>
      </c>
      <c r="R32">
        <f t="shared" si="17"/>
        <v>96.77000000000001</v>
      </c>
      <c r="S32">
        <f t="shared" si="18"/>
        <v>0</v>
      </c>
      <c r="T32">
        <f t="shared" si="19"/>
        <v>0.64069443009197058</v>
      </c>
      <c r="U32">
        <f t="shared" si="20"/>
        <v>21.070579725121419</v>
      </c>
      <c r="V32">
        <f t="shared" si="21"/>
        <v>78.288725844786612</v>
      </c>
      <c r="W32">
        <f t="shared" si="22"/>
        <v>100</v>
      </c>
      <c r="X32" s="10">
        <f t="shared" si="23"/>
        <v>4.420592073135602E-2</v>
      </c>
      <c r="Y32" s="10">
        <f t="shared" si="0"/>
        <v>2.8322487189666972E-4</v>
      </c>
      <c r="Z32" s="10">
        <f t="shared" si="6"/>
        <v>0</v>
      </c>
      <c r="AA32" s="10">
        <f t="shared" si="1"/>
        <v>9.3144437709243473E-3</v>
      </c>
      <c r="AB32" s="10">
        <f t="shared" si="2"/>
        <v>3.4608252088535005E-2</v>
      </c>
      <c r="AC32" s="10">
        <f t="shared" si="44"/>
        <v>2.8322487189666972E-4</v>
      </c>
      <c r="AD32" s="10">
        <f t="shared" si="7"/>
        <v>4.4063982348700931E-2</v>
      </c>
      <c r="AE32" s="10">
        <f t="shared" si="8"/>
        <v>2.8231548058483597E-4</v>
      </c>
      <c r="AF32" s="10">
        <f t="shared" si="9"/>
        <v>0</v>
      </c>
      <c r="AG32" s="10">
        <f t="shared" si="10"/>
        <v>9.2845365308464583E-3</v>
      </c>
      <c r="AH32" s="10">
        <f t="shared" si="11"/>
        <v>3.4497130337269637E-2</v>
      </c>
      <c r="AI32" s="10">
        <f t="shared" si="45"/>
        <v>2.8231548058483597E-4</v>
      </c>
      <c r="AJ32" s="22"/>
      <c r="AL32" s="25"/>
      <c r="AM32" s="6"/>
      <c r="AN32" s="6"/>
      <c r="AO32" s="6"/>
      <c r="AP32" s="19"/>
      <c r="AQ32">
        <f t="shared" si="49"/>
        <v>718.34659501911733</v>
      </c>
      <c r="AR32" s="6">
        <f t="shared" si="27"/>
        <v>3.756952691949984</v>
      </c>
      <c r="AS32" s="6">
        <f t="shared" si="28"/>
        <v>3.6818136381109847E-4</v>
      </c>
      <c r="AT32" s="6">
        <f t="shared" si="12"/>
        <v>716.04009507078615</v>
      </c>
      <c r="AU32" s="6">
        <f t="shared" si="13"/>
        <v>3.7448896972202119</v>
      </c>
      <c r="AV32" s="6">
        <f t="shared" si="14"/>
        <v>3.6699919032758075E-4</v>
      </c>
      <c r="AW32" s="6">
        <f t="shared" si="29"/>
        <v>-1.7366572308077362E-3</v>
      </c>
      <c r="AX32" s="52">
        <f t="shared" si="30"/>
        <v>4.6349847350765335E-4</v>
      </c>
      <c r="AY32" s="53">
        <f t="shared" si="15"/>
        <v>3.6208982967365917E-2</v>
      </c>
      <c r="AZ32" s="54"/>
      <c r="BA32" s="23">
        <f t="shared" si="16"/>
        <v>0</v>
      </c>
    </row>
    <row r="33" spans="1:53" ht="15" customHeight="1" x14ac:dyDescent="0.3">
      <c r="A33" t="s">
        <v>125</v>
      </c>
      <c r="B33">
        <v>2</v>
      </c>
      <c r="C33" s="2">
        <v>45063</v>
      </c>
      <c r="D33" s="11">
        <v>0.40208333333333335</v>
      </c>
      <c r="E33" s="15">
        <v>1025.5</v>
      </c>
      <c r="F33">
        <v>1098</v>
      </c>
      <c r="G33">
        <v>1095.2</v>
      </c>
      <c r="H33">
        <v>0.01</v>
      </c>
      <c r="I33">
        <v>2.4900000000000002</v>
      </c>
      <c r="J33">
        <v>17.43</v>
      </c>
      <c r="K33">
        <v>78.08</v>
      </c>
      <c r="L33">
        <v>0</v>
      </c>
      <c r="N33" t="s">
        <v>99</v>
      </c>
      <c r="P33" s="3">
        <f t="shared" ref="P33:P36" si="50">C33+D33</f>
        <v>45063.402083333334</v>
      </c>
      <c r="Q33" s="4">
        <f t="shared" ref="Q33:Q36" si="51">P33-$P$13</f>
        <v>28.760416666664241</v>
      </c>
      <c r="R33">
        <f t="shared" ref="R33:R36" si="52">SUM(H33:K33)</f>
        <v>98.009999999999991</v>
      </c>
      <c r="S33">
        <f t="shared" ref="S33:S36" si="53">H33 * 100/R33</f>
        <v>1.020304050607081E-2</v>
      </c>
      <c r="T33">
        <f t="shared" ref="T33:T36" si="54">I33* 100/R33</f>
        <v>2.5405570860116318</v>
      </c>
      <c r="U33">
        <f t="shared" ref="U33:U36" si="55">J33* 100/R33</f>
        <v>17.783899602081423</v>
      </c>
      <c r="V33">
        <f t="shared" ref="V33:V36" si="56">K33* 100/R33</f>
        <v>79.665340271400879</v>
      </c>
      <c r="W33">
        <f t="shared" ref="W33:W36" si="57">SUM(S33:V33)</f>
        <v>100</v>
      </c>
      <c r="X33" s="10">
        <f t="shared" ref="X33:X36" si="58">F33*100*$D$3/($D$1*$D$2)</f>
        <v>4.3291206709801029E-2</v>
      </c>
      <c r="Y33" s="10">
        <f t="shared" ref="Y33:Y36" si="59">X33*T33/100</f>
        <v>1.099837819685793E-3</v>
      </c>
      <c r="Z33" s="10">
        <f t="shared" ref="Z33:Z36" si="60">X33*S33/100</f>
        <v>4.4170193561678435E-6</v>
      </c>
      <c r="AA33" s="10">
        <f t="shared" ref="AA33:AA36" si="61">X33*U33/100</f>
        <v>7.6988647378005513E-3</v>
      </c>
      <c r="AB33" s="10">
        <f t="shared" ref="AB33:AB36" si="62">X33*V33/100</f>
        <v>3.448808713295852E-2</v>
      </c>
      <c r="AC33" s="10">
        <f t="shared" ref="AC33:AC36" si="63">Y33+Z33</f>
        <v>1.1042548390419607E-3</v>
      </c>
      <c r="AD33" s="10">
        <f t="shared" ref="AD33:AD36" si="64">G33*100*$D$3/($D$1*$D$2)</f>
        <v>4.3180810189958188E-2</v>
      </c>
      <c r="AE33" s="10">
        <f t="shared" ref="AE33:AE36" si="65">AD33*T33/100</f>
        <v>1.0970331330782156E-3</v>
      </c>
      <c r="AF33" s="10">
        <f t="shared" ref="AF33:AF36" si="66">AD33*S33/100</f>
        <v>4.4057555545309861E-6</v>
      </c>
      <c r="AG33" s="10">
        <f t="shared" ref="AG33:AG36" si="67">AD33*U33/100</f>
        <v>7.6792319315475092E-3</v>
      </c>
      <c r="AH33" s="10">
        <f t="shared" ref="AH33:AH36" si="68">AD33*V33/100</f>
        <v>3.4400139369777934E-2</v>
      </c>
      <c r="AI33" s="10">
        <f t="shared" ref="AI33:AI36" si="69">AE33+AF33</f>
        <v>1.1014388886327465E-3</v>
      </c>
      <c r="AJ33" s="22">
        <f t="shared" ref="AJ33" si="70">AC33-AI32</f>
        <v>8.2193935845712471E-4</v>
      </c>
      <c r="AK33">
        <f t="shared" ref="AK33" si="71">(AA33-AG32)*-1</f>
        <v>1.585671793045907E-3</v>
      </c>
      <c r="AL33" s="25">
        <f t="shared" ref="AL33" si="72">Y33-AE32</f>
        <v>8.1752233910095695E-4</v>
      </c>
      <c r="AM33" s="6">
        <f>AK33+AM31</f>
        <v>4.0263642073046821E-2</v>
      </c>
      <c r="AN33" s="6">
        <f>AL33+AN31</f>
        <v>1.5905049389436168E-2</v>
      </c>
      <c r="AO33" s="6">
        <f>AJ33+AO31</f>
        <v>1.6329545363678324E-2</v>
      </c>
      <c r="AP33" s="19">
        <f t="shared" si="34"/>
        <v>1.2756810728277281</v>
      </c>
      <c r="AQ33">
        <f t="shared" ref="AQ33:AQ36" si="73">F33*100*T33/100</f>
        <v>2789.5316804407717</v>
      </c>
      <c r="AR33" s="6">
        <f t="shared" ref="AR33:AR36" si="74">AQ33*$D$7</f>
        <v>14.589250688705237</v>
      </c>
      <c r="AS33" s="6">
        <f t="shared" ref="AS33:AS36" si="75">AR33*$D$5/1000</f>
        <v>1.4297465674931135E-3</v>
      </c>
      <c r="AT33" s="6">
        <f t="shared" ref="AT33:AT36" si="76">G33*100*T33/100</f>
        <v>2782.4181205999394</v>
      </c>
      <c r="AU33" s="6">
        <f t="shared" ref="AU33:AU36" si="77">AT33*$D$7</f>
        <v>14.552046770737684</v>
      </c>
      <c r="AV33" s="6">
        <f t="shared" ref="AV33:AV36" si="78">AU33*$D$5/1000</f>
        <v>1.426100583532293E-3</v>
      </c>
      <c r="AW33" s="6">
        <f t="shared" ref="AW33:AW36" si="79">AS33-AV32</f>
        <v>1.0627473771655327E-3</v>
      </c>
      <c r="AX33" s="52">
        <f t="shared" ref="AX33:AX36" si="80">AW33+AX32</f>
        <v>1.526245850673186E-3</v>
      </c>
      <c r="AY33" s="53">
        <f t="shared" ref="AY33:AY36" si="81">(AX33*$D$4*1000/$D$6)</f>
        <v>0.11923191373817066</v>
      </c>
      <c r="AZ33" s="54">
        <f t="shared" si="35"/>
        <v>1.3949129865658989</v>
      </c>
      <c r="BA33" s="23">
        <f t="shared" ref="BA33:BA36" si="82">AK33/(AL33+AW33)</f>
        <v>0.84332145506999734</v>
      </c>
    </row>
    <row r="34" spans="1:53" ht="15" customHeight="1" x14ac:dyDescent="0.3">
      <c r="A34" t="s">
        <v>125</v>
      </c>
      <c r="B34">
        <v>2</v>
      </c>
      <c r="C34" s="2">
        <v>45063</v>
      </c>
      <c r="D34" s="11">
        <v>0.42638888888888887</v>
      </c>
      <c r="E34" s="15">
        <v>1025.8</v>
      </c>
      <c r="F34">
        <v>1134.9000000000001</v>
      </c>
      <c r="G34">
        <v>1130.8</v>
      </c>
      <c r="H34">
        <v>0</v>
      </c>
      <c r="I34">
        <v>0.32</v>
      </c>
      <c r="J34">
        <v>20.57</v>
      </c>
      <c r="K34">
        <v>76.260000000000005</v>
      </c>
      <c r="L34">
        <v>1</v>
      </c>
      <c r="N34" t="s">
        <v>99</v>
      </c>
      <c r="O34">
        <v>869.19</v>
      </c>
      <c r="P34" s="3">
        <f t="shared" si="50"/>
        <v>45063.426388888889</v>
      </c>
      <c r="Q34" s="4">
        <f t="shared" si="51"/>
        <v>28.784722222218988</v>
      </c>
      <c r="R34">
        <f t="shared" si="52"/>
        <v>97.15</v>
      </c>
      <c r="S34">
        <f t="shared" si="53"/>
        <v>0</v>
      </c>
      <c r="T34">
        <f t="shared" si="54"/>
        <v>0.32938754503345341</v>
      </c>
      <c r="U34">
        <f t="shared" si="55"/>
        <v>21.173443129181678</v>
      </c>
      <c r="V34">
        <f t="shared" si="56"/>
        <v>78.497169325784867</v>
      </c>
      <c r="W34">
        <f t="shared" si="57"/>
        <v>100</v>
      </c>
      <c r="X34" s="10">
        <f t="shared" si="58"/>
        <v>4.4746075132015659E-2</v>
      </c>
      <c r="Y34" s="10">
        <f t="shared" si="59"/>
        <v>1.4738799837617098E-4</v>
      </c>
      <c r="Z34" s="10">
        <f t="shared" si="60"/>
        <v>0</v>
      </c>
      <c r="AA34" s="10">
        <f t="shared" si="61"/>
        <v>9.4742847706182406E-3</v>
      </c>
      <c r="AB34" s="10">
        <f t="shared" si="62"/>
        <v>3.5124402363021251E-2</v>
      </c>
      <c r="AC34" s="10">
        <f t="shared" si="63"/>
        <v>1.4738799837617098E-4</v>
      </c>
      <c r="AD34" s="10">
        <f t="shared" si="64"/>
        <v>4.4584423085102916E-2</v>
      </c>
      <c r="AE34" s="10">
        <f t="shared" si="65"/>
        <v>1.4685553666734876E-4</v>
      </c>
      <c r="AF34" s="10">
        <f t="shared" si="66"/>
        <v>0</v>
      </c>
      <c r="AG34" s="10">
        <f t="shared" si="67"/>
        <v>9.4400574663980122E-3</v>
      </c>
      <c r="AH34" s="10">
        <f t="shared" si="68"/>
        <v>3.4997510082037553E-2</v>
      </c>
      <c r="AI34" s="10">
        <f t="shared" si="69"/>
        <v>1.4685553666734876E-4</v>
      </c>
      <c r="AJ34" s="22"/>
      <c r="AL34" s="25"/>
      <c r="AM34" s="6"/>
      <c r="AN34" s="6"/>
      <c r="AO34" s="6"/>
      <c r="AP34" s="19"/>
      <c r="AQ34">
        <f t="shared" si="73"/>
        <v>373.82192485846628</v>
      </c>
      <c r="AR34" s="6">
        <f t="shared" si="74"/>
        <v>1.9550886670097787</v>
      </c>
      <c r="AS34" s="6">
        <f t="shared" si="75"/>
        <v>1.9159868936695831E-4</v>
      </c>
      <c r="AT34" s="6">
        <f t="shared" si="76"/>
        <v>372.47143592382912</v>
      </c>
      <c r="AU34" s="6">
        <f t="shared" si="77"/>
        <v>1.9480256098816264</v>
      </c>
      <c r="AV34" s="6">
        <f t="shared" si="78"/>
        <v>1.9090650976839941E-4</v>
      </c>
      <c r="AW34" s="6">
        <f t="shared" si="79"/>
        <v>-1.2345018941653347E-3</v>
      </c>
      <c r="AX34" s="52">
        <f t="shared" si="80"/>
        <v>2.9174395650785135E-4</v>
      </c>
      <c r="AY34" s="53">
        <f t="shared" si="81"/>
        <v>2.2791341408485356E-2</v>
      </c>
      <c r="AZ34" s="54"/>
      <c r="BA34" s="23">
        <f t="shared" si="82"/>
        <v>0</v>
      </c>
    </row>
    <row r="35" spans="1:53" ht="15" customHeight="1" x14ac:dyDescent="0.3">
      <c r="A35" t="s">
        <v>125</v>
      </c>
      <c r="B35">
        <v>2</v>
      </c>
      <c r="C35" s="2">
        <v>45068</v>
      </c>
      <c r="D35" s="11">
        <v>0.62013888888888891</v>
      </c>
      <c r="E35" s="15">
        <v>1013.4</v>
      </c>
      <c r="F35">
        <v>1086.5999999999999</v>
      </c>
      <c r="G35">
        <v>1085.3</v>
      </c>
      <c r="H35">
        <v>0.25</v>
      </c>
      <c r="I35">
        <v>4.0999999999999996</v>
      </c>
      <c r="J35">
        <v>13.77</v>
      </c>
      <c r="K35">
        <v>80.19</v>
      </c>
      <c r="L35">
        <v>0</v>
      </c>
      <c r="N35" t="s">
        <v>99</v>
      </c>
      <c r="P35" s="3">
        <f t="shared" si="50"/>
        <v>45068.620138888888</v>
      </c>
      <c r="Q35" s="4">
        <f t="shared" si="51"/>
        <v>33.978472222217533</v>
      </c>
      <c r="R35">
        <f t="shared" si="52"/>
        <v>98.31</v>
      </c>
      <c r="S35">
        <f t="shared" si="53"/>
        <v>0.2542976299460889</v>
      </c>
      <c r="T35">
        <f t="shared" si="54"/>
        <v>4.1704811311158574</v>
      </c>
      <c r="U35">
        <f t="shared" si="55"/>
        <v>14.006713457430576</v>
      </c>
      <c r="V35">
        <f t="shared" si="56"/>
        <v>81.568507781507478</v>
      </c>
      <c r="W35">
        <f t="shared" si="57"/>
        <v>100</v>
      </c>
      <c r="X35" s="10">
        <f t="shared" si="58"/>
        <v>4.2841735164726585E-2</v>
      </c>
      <c r="Y35" s="10">
        <f t="shared" si="59"/>
        <v>1.7867064812875494E-3</v>
      </c>
      <c r="Z35" s="10">
        <f t="shared" si="60"/>
        <v>1.0894551715167985E-4</v>
      </c>
      <c r="AA35" s="10">
        <f t="shared" si="61"/>
        <v>6.000719084714526E-3</v>
      </c>
      <c r="AB35" s="10">
        <f t="shared" si="62"/>
        <v>3.4945364081572831E-2</v>
      </c>
      <c r="AC35" s="10">
        <f t="shared" si="63"/>
        <v>1.8956519984392292E-3</v>
      </c>
      <c r="AD35" s="10">
        <f t="shared" si="64"/>
        <v>4.2790479637656698E-2</v>
      </c>
      <c r="AE35" s="10">
        <f t="shared" si="65"/>
        <v>1.7845688792024455E-3</v>
      </c>
      <c r="AF35" s="10">
        <f t="shared" si="66"/>
        <v>1.0881517556112475E-4</v>
      </c>
      <c r="AG35" s="10">
        <f t="shared" si="67"/>
        <v>5.9935398699067508E-3</v>
      </c>
      <c r="AH35" s="10">
        <f t="shared" si="68"/>
        <v>3.4903555712986381E-2</v>
      </c>
      <c r="AI35" s="10">
        <f t="shared" si="69"/>
        <v>1.8933840547635703E-3</v>
      </c>
      <c r="AJ35" s="22">
        <f t="shared" ref="AJ35" si="83">AC35-AI34</f>
        <v>1.7487964617718804E-3</v>
      </c>
      <c r="AK35">
        <f t="shared" ref="AK35" si="84">(AA35-AG34)*-1</f>
        <v>3.4393383816834861E-3</v>
      </c>
      <c r="AL35" s="25">
        <f t="shared" ref="AL35" si="85">Y35-AE34</f>
        <v>1.6398509446202006E-3</v>
      </c>
      <c r="AM35" s="6">
        <f>AK35+AM33</f>
        <v>4.3702980454730304E-2</v>
      </c>
      <c r="AN35" s="6">
        <f>AL35+AN33</f>
        <v>1.7544900334056368E-2</v>
      </c>
      <c r="AO35" s="6">
        <f>AJ35+AO33</f>
        <v>1.8078341825450206E-2</v>
      </c>
      <c r="AP35" s="19">
        <f t="shared" si="34"/>
        <v>1.4122988718432889</v>
      </c>
      <c r="AQ35">
        <f t="shared" si="73"/>
        <v>4531.6447970704903</v>
      </c>
      <c r="AR35" s="6">
        <f t="shared" si="74"/>
        <v>23.700502288678667</v>
      </c>
      <c r="AS35" s="6">
        <f t="shared" si="75"/>
        <v>2.3226492242905093E-3</v>
      </c>
      <c r="AT35" s="6">
        <f t="shared" si="76"/>
        <v>4526.2231716000397</v>
      </c>
      <c r="AU35" s="6">
        <f t="shared" si="77"/>
        <v>23.672147187468209</v>
      </c>
      <c r="AV35" s="6">
        <f t="shared" si="78"/>
        <v>2.3198704243718848E-3</v>
      </c>
      <c r="AW35" s="6">
        <f t="shared" si="79"/>
        <v>2.1317427145221097E-3</v>
      </c>
      <c r="AX35" s="52">
        <f t="shared" si="80"/>
        <v>2.4234866710299611E-3</v>
      </c>
      <c r="AY35" s="53">
        <f t="shared" si="81"/>
        <v>0.18932530010050447</v>
      </c>
      <c r="AZ35" s="54">
        <f t="shared" si="35"/>
        <v>1.6016241719437934</v>
      </c>
      <c r="BA35" s="23">
        <f t="shared" si="82"/>
        <v>0.91190586593191436</v>
      </c>
    </row>
    <row r="36" spans="1:53" ht="15" customHeight="1" x14ac:dyDescent="0.3">
      <c r="A36" t="s">
        <v>125</v>
      </c>
      <c r="B36">
        <v>2</v>
      </c>
      <c r="C36" s="2">
        <v>45068</v>
      </c>
      <c r="D36" s="11">
        <v>0.65625</v>
      </c>
      <c r="E36" s="15">
        <v>1013.6</v>
      </c>
      <c r="F36">
        <v>1119.9000000000001</v>
      </c>
      <c r="G36">
        <v>1116.7</v>
      </c>
      <c r="H36">
        <v>0</v>
      </c>
      <c r="I36">
        <v>0.65</v>
      </c>
      <c r="J36">
        <v>20.23</v>
      </c>
      <c r="K36">
        <v>75.19</v>
      </c>
      <c r="L36">
        <v>1</v>
      </c>
      <c r="N36" t="s">
        <v>99</v>
      </c>
      <c r="O36">
        <v>869.12</v>
      </c>
      <c r="P36" s="3">
        <f t="shared" si="50"/>
        <v>45068.65625</v>
      </c>
      <c r="Q36" s="4">
        <f t="shared" si="51"/>
        <v>34.014583333329938</v>
      </c>
      <c r="R36">
        <f t="shared" si="52"/>
        <v>96.07</v>
      </c>
      <c r="S36">
        <f t="shared" si="53"/>
        <v>0</v>
      </c>
      <c r="T36">
        <f t="shared" si="54"/>
        <v>0.67658998646820034</v>
      </c>
      <c r="U36">
        <f t="shared" si="55"/>
        <v>21.057562194233373</v>
      </c>
      <c r="V36">
        <f t="shared" si="56"/>
        <v>78.265847819298429</v>
      </c>
      <c r="W36">
        <f t="shared" si="57"/>
        <v>100</v>
      </c>
      <c r="X36" s="10">
        <f t="shared" si="58"/>
        <v>4.4154665204286139E-2</v>
      </c>
      <c r="Y36" s="10">
        <f t="shared" si="59"/>
        <v>2.9874604333075876E-4</v>
      </c>
      <c r="Z36" s="10">
        <f t="shared" si="60"/>
        <v>0</v>
      </c>
      <c r="AA36" s="10">
        <f t="shared" si="61"/>
        <v>9.297896087048077E-3</v>
      </c>
      <c r="AB36" s="10">
        <f t="shared" si="62"/>
        <v>3.4558023073907304E-2</v>
      </c>
      <c r="AC36" s="10">
        <f t="shared" si="63"/>
        <v>2.9874604333075876E-4</v>
      </c>
      <c r="AD36" s="10">
        <f t="shared" si="64"/>
        <v>4.4028497753037167E-2</v>
      </c>
      <c r="AE36" s="10">
        <f t="shared" si="65"/>
        <v>2.9789240698942606E-4</v>
      </c>
      <c r="AF36" s="10">
        <f t="shared" si="66"/>
        <v>0</v>
      </c>
      <c r="AG36" s="10">
        <f t="shared" si="67"/>
        <v>9.2713282975324454E-3</v>
      </c>
      <c r="AH36" s="10">
        <f t="shared" si="68"/>
        <v>3.4459277048515299E-2</v>
      </c>
      <c r="AI36" s="10">
        <f t="shared" si="69"/>
        <v>2.9789240698942606E-4</v>
      </c>
      <c r="AJ36" s="22"/>
      <c r="AL36" s="25"/>
      <c r="AM36" s="6"/>
      <c r="AN36" s="6"/>
      <c r="AO36" s="6"/>
      <c r="AP36" s="19"/>
      <c r="AQ36">
        <f t="shared" si="73"/>
        <v>757.71312584573764</v>
      </c>
      <c r="AR36" s="6">
        <f t="shared" si="74"/>
        <v>3.9628396481732082</v>
      </c>
      <c r="AS36" s="6">
        <f t="shared" si="75"/>
        <v>3.8835828552097437E-4</v>
      </c>
      <c r="AT36" s="6">
        <f t="shared" si="76"/>
        <v>755.54803788903928</v>
      </c>
      <c r="AU36" s="6">
        <f t="shared" si="77"/>
        <v>3.9515162381596758</v>
      </c>
      <c r="AV36" s="6">
        <f t="shared" si="78"/>
        <v>3.8724859133964823E-4</v>
      </c>
      <c r="AW36" s="6">
        <f t="shared" si="79"/>
        <v>-1.9315121388509104E-3</v>
      </c>
      <c r="AX36" s="52">
        <f t="shared" si="80"/>
        <v>4.9197453217905067E-4</v>
      </c>
      <c r="AY36" s="53">
        <f t="shared" si="81"/>
        <v>3.8433562296845226E-2</v>
      </c>
      <c r="AZ36" s="54"/>
      <c r="BA36" s="23">
        <f t="shared" si="82"/>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6">
    <cfRule type="expression" dxfId="5" priority="1">
      <formula>$L13=0</formula>
    </cfRule>
    <cfRule type="expression" dxfId="4" priority="2">
      <formula>$L13=1</formula>
    </cfRule>
  </conditionalFormatting>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7B71-174B-4323-9473-6263C84E6DE5}">
  <dimension ref="A1:BD33"/>
  <sheetViews>
    <sheetView topLeftCell="A11" zoomScale="124" zoomScaleNormal="100" workbookViewId="0">
      <selection activeCell="C20" sqref="C20"/>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126</v>
      </c>
      <c r="B13">
        <v>1</v>
      </c>
      <c r="C13" s="2">
        <v>45034</v>
      </c>
      <c r="D13" s="11">
        <v>0.64236111111111105</v>
      </c>
      <c r="E13" s="15">
        <v>1025.2</v>
      </c>
      <c r="F13">
        <f>SUM(F14:F33)/(33-14)</f>
        <v>1153.7894736842106</v>
      </c>
      <c r="M13" t="s">
        <v>4</v>
      </c>
      <c r="O13">
        <v>839.91</v>
      </c>
      <c r="P13" s="3">
        <f>C13+D13</f>
        <v>45034.642361111109</v>
      </c>
      <c r="Q13" s="4">
        <f>P13-$P$13</f>
        <v>0</v>
      </c>
      <c r="S13">
        <v>0</v>
      </c>
      <c r="T13">
        <v>0.03</v>
      </c>
      <c r="U13">
        <v>21.9</v>
      </c>
      <c r="V13">
        <v>78.069999999999993</v>
      </c>
      <c r="W13">
        <f>SUM(S13:V13)</f>
        <v>100</v>
      </c>
      <c r="X13" s="6">
        <f>F13*100*$D$3/($D$1*$D$2)</f>
        <v>4.5490836616444166E-2</v>
      </c>
      <c r="Y13" s="6">
        <f t="shared" ref="Y13:Y33" si="0">X13*T13/100</f>
        <v>1.3647250984933249E-5</v>
      </c>
      <c r="Z13" s="6">
        <f>X13*S13/100</f>
        <v>0</v>
      </c>
      <c r="AA13" s="6">
        <f t="shared" ref="AA13:AA33" si="1">X13*U13/100</f>
        <v>9.9624932190012713E-3</v>
      </c>
      <c r="AB13" s="6">
        <f t="shared" ref="AB13:AB33" si="2">X13*V13/100</f>
        <v>3.5514696146457955E-2</v>
      </c>
      <c r="AC13" s="6">
        <f>Y13+Z13</f>
        <v>1.3647250984933249E-5</v>
      </c>
      <c r="AD13" s="6">
        <f>X13</f>
        <v>4.5490836616444166E-2</v>
      </c>
      <c r="AE13" s="6">
        <f>Y13</f>
        <v>1.3647250984933249E-5</v>
      </c>
      <c r="AF13" s="6">
        <f t="shared" ref="AF13:AI13" si="3">Z13</f>
        <v>0</v>
      </c>
      <c r="AG13" s="6">
        <f t="shared" si="3"/>
        <v>9.9624932190012713E-3</v>
      </c>
      <c r="AH13" s="6">
        <f t="shared" si="3"/>
        <v>3.5514696146457955E-2</v>
      </c>
      <c r="AI13" s="6">
        <f t="shared" si="3"/>
        <v>1.3647250984933249E-5</v>
      </c>
      <c r="AJ13" s="22">
        <f>AC13-AI13</f>
        <v>0</v>
      </c>
      <c r="AK13" s="6">
        <f>AA13-AG13</f>
        <v>0</v>
      </c>
      <c r="AL13" s="23">
        <f>Y13-AE13</f>
        <v>0</v>
      </c>
      <c r="AM13" s="6">
        <f>AK13</f>
        <v>0</v>
      </c>
      <c r="AN13" s="6">
        <f>AL13</f>
        <v>0</v>
      </c>
      <c r="AO13" s="6">
        <f>AJ13</f>
        <v>0</v>
      </c>
      <c r="AP13" s="19">
        <f>AO13*$D$4*1000/$D$6</f>
        <v>0</v>
      </c>
      <c r="AQ13">
        <f>F13*100*T13/100</f>
        <v>34.613684210526323</v>
      </c>
      <c r="AR13" s="6">
        <f>AQ13*$D$7</f>
        <v>0.18102956842105267</v>
      </c>
      <c r="AS13" s="6">
        <f>AR13*$D$5/1000</f>
        <v>1.7740897705263162E-5</v>
      </c>
      <c r="AT13" s="6">
        <f>G13*100*T13/100</f>
        <v>0</v>
      </c>
      <c r="AU13" s="6">
        <f>AT13*$D$7</f>
        <v>0</v>
      </c>
      <c r="AV13" s="6">
        <f>AU13*$D$5/1000</f>
        <v>0</v>
      </c>
      <c r="AW13" s="6">
        <f>AS13-AV13</f>
        <v>1.7740897705263162E-5</v>
      </c>
      <c r="AX13" s="52">
        <f>AW13</f>
        <v>1.7740897705263162E-5</v>
      </c>
      <c r="AY13" s="53">
        <f>(AX13*$D$4*1000/$D$6)</f>
        <v>1.3859373861024116E-3</v>
      </c>
      <c r="AZ13" s="54">
        <f>AP13</f>
        <v>0</v>
      </c>
      <c r="BA13" s="23">
        <v>0</v>
      </c>
    </row>
    <row r="14" spans="1:56" ht="14.4" x14ac:dyDescent="0.3">
      <c r="A14" t="s">
        <v>126</v>
      </c>
      <c r="B14">
        <v>1</v>
      </c>
      <c r="C14" s="2">
        <v>45035</v>
      </c>
      <c r="D14" s="11">
        <v>0.67013888888888884</v>
      </c>
      <c r="E14" s="15">
        <v>1022.4</v>
      </c>
      <c r="F14">
        <v>1062.9000000000001</v>
      </c>
      <c r="G14">
        <v>1060.5</v>
      </c>
      <c r="H14">
        <v>0.44</v>
      </c>
      <c r="I14">
        <v>4.8</v>
      </c>
      <c r="J14">
        <v>12.49</v>
      </c>
      <c r="K14">
        <v>81.069999999999993</v>
      </c>
      <c r="L14">
        <v>0</v>
      </c>
      <c r="N14" t="s">
        <v>99</v>
      </c>
      <c r="P14" s="3">
        <f t="shared" ref="P14:P33" si="4">C14+D14</f>
        <v>45035.670138888891</v>
      </c>
      <c r="Q14" s="4">
        <f t="shared" ref="Q14:Q33" si="5">P14-$P$13</f>
        <v>1.0277777777810115</v>
      </c>
      <c r="R14">
        <f>SUM(H14:K14)</f>
        <v>98.8</v>
      </c>
      <c r="S14">
        <f>H14 * 100/R14</f>
        <v>0.44534412955465591</v>
      </c>
      <c r="T14">
        <f>I14* 100/R14</f>
        <v>4.858299595141701</v>
      </c>
      <c r="U14">
        <f>J14* 100/R14</f>
        <v>12.6417004048583</v>
      </c>
      <c r="V14">
        <f>K14* 100/R14</f>
        <v>82.05465587044533</v>
      </c>
      <c r="W14">
        <f>SUM(S14:V14)</f>
        <v>99.999999999999986</v>
      </c>
      <c r="X14" s="6">
        <f>F14*100*$D$3/($D$1*$D$2)</f>
        <v>4.1907307478913955E-2</v>
      </c>
      <c r="Y14" s="6">
        <f t="shared" si="0"/>
        <v>2.0359825495828644E-3</v>
      </c>
      <c r="Z14" s="6">
        <f t="shared" ref="Z14:Z33" si="6">X14*S14/100</f>
        <v>1.8663173371176258E-4</v>
      </c>
      <c r="AA14" s="6">
        <f t="shared" si="1"/>
        <v>5.2977962592270778E-3</v>
      </c>
      <c r="AB14" s="6">
        <f t="shared" si="2"/>
        <v>3.4386896936392242E-2</v>
      </c>
      <c r="AC14" s="6">
        <f>Y14+Z14</f>
        <v>2.2226142832946268E-3</v>
      </c>
      <c r="AD14" s="6">
        <f t="shared" ref="AD14:AD33" si="7">G14*100*$D$3/($D$1*$D$2)</f>
        <v>4.1812681890477224E-2</v>
      </c>
      <c r="AE14" s="6">
        <f t="shared" ref="AE14:AE33" si="8">AD14*T14/100</f>
        <v>2.0313853550029421E-3</v>
      </c>
      <c r="AF14" s="6">
        <f t="shared" ref="AF14:AF33" si="9">AD14*S14/100</f>
        <v>1.8621032420860305E-4</v>
      </c>
      <c r="AG14" s="6">
        <f t="shared" ref="AG14:AG33" si="10">AD14*U14/100</f>
        <v>5.2858339758305728E-3</v>
      </c>
      <c r="AH14" s="6">
        <f t="shared" ref="AH14:AH33" si="11">AD14*V14/100</f>
        <v>3.43092522354351E-2</v>
      </c>
      <c r="AI14" s="6">
        <f>AE14+AF14</f>
        <v>2.2175956792115452E-3</v>
      </c>
      <c r="AJ14" s="22">
        <f>AC14-AI13</f>
        <v>2.2089670323096936E-3</v>
      </c>
      <c r="AK14">
        <f>(AA14-AG13)*-1</f>
        <v>4.6646969597741936E-3</v>
      </c>
      <c r="AL14" s="25">
        <f>Y14-AE13</f>
        <v>2.0223352985979312E-3</v>
      </c>
      <c r="AM14" s="6">
        <f>AK14+AM13</f>
        <v>4.6646969597741936E-3</v>
      </c>
      <c r="AN14" s="6">
        <f>AL14+AN13</f>
        <v>2.0223352985979312E-3</v>
      </c>
      <c r="AO14" s="6">
        <f>AJ14+AO13</f>
        <v>2.2089670323096936E-3</v>
      </c>
      <c r="AP14" s="19">
        <f>AO14*$D$4*1000/$D$6</f>
        <v>0.17256680274062178</v>
      </c>
      <c r="AQ14">
        <f>F14*100*T14/100</f>
        <v>5163.8866396761141</v>
      </c>
      <c r="AR14" s="6">
        <f>AQ14*$D$7</f>
        <v>27.007127125506077</v>
      </c>
      <c r="AS14" s="6">
        <f>AR14*$D$5/1000</f>
        <v>2.646698458299596E-3</v>
      </c>
      <c r="AT14" s="6">
        <f t="shared" ref="AT14:AT33" si="12">G14*100*T14/100</f>
        <v>5152.2267206477736</v>
      </c>
      <c r="AU14" s="6">
        <f t="shared" ref="AU14:AU33" si="13">AT14*$D$7</f>
        <v>26.946145748987856</v>
      </c>
      <c r="AV14" s="6">
        <f t="shared" ref="AV14:AV33" si="14">AU14*$D$5/1000</f>
        <v>2.6407222834008101E-3</v>
      </c>
      <c r="AW14" s="6">
        <f>AS14-AV13</f>
        <v>2.646698458299596E-3</v>
      </c>
      <c r="AX14" s="52">
        <f>AW14+AX13</f>
        <v>2.6644393560048591E-3</v>
      </c>
      <c r="AY14" s="53">
        <f t="shared" ref="AY14:AY33" si="15">(AX14*$D$4*1000/$D$6)</f>
        <v>0.20814877453434877</v>
      </c>
      <c r="AZ14" s="54">
        <f>AY14+AP14</f>
        <v>0.38071557727497052</v>
      </c>
      <c r="BA14" s="23">
        <f t="shared" ref="BA14:BA33" si="16">AK14/(AL14+AW14)</f>
        <v>0.99907115747087361</v>
      </c>
    </row>
    <row r="15" spans="1:56" ht="14.4" x14ac:dyDescent="0.3">
      <c r="A15" t="s">
        <v>126</v>
      </c>
      <c r="B15">
        <v>1</v>
      </c>
      <c r="C15" s="2">
        <v>45035</v>
      </c>
      <c r="D15" s="11">
        <v>0.74652777777777779</v>
      </c>
      <c r="E15" s="15">
        <v>1021.3</v>
      </c>
      <c r="F15">
        <v>1137.8</v>
      </c>
      <c r="G15">
        <v>1134.5999999999999</v>
      </c>
      <c r="H15">
        <v>0</v>
      </c>
      <c r="I15">
        <v>1.07</v>
      </c>
      <c r="J15">
        <v>20.34</v>
      </c>
      <c r="K15">
        <v>75.92</v>
      </c>
      <c r="L15">
        <v>1</v>
      </c>
      <c r="N15" t="s">
        <v>99</v>
      </c>
      <c r="O15">
        <v>839.83</v>
      </c>
      <c r="P15" s="3">
        <f t="shared" si="4"/>
        <v>45035.746527777781</v>
      </c>
      <c r="Q15" s="4">
        <f t="shared" si="5"/>
        <v>1.1041666666715173</v>
      </c>
      <c r="R15">
        <f t="shared" ref="R15:R33" si="17">SUM(H15:K15)</f>
        <v>97.33</v>
      </c>
      <c r="S15">
        <f t="shared" ref="S15:S33" si="18">H15 * 100/R15</f>
        <v>0</v>
      </c>
      <c r="T15">
        <f t="shared" ref="T15:T33" si="19">I15* 100/R15</f>
        <v>1.0993527175588205</v>
      </c>
      <c r="U15">
        <f t="shared" ref="U15:U33" si="20">J15* 100/R15</f>
        <v>20.897975958080757</v>
      </c>
      <c r="V15">
        <f t="shared" ref="V15:V33" si="21">K15* 100/R15</f>
        <v>78.002671324360421</v>
      </c>
      <c r="W15">
        <f t="shared" ref="W15:W33" si="22">SUM(S15:V15)</f>
        <v>100</v>
      </c>
      <c r="X15" s="6">
        <f t="shared" ref="X15:X33" si="23">F15*100*$D$3/($D$1*$D$2)</f>
        <v>4.4860414384710029E-2</v>
      </c>
      <c r="Y15" s="6">
        <f t="shared" si="0"/>
        <v>4.9317418464645772E-4</v>
      </c>
      <c r="Z15" s="6">
        <f t="shared" si="6"/>
        <v>0</v>
      </c>
      <c r="AA15" s="6">
        <f t="shared" si="1"/>
        <v>9.3749186128121026E-3</v>
      </c>
      <c r="AB15" s="6">
        <f t="shared" si="2"/>
        <v>3.4992321587251463E-2</v>
      </c>
      <c r="AC15" s="6">
        <f t="shared" ref="AC15:AC27" si="24">Y15+Z15</f>
        <v>4.9317418464645772E-4</v>
      </c>
      <c r="AD15" s="6">
        <f t="shared" si="7"/>
        <v>4.4734246933461057E-2</v>
      </c>
      <c r="AE15" s="6">
        <f t="shared" si="8"/>
        <v>4.9178715934247751E-4</v>
      </c>
      <c r="AF15" s="6">
        <f t="shared" si="9"/>
        <v>0</v>
      </c>
      <c r="AG15" s="6">
        <f t="shared" si="10"/>
        <v>9.3485521691831705E-3</v>
      </c>
      <c r="AH15" s="6">
        <f t="shared" si="11"/>
        <v>3.4893907604935409E-2</v>
      </c>
      <c r="AI15" s="6">
        <f t="shared" ref="AI15:AI27" si="25">AE15+AF15</f>
        <v>4.9178715934247751E-4</v>
      </c>
      <c r="AJ15" s="22"/>
      <c r="AL15" s="25"/>
      <c r="AM15" s="6"/>
      <c r="AN15" s="6"/>
      <c r="AO15" s="6"/>
      <c r="AP15" s="19"/>
      <c r="AQ15">
        <f t="shared" ref="AQ15:AQ27" si="26">F15*100*T15/100</f>
        <v>1250.8435220384258</v>
      </c>
      <c r="AR15" s="6">
        <f t="shared" ref="AR15:AR33" si="27">AQ15*$D$7</f>
        <v>6.5419116202609677</v>
      </c>
      <c r="AS15" s="6">
        <f t="shared" ref="AS15:AS33" si="28">AR15*$D$5/1000</f>
        <v>6.4110733878557492E-4</v>
      </c>
      <c r="AT15" s="6">
        <f t="shared" si="12"/>
        <v>1247.3255933422377</v>
      </c>
      <c r="AU15" s="6">
        <f t="shared" si="13"/>
        <v>6.5235128531799029</v>
      </c>
      <c r="AV15" s="6">
        <f t="shared" si="14"/>
        <v>6.3930425961163052E-4</v>
      </c>
      <c r="AW15" s="6">
        <f t="shared" ref="AW15:AW33" si="29">AS15-AV14</f>
        <v>-1.9996149446152352E-3</v>
      </c>
      <c r="AX15" s="52">
        <f t="shared" ref="AX15:AX33" si="30">AW15+AX14</f>
        <v>6.6482441138962381E-4</v>
      </c>
      <c r="AY15" s="53">
        <f t="shared" si="15"/>
        <v>5.1936774691229849E-2</v>
      </c>
      <c r="AZ15" s="54"/>
      <c r="BA15" s="23">
        <f t="shared" si="16"/>
        <v>0</v>
      </c>
    </row>
    <row r="16" spans="1:56" s="7" customFormat="1" ht="14.4" x14ac:dyDescent="0.3">
      <c r="A16" t="s">
        <v>126</v>
      </c>
      <c r="B16">
        <v>1</v>
      </c>
      <c r="C16" s="2">
        <v>45040</v>
      </c>
      <c r="D16" s="11">
        <v>0.49791666666666662</v>
      </c>
      <c r="E16" s="15">
        <v>1003.8</v>
      </c>
      <c r="F16">
        <v>1045.5</v>
      </c>
      <c r="G16">
        <v>1042.4000000000001</v>
      </c>
      <c r="H16">
        <v>0.1</v>
      </c>
      <c r="I16">
        <v>6.96</v>
      </c>
      <c r="J16">
        <v>8.4</v>
      </c>
      <c r="K16">
        <v>83.39</v>
      </c>
      <c r="L16">
        <v>0</v>
      </c>
      <c r="M16"/>
      <c r="N16" t="s">
        <v>99</v>
      </c>
      <c r="O16"/>
      <c r="P16" s="8">
        <f t="shared" si="4"/>
        <v>45040.497916666667</v>
      </c>
      <c r="Q16" s="9">
        <f t="shared" si="5"/>
        <v>5.8555555555576575</v>
      </c>
      <c r="R16">
        <f t="shared" si="17"/>
        <v>98.85</v>
      </c>
      <c r="S16">
        <f t="shared" si="18"/>
        <v>0.10116337885685382</v>
      </c>
      <c r="T16">
        <f t="shared" si="19"/>
        <v>7.040971168437026</v>
      </c>
      <c r="U16">
        <f t="shared" si="20"/>
        <v>8.497723823975722</v>
      </c>
      <c r="V16">
        <f t="shared" si="21"/>
        <v>84.360141628730403</v>
      </c>
      <c r="W16">
        <f t="shared" si="22"/>
        <v>100</v>
      </c>
      <c r="X16" s="10">
        <f t="shared" si="23"/>
        <v>4.1221271962747705E-2</v>
      </c>
      <c r="Y16" s="10">
        <f t="shared" si="0"/>
        <v>2.9023778741600814E-3</v>
      </c>
      <c r="Z16" s="10">
        <f t="shared" si="6"/>
        <v>4.1700831525288523E-5</v>
      </c>
      <c r="AA16" s="10">
        <f t="shared" si="1"/>
        <v>3.5028698481242367E-3</v>
      </c>
      <c r="AB16" s="10">
        <f t="shared" si="2"/>
        <v>3.4774323408938101E-2</v>
      </c>
      <c r="AC16" s="10">
        <f t="shared" si="24"/>
        <v>2.9440787056853701E-3</v>
      </c>
      <c r="AD16" s="10">
        <f t="shared" si="7"/>
        <v>4.1099047244350269E-2</v>
      </c>
      <c r="AE16" s="10">
        <f t="shared" si="8"/>
        <v>2.8937720669770144E-3</v>
      </c>
      <c r="AF16" s="10">
        <f t="shared" si="9"/>
        <v>4.1577184870359403E-5</v>
      </c>
      <c r="AG16" s="10">
        <f t="shared" si="10"/>
        <v>3.4924835291101903E-3</v>
      </c>
      <c r="AH16" s="10">
        <f t="shared" si="11"/>
        <v>3.4671214463392705E-2</v>
      </c>
      <c r="AI16" s="10">
        <f t="shared" si="25"/>
        <v>2.935349251847374E-3</v>
      </c>
      <c r="AJ16" s="22">
        <f t="shared" ref="AJ16" si="31">AC16-AI15</f>
        <v>2.4522915463428925E-3</v>
      </c>
      <c r="AK16">
        <f t="shared" ref="AK16" si="32">(AA16-AG15)*-1</f>
        <v>5.8456823210589343E-3</v>
      </c>
      <c r="AL16" s="25">
        <f t="shared" ref="AL16" si="33">Y16-AE15</f>
        <v>2.4105907148176038E-3</v>
      </c>
      <c r="AM16" s="6">
        <f>AK16+AM14</f>
        <v>1.0510379280833128E-2</v>
      </c>
      <c r="AN16" s="6">
        <f>AL16+AN14</f>
        <v>4.4329260134155345E-3</v>
      </c>
      <c r="AO16" s="6">
        <f>AJ16+AO14</f>
        <v>4.6612585786525856E-3</v>
      </c>
      <c r="AP16" s="19">
        <f t="shared" ref="AP16:AP18" si="34">AO16*$D$4*1000/$D$6</f>
        <v>0.36414236966873814</v>
      </c>
      <c r="AQ16" s="7">
        <f t="shared" si="26"/>
        <v>7361.3353566009109</v>
      </c>
      <c r="AR16" s="10">
        <f t="shared" si="27"/>
        <v>38.499783915022768</v>
      </c>
      <c r="AS16" s="6">
        <f t="shared" si="28"/>
        <v>3.7729788236722313E-3</v>
      </c>
      <c r="AT16" s="6">
        <f t="shared" si="12"/>
        <v>7339.5083459787575</v>
      </c>
      <c r="AU16" s="6">
        <f t="shared" si="13"/>
        <v>38.385628649468906</v>
      </c>
      <c r="AV16" s="6">
        <f t="shared" si="14"/>
        <v>3.7617916076479528E-3</v>
      </c>
      <c r="AW16" s="6">
        <f t="shared" si="29"/>
        <v>3.1336745640606007E-3</v>
      </c>
      <c r="AX16" s="52">
        <f t="shared" si="30"/>
        <v>3.7984989754502245E-3</v>
      </c>
      <c r="AY16" s="53">
        <f t="shared" si="15"/>
        <v>0.29674269186425484</v>
      </c>
      <c r="AZ16" s="54">
        <f t="shared" ref="AZ16:AZ32" si="35">AY16+AP16</f>
        <v>0.66088506153299298</v>
      </c>
      <c r="BA16" s="23">
        <f t="shared" si="16"/>
        <v>1.0543655519747634</v>
      </c>
      <c r="BB16"/>
      <c r="BC16"/>
      <c r="BD16"/>
    </row>
    <row r="17" spans="1:56" ht="14.4" x14ac:dyDescent="0.3">
      <c r="A17" t="s">
        <v>126</v>
      </c>
      <c r="B17">
        <v>1</v>
      </c>
      <c r="C17" s="2">
        <v>45040</v>
      </c>
      <c r="D17" s="11">
        <v>0.5229166666666667</v>
      </c>
      <c r="E17" s="15">
        <v>1004.1</v>
      </c>
      <c r="F17">
        <v>1103.5</v>
      </c>
      <c r="G17">
        <v>1100.8</v>
      </c>
      <c r="H17">
        <v>0</v>
      </c>
      <c r="I17">
        <v>0.75</v>
      </c>
      <c r="J17">
        <v>20.48</v>
      </c>
      <c r="K17">
        <v>76.11</v>
      </c>
      <c r="L17">
        <v>1</v>
      </c>
      <c r="N17" t="s">
        <v>99</v>
      </c>
      <c r="O17">
        <v>839.72</v>
      </c>
      <c r="P17" s="3">
        <f t="shared" si="4"/>
        <v>45040.522916666669</v>
      </c>
      <c r="Q17" s="4">
        <f t="shared" si="5"/>
        <v>5.8805555555591127</v>
      </c>
      <c r="R17">
        <f t="shared" si="17"/>
        <v>97.34</v>
      </c>
      <c r="S17">
        <f t="shared" si="18"/>
        <v>0</v>
      </c>
      <c r="T17">
        <f t="shared" si="19"/>
        <v>0.77049517156359149</v>
      </c>
      <c r="U17">
        <f t="shared" si="20"/>
        <v>21.03965481816314</v>
      </c>
      <c r="V17">
        <f t="shared" si="21"/>
        <v>78.189850010273261</v>
      </c>
      <c r="W17">
        <f t="shared" si="22"/>
        <v>100</v>
      </c>
      <c r="X17" s="6">
        <f t="shared" si="23"/>
        <v>4.3508057016635182E-2</v>
      </c>
      <c r="Y17" s="6">
        <f t="shared" si="0"/>
        <v>3.3522747855430844E-4</v>
      </c>
      <c r="Z17" s="6">
        <f t="shared" si="6"/>
        <v>0</v>
      </c>
      <c r="AA17" s="6">
        <f t="shared" si="1"/>
        <v>9.1539450143896493E-3</v>
      </c>
      <c r="AB17" s="6">
        <f t="shared" si="2"/>
        <v>3.4018884523691222E-2</v>
      </c>
      <c r="AC17" s="6">
        <f t="shared" si="24"/>
        <v>3.3522747855430844E-4</v>
      </c>
      <c r="AD17" s="6">
        <f t="shared" si="7"/>
        <v>4.340160322964387E-2</v>
      </c>
      <c r="AE17" s="6">
        <f t="shared" si="8"/>
        <v>3.3440725726559381E-4</v>
      </c>
      <c r="AF17" s="6">
        <f t="shared" si="9"/>
        <v>0</v>
      </c>
      <c r="AG17" s="6">
        <f t="shared" si="10"/>
        <v>9.1315475050658158E-3</v>
      </c>
      <c r="AH17" s="6">
        <f t="shared" si="11"/>
        <v>3.3935648467312458E-2</v>
      </c>
      <c r="AI17" s="6">
        <f t="shared" si="25"/>
        <v>3.3440725726559381E-4</v>
      </c>
      <c r="AJ17" s="22"/>
      <c r="AL17" s="25"/>
      <c r="AM17" s="6"/>
      <c r="AN17" s="6"/>
      <c r="AO17" s="6"/>
      <c r="AP17" s="19"/>
      <c r="AQ17">
        <f t="shared" si="26"/>
        <v>850.24142182042328</v>
      </c>
      <c r="AR17" s="6">
        <f t="shared" si="27"/>
        <v>4.4467626361208143</v>
      </c>
      <c r="AS17" s="6">
        <f t="shared" si="28"/>
        <v>4.3578273833983985E-4</v>
      </c>
      <c r="AT17" s="6">
        <f t="shared" si="12"/>
        <v>848.16108485720144</v>
      </c>
      <c r="AU17" s="6">
        <f t="shared" si="13"/>
        <v>4.4358824738031641</v>
      </c>
      <c r="AV17" s="6">
        <f t="shared" si="14"/>
        <v>4.3471648243271013E-4</v>
      </c>
      <c r="AW17" s="6">
        <f t="shared" si="29"/>
        <v>-3.326008869308113E-3</v>
      </c>
      <c r="AX17" s="52">
        <f t="shared" si="30"/>
        <v>4.7249010614211148E-4</v>
      </c>
      <c r="AY17" s="53">
        <f t="shared" si="15"/>
        <v>3.6911418663531224E-2</v>
      </c>
      <c r="AZ17" s="54"/>
      <c r="BA17" s="23">
        <f t="shared" si="16"/>
        <v>0</v>
      </c>
    </row>
    <row r="18" spans="1:56" s="7" customFormat="1" ht="14.4" x14ac:dyDescent="0.3">
      <c r="A18" t="s">
        <v>126</v>
      </c>
      <c r="B18">
        <v>1</v>
      </c>
      <c r="C18" s="2">
        <v>45042</v>
      </c>
      <c r="D18" s="11">
        <v>0.40763888888888888</v>
      </c>
      <c r="E18" s="15">
        <v>1017.3</v>
      </c>
      <c r="F18">
        <v>1075.8</v>
      </c>
      <c r="G18">
        <v>1072.0999999999999</v>
      </c>
      <c r="H18">
        <v>0.02</v>
      </c>
      <c r="I18">
        <v>3.94</v>
      </c>
      <c r="J18">
        <v>16.05</v>
      </c>
      <c r="K18">
        <v>78.27</v>
      </c>
      <c r="L18">
        <v>0</v>
      </c>
      <c r="M18"/>
      <c r="N18" t="s">
        <v>99</v>
      </c>
      <c r="O18"/>
      <c r="P18" s="8">
        <f t="shared" si="4"/>
        <v>45042.407638888886</v>
      </c>
      <c r="Q18" s="9">
        <f t="shared" si="5"/>
        <v>7.765277777776646</v>
      </c>
      <c r="R18">
        <f t="shared" si="17"/>
        <v>98.28</v>
      </c>
      <c r="S18">
        <f t="shared" si="18"/>
        <v>2.0350020350020349E-2</v>
      </c>
      <c r="T18">
        <f t="shared" si="19"/>
        <v>4.0089540089540092</v>
      </c>
      <c r="U18">
        <f t="shared" si="20"/>
        <v>16.33089133089133</v>
      </c>
      <c r="V18">
        <f t="shared" si="21"/>
        <v>79.639804639804638</v>
      </c>
      <c r="W18">
        <f t="shared" si="22"/>
        <v>100</v>
      </c>
      <c r="X18" s="10">
        <f t="shared" si="23"/>
        <v>4.2415920016761331E-2</v>
      </c>
      <c r="Y18" s="10">
        <f t="shared" si="0"/>
        <v>1.7004347259466795E-3</v>
      </c>
      <c r="Z18" s="10">
        <f t="shared" si="6"/>
        <v>8.6316483550592862E-6</v>
      </c>
      <c r="AA18" s="10">
        <f t="shared" si="1"/>
        <v>6.9268978049350756E-3</v>
      </c>
      <c r="AB18" s="10">
        <f t="shared" si="2"/>
        <v>3.3779955837524515E-2</v>
      </c>
      <c r="AC18" s="10">
        <f t="shared" si="24"/>
        <v>1.7090663743017389E-3</v>
      </c>
      <c r="AD18" s="10">
        <f t="shared" si="7"/>
        <v>4.2270038901254713E-2</v>
      </c>
      <c r="AE18" s="10">
        <f t="shared" si="8"/>
        <v>1.6945864191182699E-3</v>
      </c>
      <c r="AF18" s="10">
        <f t="shared" si="9"/>
        <v>8.601961518366852E-6</v>
      </c>
      <c r="AG18" s="10">
        <f t="shared" si="10"/>
        <v>6.9030741184893983E-3</v>
      </c>
      <c r="AH18" s="10">
        <f t="shared" si="11"/>
        <v>3.3663776402128677E-2</v>
      </c>
      <c r="AI18" s="10">
        <f t="shared" si="25"/>
        <v>1.7031883806366368E-3</v>
      </c>
      <c r="AJ18" s="22">
        <f t="shared" ref="AJ18" si="36">AC18-AI17</f>
        <v>1.374659117036145E-3</v>
      </c>
      <c r="AK18">
        <f t="shared" ref="AK18" si="37">(AA18-AG17)*-1</f>
        <v>2.2046497001307402E-3</v>
      </c>
      <c r="AL18" s="25">
        <f t="shared" ref="AL18" si="38">Y18-AE17</f>
        <v>1.3660274686810858E-3</v>
      </c>
      <c r="AM18" s="6">
        <f>AK18+AM16</f>
        <v>1.2715028980963869E-2</v>
      </c>
      <c r="AN18" s="6">
        <f>AL18+AN16</f>
        <v>5.7989534820966204E-3</v>
      </c>
      <c r="AO18" s="6">
        <f>AJ18+AO16</f>
        <v>6.0359176956887306E-3</v>
      </c>
      <c r="AP18" s="19">
        <f t="shared" si="34"/>
        <v>0.47153217006659032</v>
      </c>
      <c r="AQ18" s="7">
        <f t="shared" si="26"/>
        <v>4312.8327228327225</v>
      </c>
      <c r="AR18" s="10">
        <f t="shared" si="27"/>
        <v>22.556115140415141</v>
      </c>
      <c r="AS18" s="6">
        <f t="shared" si="28"/>
        <v>2.2104992837606837E-3</v>
      </c>
      <c r="AT18" s="6">
        <f t="shared" si="12"/>
        <v>4297.9995929995921</v>
      </c>
      <c r="AU18" s="6">
        <f t="shared" si="13"/>
        <v>22.478537871387868</v>
      </c>
      <c r="AV18" s="6">
        <f t="shared" si="14"/>
        <v>2.2028967113960109E-3</v>
      </c>
      <c r="AW18" s="6">
        <f t="shared" si="29"/>
        <v>1.7757828013279736E-3</v>
      </c>
      <c r="AX18" s="52">
        <f t="shared" si="30"/>
        <v>2.2482729074700851E-3</v>
      </c>
      <c r="AY18" s="53">
        <f t="shared" si="15"/>
        <v>0.17563741860140203</v>
      </c>
      <c r="AZ18" s="54">
        <f t="shared" si="35"/>
        <v>0.64716958866799235</v>
      </c>
      <c r="BA18" s="23">
        <f t="shared" si="16"/>
        <v>0.70171318783179837</v>
      </c>
      <c r="BB18"/>
      <c r="BC18"/>
      <c r="BD18"/>
    </row>
    <row r="19" spans="1:56" ht="14.4" x14ac:dyDescent="0.3">
      <c r="A19" t="s">
        <v>126</v>
      </c>
      <c r="B19">
        <v>1</v>
      </c>
      <c r="C19" s="2">
        <v>45042</v>
      </c>
      <c r="D19" s="11">
        <v>0.44444444444444442</v>
      </c>
      <c r="E19" s="15">
        <v>1017.3</v>
      </c>
      <c r="F19">
        <v>1125.5</v>
      </c>
      <c r="G19">
        <v>1121.5</v>
      </c>
      <c r="H19">
        <v>0</v>
      </c>
      <c r="I19">
        <v>0.56000000000000005</v>
      </c>
      <c r="J19">
        <v>20.63</v>
      </c>
      <c r="K19">
        <v>76.510000000000005</v>
      </c>
      <c r="L19">
        <v>1</v>
      </c>
      <c r="N19" t="s">
        <v>99</v>
      </c>
      <c r="O19">
        <v>839.58</v>
      </c>
      <c r="P19" s="3">
        <f t="shared" si="4"/>
        <v>45042.444444444445</v>
      </c>
      <c r="Q19" s="4">
        <f t="shared" si="5"/>
        <v>7.8020833333357587</v>
      </c>
      <c r="R19">
        <f t="shared" si="17"/>
        <v>97.7</v>
      </c>
      <c r="S19">
        <f t="shared" si="18"/>
        <v>0</v>
      </c>
      <c r="T19">
        <f t="shared" si="19"/>
        <v>0.5731832139201638</v>
      </c>
      <c r="U19">
        <f t="shared" si="20"/>
        <v>21.115660184237463</v>
      </c>
      <c r="V19">
        <f t="shared" si="21"/>
        <v>78.311156601842384</v>
      </c>
      <c r="W19">
        <f t="shared" si="22"/>
        <v>100.00000000000001</v>
      </c>
      <c r="X19" s="6">
        <f t="shared" si="23"/>
        <v>4.4375458243971821E-2</v>
      </c>
      <c r="Y19" s="6">
        <f t="shared" si="0"/>
        <v>2.54352677754598E-4</v>
      </c>
      <c r="Z19" s="6">
        <f t="shared" si="6"/>
        <v>0</v>
      </c>
      <c r="AA19" s="6">
        <f t="shared" si="1"/>
        <v>9.3701709679952783E-3</v>
      </c>
      <c r="AB19" s="6">
        <f t="shared" si="2"/>
        <v>3.4750934598221948E-2</v>
      </c>
      <c r="AC19" s="6">
        <f t="shared" si="24"/>
        <v>2.54352677754598E-4</v>
      </c>
      <c r="AD19" s="6">
        <f t="shared" si="7"/>
        <v>4.4217748929910608E-2</v>
      </c>
      <c r="AE19" s="6">
        <f t="shared" si="8"/>
        <v>2.5344871443961048E-4</v>
      </c>
      <c r="AF19" s="6">
        <f t="shared" si="9"/>
        <v>0</v>
      </c>
      <c r="AG19" s="6">
        <f t="shared" si="10"/>
        <v>9.3368696051592207E-3</v>
      </c>
      <c r="AH19" s="6">
        <f t="shared" si="11"/>
        <v>3.4627430610311781E-2</v>
      </c>
      <c r="AI19" s="6">
        <f t="shared" si="25"/>
        <v>2.5344871443961048E-4</v>
      </c>
      <c r="AJ19" s="22"/>
      <c r="AL19" s="25"/>
      <c r="AM19" s="6"/>
      <c r="AN19" s="6"/>
      <c r="AO19" s="6"/>
      <c r="AP19" s="19"/>
      <c r="AQ19">
        <f t="shared" si="26"/>
        <v>645.1177072671444</v>
      </c>
      <c r="AR19" s="6">
        <f t="shared" si="27"/>
        <v>3.3739656090071652</v>
      </c>
      <c r="AS19" s="6">
        <f t="shared" si="28"/>
        <v>3.306486296827022E-4</v>
      </c>
      <c r="AT19" s="6">
        <f t="shared" si="12"/>
        <v>642.8249744114637</v>
      </c>
      <c r="AU19" s="6">
        <f t="shared" si="13"/>
        <v>3.3619746161719553</v>
      </c>
      <c r="AV19" s="6">
        <f t="shared" si="14"/>
        <v>3.2947351238485161E-4</v>
      </c>
      <c r="AW19" s="6">
        <f t="shared" si="29"/>
        <v>-1.8722480817133086E-3</v>
      </c>
      <c r="AX19" s="52">
        <f t="shared" si="30"/>
        <v>3.7602482575677652E-4</v>
      </c>
      <c r="AY19" s="53">
        <f t="shared" si="15"/>
        <v>2.9375450598779666E-2</v>
      </c>
      <c r="AZ19" s="54"/>
      <c r="BA19" s="23">
        <f t="shared" si="16"/>
        <v>0</v>
      </c>
    </row>
    <row r="20" spans="1:56" ht="14.4" x14ac:dyDescent="0.3">
      <c r="A20" t="s">
        <v>126</v>
      </c>
      <c r="B20">
        <v>1</v>
      </c>
      <c r="C20" s="2">
        <v>45047</v>
      </c>
      <c r="D20" s="11">
        <v>0.60763888888888895</v>
      </c>
      <c r="E20" s="15">
        <v>1013.3</v>
      </c>
      <c r="F20">
        <v>1065.7</v>
      </c>
      <c r="G20">
        <v>1066.7</v>
      </c>
      <c r="H20">
        <v>0.05</v>
      </c>
      <c r="I20">
        <v>6.31</v>
      </c>
      <c r="J20">
        <v>10.63</v>
      </c>
      <c r="K20">
        <v>81.8</v>
      </c>
      <c r="L20">
        <v>0</v>
      </c>
      <c r="N20" t="s">
        <v>99</v>
      </c>
      <c r="P20" s="3">
        <f t="shared" si="4"/>
        <v>45047.607638888891</v>
      </c>
      <c r="Q20" s="4">
        <f t="shared" si="5"/>
        <v>12.965277777781012</v>
      </c>
      <c r="R20">
        <f t="shared" si="17"/>
        <v>98.789999999999992</v>
      </c>
      <c r="S20">
        <f t="shared" si="18"/>
        <v>5.0612410162971966E-2</v>
      </c>
      <c r="T20">
        <f t="shared" si="19"/>
        <v>6.3872861625670616</v>
      </c>
      <c r="U20">
        <f t="shared" si="20"/>
        <v>10.760198400647839</v>
      </c>
      <c r="V20">
        <f t="shared" si="21"/>
        <v>82.801903026622128</v>
      </c>
      <c r="W20">
        <f t="shared" si="22"/>
        <v>100</v>
      </c>
      <c r="X20" s="6">
        <f t="shared" si="23"/>
        <v>4.2017703998756789E-2</v>
      </c>
      <c r="Y20" s="6">
        <f t="shared" si="0"/>
        <v>2.6837909933409791E-3</v>
      </c>
      <c r="Z20" s="6">
        <f t="shared" si="6"/>
        <v>2.1266172688914261E-5</v>
      </c>
      <c r="AA20" s="6">
        <f t="shared" si="1"/>
        <v>4.5211883136631716E-3</v>
      </c>
      <c r="AB20" s="6">
        <f t="shared" si="2"/>
        <v>3.4791458519063727E-2</v>
      </c>
      <c r="AC20" s="6">
        <f t="shared" si="24"/>
        <v>2.7050571660298933E-3</v>
      </c>
      <c r="AD20" s="6">
        <f t="shared" si="7"/>
        <v>4.2057131327272089E-2</v>
      </c>
      <c r="AE20" s="6">
        <f t="shared" si="8"/>
        <v>2.6863093296395067E-3</v>
      </c>
      <c r="AF20" s="6">
        <f t="shared" si="9"/>
        <v>2.1286127810138726E-5</v>
      </c>
      <c r="AG20" s="6">
        <f t="shared" si="10"/>
        <v>4.5254307724354927E-3</v>
      </c>
      <c r="AH20" s="6">
        <f t="shared" si="11"/>
        <v>3.4824105097386954E-2</v>
      </c>
      <c r="AI20" s="6">
        <f t="shared" si="25"/>
        <v>2.7075954574496456E-3</v>
      </c>
      <c r="AJ20" s="22">
        <f>AC20-AI19</f>
        <v>2.4516084515902826E-3</v>
      </c>
      <c r="AK20">
        <f>(AA20-AG19)*-1</f>
        <v>4.8156812914960491E-3</v>
      </c>
      <c r="AL20" s="25">
        <f>Y20-AE19</f>
        <v>2.4303422789013684E-3</v>
      </c>
      <c r="AM20" s="6">
        <f>AK20+AM18</f>
        <v>1.7530710272459917E-2</v>
      </c>
      <c r="AN20" s="6">
        <f>AL20+AN18</f>
        <v>8.2292957609979879E-3</v>
      </c>
      <c r="AO20" s="6">
        <f>AJ20+AO18</f>
        <v>8.4875261472790141E-3</v>
      </c>
      <c r="AP20" s="19">
        <f>AO20*$D$4*1000/$D$6</f>
        <v>0.66305437292195113</v>
      </c>
      <c r="AQ20">
        <f t="shared" si="26"/>
        <v>6806.9308634477175</v>
      </c>
      <c r="AR20" s="6">
        <f t="shared" si="27"/>
        <v>35.600248415831565</v>
      </c>
      <c r="AS20" s="6">
        <f t="shared" si="28"/>
        <v>3.4888243447514936E-3</v>
      </c>
      <c r="AT20" s="6">
        <f t="shared" si="12"/>
        <v>6813.3181496102852</v>
      </c>
      <c r="AU20" s="6">
        <f t="shared" si="13"/>
        <v>35.633653922461797</v>
      </c>
      <c r="AV20" s="6">
        <f t="shared" si="14"/>
        <v>3.4920980844012563E-3</v>
      </c>
      <c r="AW20" s="6">
        <f t="shared" si="29"/>
        <v>3.1593508323666418E-3</v>
      </c>
      <c r="AX20" s="52">
        <f t="shared" si="30"/>
        <v>3.5353756581234181E-3</v>
      </c>
      <c r="AY20" s="53">
        <f t="shared" si="15"/>
        <v>0.27618722456508193</v>
      </c>
      <c r="AZ20" s="54">
        <f t="shared" si="35"/>
        <v>0.93924159748703306</v>
      </c>
      <c r="BA20" s="23">
        <f t="shared" si="16"/>
        <v>0.86152874507338062</v>
      </c>
    </row>
    <row r="21" spans="1:56" s="7" customFormat="1" ht="14.4" x14ac:dyDescent="0.3">
      <c r="A21" t="s">
        <v>126</v>
      </c>
      <c r="B21">
        <v>1</v>
      </c>
      <c r="C21" s="2">
        <v>45047</v>
      </c>
      <c r="D21" s="11">
        <v>0.64374999999999993</v>
      </c>
      <c r="E21" s="15">
        <v>1013.4</v>
      </c>
      <c r="F21">
        <v>1118.8</v>
      </c>
      <c r="G21">
        <v>1114.8</v>
      </c>
      <c r="H21">
        <v>0</v>
      </c>
      <c r="I21">
        <v>0.88</v>
      </c>
      <c r="J21">
        <v>20.440000000000001</v>
      </c>
      <c r="K21">
        <v>76.08</v>
      </c>
      <c r="L21">
        <v>1</v>
      </c>
      <c r="M21"/>
      <c r="N21" t="s">
        <v>99</v>
      </c>
      <c r="O21">
        <v>839.48</v>
      </c>
      <c r="P21" s="8">
        <f t="shared" si="4"/>
        <v>45047.643750000003</v>
      </c>
      <c r="Q21" s="9">
        <f t="shared" si="5"/>
        <v>13.001388888893416</v>
      </c>
      <c r="R21">
        <f t="shared" si="17"/>
        <v>97.4</v>
      </c>
      <c r="S21">
        <f t="shared" si="18"/>
        <v>0</v>
      </c>
      <c r="T21">
        <f t="shared" si="19"/>
        <v>0.90349075975359339</v>
      </c>
      <c r="U21">
        <f t="shared" si="20"/>
        <v>20.985626283367559</v>
      </c>
      <c r="V21">
        <f t="shared" si="21"/>
        <v>78.110882956878839</v>
      </c>
      <c r="W21">
        <f t="shared" si="22"/>
        <v>100</v>
      </c>
      <c r="X21" s="10">
        <f t="shared" si="23"/>
        <v>4.4111295142919296E-2</v>
      </c>
      <c r="Y21" s="10">
        <f t="shared" si="0"/>
        <v>3.9854147562391149E-4</v>
      </c>
      <c r="Z21" s="10">
        <f t="shared" si="6"/>
        <v>0</v>
      </c>
      <c r="AA21" s="10">
        <f t="shared" si="1"/>
        <v>9.2570315474463094E-3</v>
      </c>
      <c r="AB21" s="10">
        <f t="shared" si="2"/>
        <v>3.4455722119849069E-2</v>
      </c>
      <c r="AC21" s="10">
        <f t="shared" si="24"/>
        <v>3.9854147562391149E-4</v>
      </c>
      <c r="AD21" s="10">
        <f t="shared" si="7"/>
        <v>4.3953585828858097E-2</v>
      </c>
      <c r="AE21" s="10">
        <f t="shared" si="8"/>
        <v>3.9711658654409778E-4</v>
      </c>
      <c r="AF21" s="10">
        <f t="shared" si="9"/>
        <v>0</v>
      </c>
      <c r="AG21" s="10">
        <f t="shared" si="10"/>
        <v>9.2239352601833635E-3</v>
      </c>
      <c r="AH21" s="10">
        <f t="shared" si="11"/>
        <v>3.4332533982130632E-2</v>
      </c>
      <c r="AI21" s="10">
        <f t="shared" si="25"/>
        <v>3.9711658654409778E-4</v>
      </c>
      <c r="AJ21" s="22"/>
      <c r="AK21"/>
      <c r="AL21" s="25"/>
      <c r="AM21" s="6"/>
      <c r="AN21" s="6"/>
      <c r="AO21" s="6"/>
      <c r="AP21" s="19"/>
      <c r="AQ21" s="7">
        <f t="shared" si="26"/>
        <v>1010.8254620123204</v>
      </c>
      <c r="AR21" s="10">
        <f t="shared" si="27"/>
        <v>5.2866171663244357</v>
      </c>
      <c r="AS21" s="6">
        <f t="shared" si="28"/>
        <v>5.1808848229979471E-4</v>
      </c>
      <c r="AT21" s="6">
        <f t="shared" si="12"/>
        <v>1007.2114989733059</v>
      </c>
      <c r="AU21" s="6">
        <f t="shared" si="13"/>
        <v>5.26771613963039</v>
      </c>
      <c r="AV21" s="6">
        <f t="shared" si="14"/>
        <v>5.1623618168377826E-4</v>
      </c>
      <c r="AW21" s="6">
        <f t="shared" si="29"/>
        <v>-2.9740096021014617E-3</v>
      </c>
      <c r="AX21" s="52">
        <f t="shared" si="30"/>
        <v>5.6136605602195638E-4</v>
      </c>
      <c r="AY21" s="53">
        <f t="shared" si="15"/>
        <v>4.3854500333366825E-2</v>
      </c>
      <c r="AZ21" s="54"/>
      <c r="BA21" s="23">
        <f t="shared" si="16"/>
        <v>0</v>
      </c>
      <c r="BB21"/>
      <c r="BC21"/>
      <c r="BD21"/>
    </row>
    <row r="22" spans="1:56" ht="14.4" x14ac:dyDescent="0.3">
      <c r="A22" t="s">
        <v>126</v>
      </c>
      <c r="B22">
        <v>1</v>
      </c>
      <c r="C22" s="2">
        <v>45050</v>
      </c>
      <c r="D22" s="11">
        <v>0.43958333333333338</v>
      </c>
      <c r="E22" s="15">
        <v>1017.5</v>
      </c>
      <c r="F22">
        <v>1078.7</v>
      </c>
      <c r="G22">
        <v>1075.4000000000001</v>
      </c>
      <c r="H22">
        <v>0.01</v>
      </c>
      <c r="I22">
        <v>4.5</v>
      </c>
      <c r="J22">
        <v>14.73</v>
      </c>
      <c r="K22">
        <v>78.56</v>
      </c>
      <c r="L22">
        <v>0</v>
      </c>
      <c r="N22" t="s">
        <v>99</v>
      </c>
      <c r="P22" s="3">
        <f t="shared" si="4"/>
        <v>45050.439583333333</v>
      </c>
      <c r="Q22" s="4">
        <f t="shared" si="5"/>
        <v>15.797222222223354</v>
      </c>
      <c r="R22">
        <f t="shared" si="17"/>
        <v>97.800000000000011</v>
      </c>
      <c r="S22">
        <f t="shared" si="18"/>
        <v>1.0224948875255623E-2</v>
      </c>
      <c r="T22">
        <f t="shared" si="19"/>
        <v>4.6012269938650299</v>
      </c>
      <c r="U22">
        <f t="shared" si="20"/>
        <v>15.061349693251532</v>
      </c>
      <c r="V22">
        <f t="shared" si="21"/>
        <v>80.327198364008169</v>
      </c>
      <c r="W22">
        <f t="shared" si="22"/>
        <v>99.999999999999986</v>
      </c>
      <c r="X22" s="6">
        <f t="shared" si="23"/>
        <v>4.2530259269455709E-2</v>
      </c>
      <c r="Y22" s="6">
        <f t="shared" si="0"/>
        <v>1.95691377006698E-3</v>
      </c>
      <c r="Z22" s="6">
        <f t="shared" si="6"/>
        <v>4.348697266815511E-6</v>
      </c>
      <c r="AA22" s="6">
        <f t="shared" si="1"/>
        <v>6.4056310740192492E-3</v>
      </c>
      <c r="AB22" s="6">
        <f t="shared" si="2"/>
        <v>3.4163365728102656E-2</v>
      </c>
      <c r="AC22" s="6">
        <f t="shared" si="24"/>
        <v>1.9612624673337954E-3</v>
      </c>
      <c r="AD22" s="6">
        <f t="shared" si="7"/>
        <v>4.2400149085355221E-2</v>
      </c>
      <c r="AE22" s="6">
        <f t="shared" si="8"/>
        <v>1.9509271051543812E-3</v>
      </c>
      <c r="AF22" s="6">
        <f t="shared" si="9"/>
        <v>4.3353935670097359E-6</v>
      </c>
      <c r="AG22" s="6">
        <f t="shared" si="10"/>
        <v>6.3860347242053403E-3</v>
      </c>
      <c r="AH22" s="6">
        <f t="shared" si="11"/>
        <v>3.4058851862428484E-2</v>
      </c>
      <c r="AI22" s="6">
        <f t="shared" si="25"/>
        <v>1.9552624987213907E-3</v>
      </c>
      <c r="AJ22" s="22">
        <f>AC22-AI21</f>
        <v>1.5641458807896975E-3</v>
      </c>
      <c r="AK22">
        <f>(AA22-AG21)*-1</f>
        <v>2.8183041861641143E-3</v>
      </c>
      <c r="AL22" s="25">
        <f>Y22-AE21</f>
        <v>1.5597971835228821E-3</v>
      </c>
      <c r="AM22" s="6">
        <f>AK22+AM20</f>
        <v>2.0349014458624033E-2</v>
      </c>
      <c r="AN22" s="6">
        <f>AL22+AN20</f>
        <v>9.7890929445208705E-3</v>
      </c>
      <c r="AO22" s="6">
        <f>AJ22+AO20</f>
        <v>1.0051672028068712E-2</v>
      </c>
      <c r="AP22" s="19">
        <f>AO22*$D$4*1000/$D$6</f>
        <v>0.78524707644345382</v>
      </c>
      <c r="AQ22">
        <f>F22*100*T22/100</f>
        <v>4963.3435582822076</v>
      </c>
      <c r="AR22" s="6">
        <f>AQ22*$D$7</f>
        <v>25.958286809815949</v>
      </c>
      <c r="AS22" s="6">
        <f t="shared" si="28"/>
        <v>2.5439121073619632E-3</v>
      </c>
      <c r="AT22" s="6">
        <f t="shared" si="12"/>
        <v>4948.1595092024536</v>
      </c>
      <c r="AU22" s="6">
        <f t="shared" si="13"/>
        <v>25.878874233128833</v>
      </c>
      <c r="AV22" s="6">
        <f t="shared" si="14"/>
        <v>2.5361296748466254E-3</v>
      </c>
      <c r="AW22" s="6">
        <f t="shared" si="29"/>
        <v>2.0276759256781848E-3</v>
      </c>
      <c r="AX22" s="52">
        <f t="shared" si="30"/>
        <v>2.5890419817001411E-3</v>
      </c>
      <c r="AY22" s="53">
        <f t="shared" si="15"/>
        <v>0.20225865321135247</v>
      </c>
      <c r="AZ22" s="54">
        <f t="shared" si="35"/>
        <v>0.98750572965480632</v>
      </c>
      <c r="BA22" s="23">
        <f t="shared" si="16"/>
        <v>0.7855959056350259</v>
      </c>
    </row>
    <row r="23" spans="1:56" s="7" customFormat="1" ht="14.4" x14ac:dyDescent="0.3">
      <c r="A23" t="s">
        <v>126</v>
      </c>
      <c r="B23">
        <v>1</v>
      </c>
      <c r="C23" s="2">
        <v>45050</v>
      </c>
      <c r="D23" s="11">
        <v>0.47152777777777777</v>
      </c>
      <c r="E23" s="15">
        <v>1017</v>
      </c>
      <c r="F23">
        <v>1125.0999999999999</v>
      </c>
      <c r="G23">
        <v>1121.8</v>
      </c>
      <c r="H23">
        <v>0</v>
      </c>
      <c r="I23">
        <v>0.65</v>
      </c>
      <c r="J23">
        <v>20.309999999999999</v>
      </c>
      <c r="K23">
        <v>75.36</v>
      </c>
      <c r="L23">
        <v>1</v>
      </c>
      <c r="M23"/>
      <c r="N23" t="s">
        <v>99</v>
      </c>
      <c r="O23">
        <v>839.36</v>
      </c>
      <c r="P23" s="8">
        <f t="shared" si="4"/>
        <v>45050.47152777778</v>
      </c>
      <c r="Q23" s="9">
        <f t="shared" si="5"/>
        <v>15.829166666670062</v>
      </c>
      <c r="R23">
        <f t="shared" si="17"/>
        <v>96.32</v>
      </c>
      <c r="S23">
        <f t="shared" si="18"/>
        <v>0</v>
      </c>
      <c r="T23">
        <f t="shared" si="19"/>
        <v>0.67483388704318936</v>
      </c>
      <c r="U23">
        <f t="shared" si="20"/>
        <v>21.0859634551495</v>
      </c>
      <c r="V23">
        <f t="shared" si="21"/>
        <v>78.239202657807311</v>
      </c>
      <c r="W23">
        <f t="shared" si="22"/>
        <v>100</v>
      </c>
      <c r="X23" s="10">
        <f t="shared" si="23"/>
        <v>4.435968731256569E-2</v>
      </c>
      <c r="Y23" s="10">
        <f t="shared" si="0"/>
        <v>2.9935420217159158E-4</v>
      </c>
      <c r="Z23" s="10">
        <f t="shared" si="6"/>
        <v>0</v>
      </c>
      <c r="AA23" s="10">
        <f t="shared" si="1"/>
        <v>9.3536674555461906E-3</v>
      </c>
      <c r="AB23" s="10">
        <f t="shared" si="2"/>
        <v>3.470666565484791E-2</v>
      </c>
      <c r="AC23" s="10">
        <f t="shared" si="24"/>
        <v>2.9935420217159158E-4</v>
      </c>
      <c r="AD23" s="10">
        <f t="shared" si="7"/>
        <v>4.4229577128465203E-2</v>
      </c>
      <c r="AE23" s="10">
        <f t="shared" si="8"/>
        <v>2.9847617455878718E-4</v>
      </c>
      <c r="AF23" s="10">
        <f t="shared" si="9"/>
        <v>0</v>
      </c>
      <c r="AG23" s="10">
        <f t="shared" si="10"/>
        <v>9.3262324696753336E-3</v>
      </c>
      <c r="AH23" s="10">
        <f t="shared" si="11"/>
        <v>3.4604868484231083E-2</v>
      </c>
      <c r="AI23" s="10">
        <f t="shared" si="25"/>
        <v>2.9847617455878718E-4</v>
      </c>
      <c r="AJ23" s="22"/>
      <c r="AK23"/>
      <c r="AL23" s="25"/>
      <c r="AM23" s="6"/>
      <c r="AN23" s="6"/>
      <c r="AO23" s="6"/>
      <c r="AP23" s="19"/>
      <c r="AQ23" s="7">
        <f t="shared" si="26"/>
        <v>759.25560631229223</v>
      </c>
      <c r="AR23" s="10">
        <f t="shared" si="27"/>
        <v>3.9709068210132887</v>
      </c>
      <c r="AS23" s="6">
        <f t="shared" si="28"/>
        <v>3.8914886845930232E-4</v>
      </c>
      <c r="AT23" s="6">
        <f t="shared" si="12"/>
        <v>757.02865448504974</v>
      </c>
      <c r="AU23" s="6">
        <f t="shared" si="13"/>
        <v>3.9592598629568103</v>
      </c>
      <c r="AV23" s="6">
        <f t="shared" si="14"/>
        <v>3.8800746656976741E-4</v>
      </c>
      <c r="AW23" s="6">
        <f t="shared" si="29"/>
        <v>-2.146980806387323E-3</v>
      </c>
      <c r="AX23" s="52">
        <f t="shared" si="30"/>
        <v>4.4206117531281819E-4</v>
      </c>
      <c r="AY23" s="53">
        <f t="shared" si="15"/>
        <v>3.453427892933781E-2</v>
      </c>
      <c r="AZ23" s="54"/>
      <c r="BA23" s="23">
        <f t="shared" si="16"/>
        <v>0</v>
      </c>
      <c r="BB23"/>
      <c r="BC23"/>
      <c r="BD23"/>
    </row>
    <row r="24" spans="1:56" ht="14.4" x14ac:dyDescent="0.3">
      <c r="A24" t="s">
        <v>126</v>
      </c>
      <c r="B24">
        <v>1</v>
      </c>
      <c r="C24" s="2">
        <v>45054</v>
      </c>
      <c r="D24" s="11">
        <v>0.40416666666666662</v>
      </c>
      <c r="E24" s="15">
        <v>1018.7</v>
      </c>
      <c r="F24">
        <v>1086.3</v>
      </c>
      <c r="G24">
        <v>1083.9000000000001</v>
      </c>
      <c r="H24">
        <v>0.02</v>
      </c>
      <c r="I24">
        <v>4.04</v>
      </c>
      <c r="J24">
        <v>14.46</v>
      </c>
      <c r="K24">
        <v>78.58</v>
      </c>
      <c r="L24">
        <v>0</v>
      </c>
      <c r="N24" t="s">
        <v>99</v>
      </c>
      <c r="P24" s="3">
        <f t="shared" si="4"/>
        <v>45054.404166666667</v>
      </c>
      <c r="Q24" s="4">
        <f t="shared" si="5"/>
        <v>19.761805555557657</v>
      </c>
      <c r="R24">
        <f t="shared" si="17"/>
        <v>97.1</v>
      </c>
      <c r="S24">
        <f t="shared" si="18"/>
        <v>2.0597322348094749E-2</v>
      </c>
      <c r="T24">
        <f t="shared" si="19"/>
        <v>4.1606591143151395</v>
      </c>
      <c r="U24">
        <f t="shared" si="20"/>
        <v>14.891864057672503</v>
      </c>
      <c r="V24">
        <f t="shared" si="21"/>
        <v>80.926879505664274</v>
      </c>
      <c r="W24">
        <f t="shared" si="22"/>
        <v>100.00000000000001</v>
      </c>
      <c r="X24" s="6">
        <f t="shared" si="23"/>
        <v>4.2829906966171997E-2</v>
      </c>
      <c r="Y24" s="6">
        <f t="shared" si="0"/>
        <v>1.7820064278407299E-3</v>
      </c>
      <c r="Z24" s="6">
        <f t="shared" si="6"/>
        <v>8.8218139992115351E-6</v>
      </c>
      <c r="AA24" s="6">
        <f t="shared" si="1"/>
        <v>6.3781715214299393E-3</v>
      </c>
      <c r="AB24" s="6">
        <f t="shared" si="2"/>
        <v>3.4660907202902123E-2</v>
      </c>
      <c r="AC24" s="6">
        <f t="shared" si="24"/>
        <v>1.7908282418399415E-3</v>
      </c>
      <c r="AD24" s="6">
        <f t="shared" si="7"/>
        <v>4.2735281377735281E-2</v>
      </c>
      <c r="AE24" s="6">
        <f t="shared" si="8"/>
        <v>1.7780693796709635E-3</v>
      </c>
      <c r="AF24" s="6">
        <f t="shared" si="9"/>
        <v>8.8023236617374427E-6</v>
      </c>
      <c r="AG24" s="6">
        <f t="shared" si="10"/>
        <v>6.36408000743617E-3</v>
      </c>
      <c r="AH24" s="6">
        <f t="shared" si="11"/>
        <v>3.4584329666966417E-2</v>
      </c>
      <c r="AI24" s="6">
        <f t="shared" si="25"/>
        <v>1.7868717033327009E-3</v>
      </c>
      <c r="AJ24" s="22">
        <f>AC24-AI23</f>
        <v>1.4923520672811543E-3</v>
      </c>
      <c r="AK24">
        <f>(AA24-AG23)*-1</f>
        <v>2.9480609482453943E-3</v>
      </c>
      <c r="AL24" s="25">
        <f>Y24-AE23</f>
        <v>1.4835302532819428E-3</v>
      </c>
      <c r="AM24" s="6">
        <f>AK24+AM22</f>
        <v>2.3297075406869427E-2</v>
      </c>
      <c r="AN24" s="6">
        <f>AL24+AN22</f>
        <v>1.1272623197802813E-2</v>
      </c>
      <c r="AO24" s="6">
        <f>AJ24+AO22</f>
        <v>1.1544024095349867E-2</v>
      </c>
      <c r="AP24" s="19">
        <f>AO24*$D$4*1000/$D$6</f>
        <v>0.90183117256044865</v>
      </c>
      <c r="AQ24">
        <f t="shared" si="26"/>
        <v>4519.7239958805358</v>
      </c>
      <c r="AR24" s="6">
        <f t="shared" si="27"/>
        <v>23.638156498455203</v>
      </c>
      <c r="AS24" s="6">
        <f t="shared" si="28"/>
        <v>2.31653933684861E-3</v>
      </c>
      <c r="AT24" s="6">
        <f t="shared" si="12"/>
        <v>4509.7384140061804</v>
      </c>
      <c r="AU24" s="6">
        <f t="shared" si="13"/>
        <v>23.585931905252323</v>
      </c>
      <c r="AV24" s="6">
        <f t="shared" si="14"/>
        <v>2.3114213267147279E-3</v>
      </c>
      <c r="AW24" s="6">
        <f t="shared" si="29"/>
        <v>1.9285318702788427E-3</v>
      </c>
      <c r="AX24" s="52">
        <f t="shared" si="30"/>
        <v>2.3705930455916609E-3</v>
      </c>
      <c r="AY24" s="53">
        <f t="shared" si="15"/>
        <v>0.18519319505151982</v>
      </c>
      <c r="AZ24" s="54">
        <f t="shared" si="35"/>
        <v>1.0870243676119684</v>
      </c>
      <c r="BA24" s="23">
        <f t="shared" si="16"/>
        <v>0.86401151019162414</v>
      </c>
    </row>
    <row r="25" spans="1:56" s="7" customFormat="1" ht="14.4" x14ac:dyDescent="0.3">
      <c r="A25" t="s">
        <v>126</v>
      </c>
      <c r="B25">
        <v>1</v>
      </c>
      <c r="C25" s="2">
        <v>45054</v>
      </c>
      <c r="D25" s="11">
        <v>0.43402777777777773</v>
      </c>
      <c r="E25" s="15">
        <v>1018.7</v>
      </c>
      <c r="F25">
        <v>1126.0999999999999</v>
      </c>
      <c r="G25">
        <v>1123.2</v>
      </c>
      <c r="H25">
        <v>0</v>
      </c>
      <c r="I25">
        <v>0.42</v>
      </c>
      <c r="J25">
        <v>20.25</v>
      </c>
      <c r="K25">
        <v>75.290000000000006</v>
      </c>
      <c r="L25">
        <v>1</v>
      </c>
      <c r="M25"/>
      <c r="N25" t="s">
        <v>99</v>
      </c>
      <c r="O25">
        <v>839.25</v>
      </c>
      <c r="P25" s="8">
        <f t="shared" si="4"/>
        <v>45054.434027777781</v>
      </c>
      <c r="Q25" s="9">
        <f t="shared" si="5"/>
        <v>19.791666666671517</v>
      </c>
      <c r="R25">
        <f t="shared" si="17"/>
        <v>95.960000000000008</v>
      </c>
      <c r="S25">
        <f t="shared" si="18"/>
        <v>0</v>
      </c>
      <c r="T25">
        <f t="shared" si="19"/>
        <v>0.4376823676531888</v>
      </c>
      <c r="U25">
        <f t="shared" si="20"/>
        <v>21.102542726135887</v>
      </c>
      <c r="V25">
        <f t="shared" si="21"/>
        <v>78.459774906210924</v>
      </c>
      <c r="W25">
        <f t="shared" si="22"/>
        <v>100</v>
      </c>
      <c r="X25" s="10">
        <f t="shared" si="23"/>
        <v>4.439911464108099E-2</v>
      </c>
      <c r="Y25" s="10">
        <f t="shared" si="0"/>
        <v>1.9432709617813688E-4</v>
      </c>
      <c r="Z25" s="10">
        <f t="shared" si="6"/>
        <v>0</v>
      </c>
      <c r="AA25" s="10">
        <f t="shared" si="1"/>
        <v>9.3693421371601696E-3</v>
      </c>
      <c r="AB25" s="10">
        <f t="shared" si="2"/>
        <v>3.483544540774268E-2</v>
      </c>
      <c r="AC25" s="10">
        <f t="shared" si="24"/>
        <v>1.9432709617813688E-4</v>
      </c>
      <c r="AD25" s="10">
        <f t="shared" si="7"/>
        <v>4.428477538838662E-2</v>
      </c>
      <c r="AE25" s="10">
        <f t="shared" si="8"/>
        <v>1.9382665342978719E-4</v>
      </c>
      <c r="AF25" s="10">
        <f t="shared" si="9"/>
        <v>0</v>
      </c>
      <c r="AG25" s="10">
        <f t="shared" si="10"/>
        <v>9.3452136475075959E-3</v>
      </c>
      <c r="AH25" s="10">
        <f t="shared" si="11"/>
        <v>3.4745735087449242E-2</v>
      </c>
      <c r="AI25" s="10">
        <f t="shared" si="25"/>
        <v>1.9382665342978719E-4</v>
      </c>
      <c r="AJ25" s="22"/>
      <c r="AK25"/>
      <c r="AL25" s="25"/>
      <c r="AM25" s="6"/>
      <c r="AN25" s="6"/>
      <c r="AO25" s="6"/>
      <c r="AP25" s="19"/>
      <c r="AQ25" s="7">
        <f t="shared" si="26"/>
        <v>492.87411421425583</v>
      </c>
      <c r="AR25" s="10">
        <f>AQ25*$D$7</f>
        <v>2.5777316173405582</v>
      </c>
      <c r="AS25" s="6">
        <f t="shared" si="28"/>
        <v>2.5261769849937473E-4</v>
      </c>
      <c r="AT25" s="6">
        <f t="shared" si="12"/>
        <v>491.60483534806167</v>
      </c>
      <c r="AU25" s="6">
        <f t="shared" si="13"/>
        <v>2.5710932888703626</v>
      </c>
      <c r="AV25" s="6">
        <f t="shared" si="14"/>
        <v>2.5196714230929555E-4</v>
      </c>
      <c r="AW25" s="6">
        <f t="shared" si="29"/>
        <v>-2.0588036282153531E-3</v>
      </c>
      <c r="AX25" s="52">
        <f t="shared" si="30"/>
        <v>3.1178941737630781E-4</v>
      </c>
      <c r="AY25" s="53">
        <f t="shared" si="15"/>
        <v>2.4357313666529812E-2</v>
      </c>
      <c r="AZ25" s="54"/>
      <c r="BA25" s="23">
        <f t="shared" si="16"/>
        <v>0</v>
      </c>
      <c r="BB25"/>
      <c r="BC25"/>
      <c r="BD25"/>
    </row>
    <row r="26" spans="1:56" ht="14.4" x14ac:dyDescent="0.3">
      <c r="A26" t="s">
        <v>126</v>
      </c>
      <c r="B26">
        <v>1</v>
      </c>
      <c r="C26" s="2">
        <v>45056</v>
      </c>
      <c r="D26" s="11">
        <v>0.43333333333333335</v>
      </c>
      <c r="E26" s="15">
        <v>1007.9</v>
      </c>
      <c r="F26">
        <v>1105.4000000000001</v>
      </c>
      <c r="G26">
        <v>1102.8</v>
      </c>
      <c r="H26">
        <v>0.19</v>
      </c>
      <c r="I26">
        <v>2.39</v>
      </c>
      <c r="J26">
        <v>17.64</v>
      </c>
      <c r="K26">
        <v>76.239999999999995</v>
      </c>
      <c r="L26">
        <v>0</v>
      </c>
      <c r="N26" t="s">
        <v>99</v>
      </c>
      <c r="P26" s="3">
        <f t="shared" si="4"/>
        <v>45056.433333333334</v>
      </c>
      <c r="Q26" s="4">
        <f t="shared" si="5"/>
        <v>21.790972222224809</v>
      </c>
      <c r="R26">
        <f t="shared" si="17"/>
        <v>96.46</v>
      </c>
      <c r="S26">
        <f t="shared" si="18"/>
        <v>0.19697283848227246</v>
      </c>
      <c r="T26">
        <f t="shared" si="19"/>
        <v>2.4777109682770062</v>
      </c>
      <c r="U26">
        <f t="shared" si="20"/>
        <v>18.287373004354137</v>
      </c>
      <c r="V26">
        <f t="shared" si="21"/>
        <v>79.037943188886587</v>
      </c>
      <c r="W26">
        <f t="shared" si="22"/>
        <v>100</v>
      </c>
      <c r="X26" s="6">
        <f t="shared" si="23"/>
        <v>4.3582968940814266E-2</v>
      </c>
      <c r="Y26" s="6">
        <f t="shared" si="0"/>
        <v>1.079860001747316E-3</v>
      </c>
      <c r="Z26" s="6">
        <f t="shared" si="6"/>
        <v>8.5846611017569051E-5</v>
      </c>
      <c r="AA26" s="6">
        <f t="shared" si="1"/>
        <v>7.9701800965785163E-3</v>
      </c>
      <c r="AB26" s="6">
        <f t="shared" si="2"/>
        <v>3.4447082231470867E-2</v>
      </c>
      <c r="AC26" s="6">
        <f t="shared" si="24"/>
        <v>1.1657066127648851E-3</v>
      </c>
      <c r="AD26" s="6">
        <f t="shared" si="7"/>
        <v>4.3480457886674477E-2</v>
      </c>
      <c r="AE26" s="6">
        <f t="shared" si="8"/>
        <v>1.077320074115198E-3</v>
      </c>
      <c r="AF26" s="6">
        <f t="shared" si="9"/>
        <v>8.5644692084471812E-5</v>
      </c>
      <c r="AG26" s="6">
        <f t="shared" si="10"/>
        <v>7.9514335177372775E-3</v>
      </c>
      <c r="AH26" s="6">
        <f t="shared" si="11"/>
        <v>3.4366059602737531E-2</v>
      </c>
      <c r="AI26" s="6">
        <f t="shared" si="25"/>
        <v>1.1629647661996697E-3</v>
      </c>
      <c r="AJ26" s="22">
        <f>AC26-AI25</f>
        <v>9.7187995933509794E-4</v>
      </c>
      <c r="AK26">
        <f>(AA26-AG25)*-1</f>
        <v>1.3750335509290796E-3</v>
      </c>
      <c r="AL26" s="25">
        <f>Y26-AE25</f>
        <v>8.8603334831752884E-4</v>
      </c>
      <c r="AM26" s="6">
        <f>AK26+AM24</f>
        <v>2.4672108957798505E-2</v>
      </c>
      <c r="AN26" s="6">
        <f>AL26+AN24</f>
        <v>1.2158656546120342E-2</v>
      </c>
      <c r="AO26" s="6">
        <f>AJ26+AO24</f>
        <v>1.2515904054684964E-2</v>
      </c>
      <c r="AP26" s="19">
        <f>AO26*$D$4*1000/$D$6</f>
        <v>0.97775544611322396</v>
      </c>
      <c r="AQ26">
        <f t="shared" si="26"/>
        <v>2738.8617043334029</v>
      </c>
      <c r="AR26" s="6">
        <f t="shared" si="27"/>
        <v>14.324246713663698</v>
      </c>
      <c r="AS26" s="6">
        <f t="shared" si="28"/>
        <v>1.4037761779390422E-3</v>
      </c>
      <c r="AT26" s="6">
        <f t="shared" si="12"/>
        <v>2732.4196558158828</v>
      </c>
      <c r="AU26" s="6">
        <f t="shared" si="13"/>
        <v>14.290554799917068</v>
      </c>
      <c r="AV26" s="6">
        <f t="shared" si="14"/>
        <v>1.4004743703918726E-3</v>
      </c>
      <c r="AW26" s="6">
        <f t="shared" si="29"/>
        <v>1.1518090356297467E-3</v>
      </c>
      <c r="AX26" s="52">
        <f t="shared" si="30"/>
        <v>1.4635984530060545E-3</v>
      </c>
      <c r="AY26" s="53">
        <f t="shared" si="15"/>
        <v>0.11433783385498952</v>
      </c>
      <c r="AZ26" s="54">
        <f t="shared" si="35"/>
        <v>1.0920932799682135</v>
      </c>
      <c r="BA26" s="23">
        <f t="shared" si="16"/>
        <v>0.67474970672935775</v>
      </c>
    </row>
    <row r="27" spans="1:56" s="7" customFormat="1" ht="14.4" x14ac:dyDescent="0.3">
      <c r="A27" t="s">
        <v>126</v>
      </c>
      <c r="B27">
        <v>1</v>
      </c>
      <c r="C27" s="2">
        <v>45056</v>
      </c>
      <c r="D27" s="11">
        <v>0.46111111111111108</v>
      </c>
      <c r="E27" s="15">
        <v>1008.4</v>
      </c>
      <c r="F27">
        <v>1114.3</v>
      </c>
      <c r="G27">
        <v>1110.9000000000001</v>
      </c>
      <c r="H27">
        <v>0</v>
      </c>
      <c r="I27">
        <v>0.43</v>
      </c>
      <c r="J27">
        <v>20.149999999999999</v>
      </c>
      <c r="K27">
        <v>74.86</v>
      </c>
      <c r="L27">
        <v>1</v>
      </c>
      <c r="M27"/>
      <c r="N27" t="s">
        <v>99</v>
      </c>
      <c r="O27">
        <v>839.15</v>
      </c>
      <c r="P27" s="8">
        <f t="shared" si="4"/>
        <v>45056.461111111108</v>
      </c>
      <c r="Q27" s="9">
        <f t="shared" si="5"/>
        <v>21.818749999998545</v>
      </c>
      <c r="R27">
        <f t="shared" si="17"/>
        <v>95.44</v>
      </c>
      <c r="S27">
        <f t="shared" si="18"/>
        <v>0</v>
      </c>
      <c r="T27">
        <f t="shared" si="19"/>
        <v>0.45054484492875108</v>
      </c>
      <c r="U27">
        <f t="shared" si="20"/>
        <v>21.112740989103099</v>
      </c>
      <c r="V27">
        <f t="shared" si="21"/>
        <v>78.436714165968155</v>
      </c>
      <c r="W27">
        <f t="shared" si="22"/>
        <v>100</v>
      </c>
      <c r="X27" s="10">
        <f t="shared" si="23"/>
        <v>4.3933872164600443E-2</v>
      </c>
      <c r="Y27" s="10">
        <f t="shared" si="0"/>
        <v>1.979417962151948E-4</v>
      </c>
      <c r="Z27" s="10">
        <f t="shared" si="6"/>
        <v>0</v>
      </c>
      <c r="AA27" s="10">
        <f t="shared" si="1"/>
        <v>9.2756446365957548E-3</v>
      </c>
      <c r="AB27" s="10">
        <f t="shared" si="2"/>
        <v>3.4460285731789497E-2</v>
      </c>
      <c r="AC27" s="10">
        <f t="shared" si="24"/>
        <v>1.979417962151948E-4</v>
      </c>
      <c r="AD27" s="10">
        <f t="shared" si="7"/>
        <v>4.3799819247648419E-2</v>
      </c>
      <c r="AE27" s="10">
        <f t="shared" si="8"/>
        <v>1.9733782770839085E-4</v>
      </c>
      <c r="AF27" s="10">
        <f t="shared" si="9"/>
        <v>0</v>
      </c>
      <c r="AG27" s="10">
        <f t="shared" si="10"/>
        <v>9.247342391451337E-3</v>
      </c>
      <c r="AH27" s="10">
        <f t="shared" si="11"/>
        <v>3.435513902848869E-2</v>
      </c>
      <c r="AI27" s="10">
        <f t="shared" si="25"/>
        <v>1.9733782770839085E-4</v>
      </c>
      <c r="AJ27" s="22"/>
      <c r="AK27"/>
      <c r="AL27" s="25"/>
      <c r="AM27" s="6"/>
      <c r="AN27" s="6"/>
      <c r="AO27" s="6"/>
      <c r="AP27" s="19"/>
      <c r="AQ27" s="7">
        <f t="shared" si="26"/>
        <v>502.04212070410728</v>
      </c>
      <c r="AR27" s="10">
        <f t="shared" si="27"/>
        <v>2.6256802912824813</v>
      </c>
      <c r="AS27" s="6">
        <f t="shared" si="28"/>
        <v>2.5731666854568317E-4</v>
      </c>
      <c r="AT27" s="6">
        <f t="shared" si="12"/>
        <v>500.51026823134964</v>
      </c>
      <c r="AU27" s="6">
        <f t="shared" si="13"/>
        <v>2.6176687028499588</v>
      </c>
      <c r="AV27" s="6">
        <f t="shared" si="14"/>
        <v>2.5653153287929597E-4</v>
      </c>
      <c r="AW27" s="6">
        <f t="shared" si="29"/>
        <v>-1.1431577018461894E-3</v>
      </c>
      <c r="AX27" s="52">
        <f t="shared" si="30"/>
        <v>3.2044075115986517E-4</v>
      </c>
      <c r="AY27" s="53">
        <f t="shared" si="15"/>
        <v>2.5033164862420871E-2</v>
      </c>
      <c r="AZ27" s="54"/>
      <c r="BA27" s="23">
        <f t="shared" si="16"/>
        <v>0</v>
      </c>
      <c r="BB27"/>
      <c r="BC27"/>
      <c r="BD27"/>
    </row>
    <row r="28" spans="1:56" ht="15" customHeight="1" x14ac:dyDescent="0.3">
      <c r="A28" t="s">
        <v>126</v>
      </c>
      <c r="B28">
        <v>1</v>
      </c>
      <c r="C28" s="2">
        <v>45058</v>
      </c>
      <c r="D28" s="11">
        <v>0.40972222222222227</v>
      </c>
      <c r="E28" s="15">
        <v>1014.8</v>
      </c>
      <c r="F28">
        <v>1090.4000000000001</v>
      </c>
      <c r="G28">
        <v>1087.5999999999999</v>
      </c>
      <c r="H28">
        <v>0</v>
      </c>
      <c r="I28">
        <v>1.81</v>
      </c>
      <c r="J28">
        <v>17.989999999999998</v>
      </c>
      <c r="K28">
        <v>76.33</v>
      </c>
      <c r="L28">
        <v>0</v>
      </c>
      <c r="N28" t="s">
        <v>99</v>
      </c>
      <c r="P28" s="3">
        <f t="shared" si="4"/>
        <v>45058.409722222219</v>
      </c>
      <c r="Q28" s="4">
        <f t="shared" si="5"/>
        <v>23.767361111109494</v>
      </c>
      <c r="R28">
        <f t="shared" si="17"/>
        <v>96.13</v>
      </c>
      <c r="S28">
        <f t="shared" si="18"/>
        <v>0</v>
      </c>
      <c r="T28">
        <f t="shared" si="19"/>
        <v>1.8828669510038492</v>
      </c>
      <c r="U28">
        <f t="shared" si="20"/>
        <v>18.714241131800684</v>
      </c>
      <c r="V28">
        <f t="shared" si="21"/>
        <v>79.402891917195461</v>
      </c>
      <c r="W28">
        <f t="shared" si="22"/>
        <v>100</v>
      </c>
      <c r="X28" s="6">
        <f t="shared" si="23"/>
        <v>4.2991559013084747E-2</v>
      </c>
      <c r="Y28" s="6">
        <f t="shared" si="0"/>
        <v>8.0947385637868932E-4</v>
      </c>
      <c r="Z28" s="6">
        <f t="shared" si="6"/>
        <v>0</v>
      </c>
      <c r="AA28" s="6">
        <f t="shared" si="1"/>
        <v>8.0455440200290704E-3</v>
      </c>
      <c r="AB28" s="6">
        <f t="shared" si="2"/>
        <v>3.4136541136676989E-2</v>
      </c>
      <c r="AC28" s="6">
        <f>Y28+Z28</f>
        <v>8.0947385637868932E-4</v>
      </c>
      <c r="AD28" s="6">
        <f t="shared" si="7"/>
        <v>4.2881162493241885E-2</v>
      </c>
      <c r="AE28" s="6">
        <f t="shared" si="8"/>
        <v>8.0739523679150961E-4</v>
      </c>
      <c r="AF28" s="6">
        <f t="shared" si="9"/>
        <v>0</v>
      </c>
      <c r="AG28" s="6">
        <f t="shared" si="10"/>
        <v>8.0248841491045615E-3</v>
      </c>
      <c r="AH28" s="6">
        <f t="shared" si="11"/>
        <v>3.4048883107345815E-2</v>
      </c>
      <c r="AI28" s="6">
        <f>AE28+AF28</f>
        <v>8.0739523679150961E-4</v>
      </c>
      <c r="AJ28" s="22">
        <f>AC28-AI27</f>
        <v>6.1213602867029844E-4</v>
      </c>
      <c r="AK28">
        <f>(AA28-AG27)*-1</f>
        <v>1.2017983714222667E-3</v>
      </c>
      <c r="AL28" s="25">
        <f>Y28-AE27</f>
        <v>6.1213602867029844E-4</v>
      </c>
      <c r="AM28" s="6">
        <f>AK28+AM26</f>
        <v>2.587390732922077E-2</v>
      </c>
      <c r="AN28" s="6">
        <f>AL28+AN26</f>
        <v>1.277079257479064E-2</v>
      </c>
      <c r="AO28" s="6">
        <f>AJ28+AO26</f>
        <v>1.3128040083355262E-2</v>
      </c>
      <c r="AP28" s="19">
        <f>AO28*$D$4*1000/$D$6</f>
        <v>1.0255761495302069</v>
      </c>
      <c r="AQ28">
        <f>F28*100*T28/100</f>
        <v>2053.0781233745975</v>
      </c>
      <c r="AR28" s="6">
        <f t="shared" si="27"/>
        <v>10.737598585249145</v>
      </c>
      <c r="AS28" s="6">
        <f t="shared" si="28"/>
        <v>1.0522846613544164E-3</v>
      </c>
      <c r="AT28" s="6">
        <f t="shared" si="12"/>
        <v>2047.8060959117859</v>
      </c>
      <c r="AU28" s="6">
        <f t="shared" si="13"/>
        <v>10.710025881618641</v>
      </c>
      <c r="AV28" s="6">
        <f t="shared" si="14"/>
        <v>1.0495825363986268E-3</v>
      </c>
      <c r="AW28" s="6">
        <f t="shared" si="29"/>
        <v>7.9575312847512047E-4</v>
      </c>
      <c r="AX28" s="52">
        <f t="shared" si="30"/>
        <v>1.1161938796349856E-3</v>
      </c>
      <c r="AY28" s="53">
        <f t="shared" si="15"/>
        <v>8.7198227148668095E-2</v>
      </c>
      <c r="AZ28" s="54">
        <f t="shared" si="35"/>
        <v>1.1127743766788751</v>
      </c>
      <c r="BA28" s="23">
        <f t="shared" si="16"/>
        <v>0.85361717953633942</v>
      </c>
    </row>
    <row r="29" spans="1:56" ht="15" customHeight="1" x14ac:dyDescent="0.3">
      <c r="A29" t="s">
        <v>126</v>
      </c>
      <c r="B29">
        <v>1</v>
      </c>
      <c r="C29" s="2">
        <v>45061</v>
      </c>
      <c r="D29" s="11">
        <v>0.4375</v>
      </c>
      <c r="E29" s="15">
        <v>1012.8</v>
      </c>
      <c r="F29">
        <v>1060.5999999999999</v>
      </c>
      <c r="G29">
        <v>1057.5</v>
      </c>
      <c r="H29">
        <v>0.03</v>
      </c>
      <c r="I29">
        <v>3.1</v>
      </c>
      <c r="J29">
        <v>15.21</v>
      </c>
      <c r="K29">
        <v>79.790000000000006</v>
      </c>
      <c r="L29">
        <v>0</v>
      </c>
      <c r="N29" t="s">
        <v>99</v>
      </c>
      <c r="P29" s="8">
        <f t="shared" si="4"/>
        <v>45061.4375</v>
      </c>
      <c r="Q29" s="9">
        <f t="shared" si="5"/>
        <v>26.795138888890506</v>
      </c>
      <c r="R29">
        <f t="shared" si="17"/>
        <v>98.13000000000001</v>
      </c>
      <c r="S29">
        <f t="shared" si="18"/>
        <v>3.0571690614490978E-2</v>
      </c>
      <c r="T29">
        <f t="shared" si="19"/>
        <v>3.1590746968307344</v>
      </c>
      <c r="U29">
        <f t="shared" si="20"/>
        <v>15.499847141546926</v>
      </c>
      <c r="V29">
        <f t="shared" si="21"/>
        <v>81.310506471007841</v>
      </c>
      <c r="W29">
        <f t="shared" si="22"/>
        <v>100</v>
      </c>
      <c r="X29" s="6">
        <f t="shared" si="23"/>
        <v>4.1816624623328746E-2</v>
      </c>
      <c r="Y29" s="6">
        <f t="shared" si="0"/>
        <v>1.3210184075442687E-3</v>
      </c>
      <c r="Z29" s="6">
        <f t="shared" si="6"/>
        <v>1.2784049105267117E-5</v>
      </c>
      <c r="AA29" s="6">
        <f t="shared" si="1"/>
        <v>6.4815128963704284E-3</v>
      </c>
      <c r="AB29" s="6">
        <f t="shared" si="2"/>
        <v>3.4001309270308776E-2</v>
      </c>
      <c r="AC29" s="6">
        <f t="shared" ref="AC29:AC33" si="39">Y29+Z29</f>
        <v>1.3338024566495359E-3</v>
      </c>
      <c r="AD29" s="6">
        <f t="shared" si="7"/>
        <v>4.1694399904931317E-2</v>
      </c>
      <c r="AE29" s="6">
        <f t="shared" si="8"/>
        <v>1.3171572373921032E-3</v>
      </c>
      <c r="AF29" s="6">
        <f t="shared" si="9"/>
        <v>1.2746682942504223E-5</v>
      </c>
      <c r="AG29" s="6">
        <f t="shared" si="10"/>
        <v>6.4625682518496411E-3</v>
      </c>
      <c r="AH29" s="6">
        <f t="shared" si="11"/>
        <v>3.390192773274707E-2</v>
      </c>
      <c r="AI29" s="6">
        <f t="shared" ref="AI29:AI33" si="40">AE29+AF29</f>
        <v>1.3299039203346075E-3</v>
      </c>
      <c r="AJ29" s="22">
        <f>AC29-AI28</f>
        <v>5.2640721985802632E-4</v>
      </c>
      <c r="AK29">
        <f>(AA29-AG28)*-1</f>
        <v>1.5433712527341331E-3</v>
      </c>
      <c r="AL29" s="25">
        <f>Y29-AE28</f>
        <v>5.136231707527591E-4</v>
      </c>
      <c r="AM29" s="6">
        <f t="shared" ref="AM29:AM32" si="41">AK29+AM28</f>
        <v>2.7417278581954904E-2</v>
      </c>
      <c r="AN29" s="6">
        <f t="shared" ref="AN29:AN32" si="42">AL29+AN28</f>
        <v>1.3284415745543399E-2</v>
      </c>
      <c r="AO29" s="6">
        <f t="shared" ref="AO29:AO32" si="43">AJ29+AO28</f>
        <v>1.3654447303213288E-2</v>
      </c>
      <c r="AP29" s="19">
        <f>AO29*$D$4*1000/$D$6</f>
        <v>1.0666996292117921</v>
      </c>
      <c r="AQ29">
        <f t="shared" ref="AQ29:AQ33" si="44">F29*100*T29/100</f>
        <v>3350.5146234586764</v>
      </c>
      <c r="AR29" s="6">
        <f t="shared" si="27"/>
        <v>17.52319148068888</v>
      </c>
      <c r="AS29" s="6">
        <f t="shared" si="28"/>
        <v>1.7172727651075103E-3</v>
      </c>
      <c r="AT29" s="6">
        <f t="shared" si="12"/>
        <v>3340.7214918985014</v>
      </c>
      <c r="AU29" s="6">
        <f t="shared" si="13"/>
        <v>17.471973402629164</v>
      </c>
      <c r="AV29" s="6">
        <f t="shared" si="14"/>
        <v>1.7122533934576581E-3</v>
      </c>
      <c r="AW29" s="6">
        <f t="shared" si="29"/>
        <v>6.6769022870888351E-4</v>
      </c>
      <c r="AX29" s="52">
        <f t="shared" si="30"/>
        <v>1.7838841083438692E-3</v>
      </c>
      <c r="AY29" s="53">
        <f t="shared" si="15"/>
        <v>0.1393588824704324</v>
      </c>
      <c r="AZ29" s="54">
        <f t="shared" si="35"/>
        <v>1.2060585116822244</v>
      </c>
      <c r="BA29" s="23">
        <f t="shared" si="16"/>
        <v>1.3064875531230664</v>
      </c>
    </row>
    <row r="30" spans="1:56" ht="15" customHeight="1" x14ac:dyDescent="0.3">
      <c r="A30" t="s">
        <v>126</v>
      </c>
      <c r="B30">
        <v>1</v>
      </c>
      <c r="C30" s="2">
        <v>45061</v>
      </c>
      <c r="D30" s="11">
        <v>0.4680555555555555</v>
      </c>
      <c r="E30" s="15">
        <v>1012.9</v>
      </c>
      <c r="F30">
        <v>1119.8</v>
      </c>
      <c r="G30">
        <v>1116.2</v>
      </c>
      <c r="H30">
        <v>0</v>
      </c>
      <c r="I30">
        <v>0.32</v>
      </c>
      <c r="J30">
        <v>20.45</v>
      </c>
      <c r="K30">
        <v>76.040000000000006</v>
      </c>
      <c r="L30">
        <v>1</v>
      </c>
      <c r="N30" t="s">
        <v>99</v>
      </c>
      <c r="O30">
        <v>839.07</v>
      </c>
      <c r="P30" s="3">
        <f t="shared" si="4"/>
        <v>45061.468055555553</v>
      </c>
      <c r="Q30" s="4">
        <f t="shared" si="5"/>
        <v>26.825694444443798</v>
      </c>
      <c r="R30">
        <f t="shared" si="17"/>
        <v>96.81</v>
      </c>
      <c r="S30">
        <f t="shared" si="18"/>
        <v>0</v>
      </c>
      <c r="T30">
        <f t="shared" si="19"/>
        <v>0.33054436525152359</v>
      </c>
      <c r="U30">
        <f t="shared" si="20"/>
        <v>21.12385084185518</v>
      </c>
      <c r="V30">
        <f t="shared" si="21"/>
        <v>78.5456047928933</v>
      </c>
      <c r="W30">
        <f t="shared" si="22"/>
        <v>100</v>
      </c>
      <c r="X30" s="10">
        <f t="shared" si="23"/>
        <v>4.4150722471434603E-2</v>
      </c>
      <c r="Y30" s="10">
        <f t="shared" si="0"/>
        <v>1.4593772534716529E-4</v>
      </c>
      <c r="Z30" s="10">
        <f t="shared" si="6"/>
        <v>0</v>
      </c>
      <c r="AA30" s="10">
        <f t="shared" si="1"/>
        <v>9.3263327604672826E-3</v>
      </c>
      <c r="AB30" s="10">
        <f t="shared" si="2"/>
        <v>3.4678451985620161E-2</v>
      </c>
      <c r="AC30" s="10">
        <f t="shared" si="39"/>
        <v>1.4593772534716529E-4</v>
      </c>
      <c r="AD30" s="10">
        <f t="shared" si="7"/>
        <v>4.4008784088779514E-2</v>
      </c>
      <c r="AE30" s="10">
        <f t="shared" si="8"/>
        <v>1.4546855602116975E-4</v>
      </c>
      <c r="AF30" s="10">
        <f t="shared" si="9"/>
        <v>0</v>
      </c>
      <c r="AG30" s="10">
        <f t="shared" si="10"/>
        <v>9.2963499082278807E-3</v>
      </c>
      <c r="AH30" s="10">
        <f t="shared" si="11"/>
        <v>3.4566965624530467E-2</v>
      </c>
      <c r="AI30" s="10">
        <f t="shared" si="40"/>
        <v>1.4546855602116975E-4</v>
      </c>
      <c r="AJ30" s="22"/>
      <c r="AL30" s="25"/>
      <c r="AM30" s="6"/>
      <c r="AN30" s="6"/>
      <c r="AO30" s="6"/>
      <c r="AP30" s="19"/>
      <c r="AQ30" s="7">
        <f t="shared" si="44"/>
        <v>370.14358020865615</v>
      </c>
      <c r="AR30" s="10">
        <f t="shared" si="27"/>
        <v>1.9358509244912718</v>
      </c>
      <c r="AS30" s="6">
        <f t="shared" si="28"/>
        <v>1.8971339060014464E-4</v>
      </c>
      <c r="AT30" s="6">
        <f t="shared" si="12"/>
        <v>368.95362049375063</v>
      </c>
      <c r="AU30" s="6">
        <f t="shared" si="13"/>
        <v>1.9296274351823159</v>
      </c>
      <c r="AV30" s="6">
        <f t="shared" si="14"/>
        <v>1.8910348864786697E-4</v>
      </c>
      <c r="AW30" s="6">
        <f t="shared" si="29"/>
        <v>-1.5225400028575134E-3</v>
      </c>
      <c r="AX30" s="52">
        <f t="shared" si="30"/>
        <v>2.613441054863557E-4</v>
      </c>
      <c r="AY30" s="53">
        <f t="shared" si="15"/>
        <v>2.0416473419131297E-2</v>
      </c>
      <c r="AZ30" s="54"/>
      <c r="BA30" s="23">
        <f t="shared" si="16"/>
        <v>0</v>
      </c>
    </row>
    <row r="31" spans="1:56" ht="15" customHeight="1" x14ac:dyDescent="0.3">
      <c r="A31" t="s">
        <v>126</v>
      </c>
      <c r="B31">
        <v>1</v>
      </c>
      <c r="C31" s="2">
        <v>45063</v>
      </c>
      <c r="D31" s="11">
        <v>0.40416666666666662</v>
      </c>
      <c r="E31" s="15">
        <v>1025.5999999999999</v>
      </c>
      <c r="F31">
        <v>1100.9000000000001</v>
      </c>
      <c r="G31">
        <v>1097.8</v>
      </c>
      <c r="H31">
        <v>0</v>
      </c>
      <c r="I31">
        <v>2.04</v>
      </c>
      <c r="J31">
        <v>18.28</v>
      </c>
      <c r="K31">
        <v>77.59</v>
      </c>
      <c r="L31">
        <v>0</v>
      </c>
      <c r="N31" t="s">
        <v>99</v>
      </c>
      <c r="P31" s="3">
        <f t="shared" si="4"/>
        <v>45063.404166666667</v>
      </c>
      <c r="Q31" s="4">
        <f t="shared" si="5"/>
        <v>28.761805555557657</v>
      </c>
      <c r="R31">
        <f t="shared" si="17"/>
        <v>97.91</v>
      </c>
      <c r="S31">
        <f t="shared" si="18"/>
        <v>0</v>
      </c>
      <c r="T31">
        <f t="shared" si="19"/>
        <v>2.0835461137779596</v>
      </c>
      <c r="U31">
        <f t="shared" si="20"/>
        <v>18.670207333265243</v>
      </c>
      <c r="V31">
        <f t="shared" si="21"/>
        <v>79.246246552956805</v>
      </c>
      <c r="W31">
        <f t="shared" si="22"/>
        <v>100</v>
      </c>
      <c r="X31" s="10">
        <f t="shared" si="23"/>
        <v>4.3405545962495407E-2</v>
      </c>
      <c r="Y31" s="10">
        <f t="shared" si="0"/>
        <v>9.0437456606567903E-4</v>
      </c>
      <c r="Z31" s="10">
        <f t="shared" si="6"/>
        <v>0</v>
      </c>
      <c r="AA31" s="10">
        <f t="shared" si="1"/>
        <v>8.1039054253336327E-3</v>
      </c>
      <c r="AB31" s="10">
        <f t="shared" si="2"/>
        <v>3.4397265971096096E-2</v>
      </c>
      <c r="AC31" s="10">
        <f t="shared" si="39"/>
        <v>9.0437456606567903E-4</v>
      </c>
      <c r="AD31" s="10">
        <f t="shared" si="7"/>
        <v>4.3283321244097971E-2</v>
      </c>
      <c r="AE31" s="10">
        <f t="shared" si="8"/>
        <v>9.0182795769543328E-4</v>
      </c>
      <c r="AF31" s="10">
        <f t="shared" si="9"/>
        <v>0</v>
      </c>
      <c r="AG31" s="10">
        <f t="shared" si="10"/>
        <v>8.0810858169963317E-3</v>
      </c>
      <c r="AH31" s="10">
        <f t="shared" si="11"/>
        <v>3.4300407469406206E-2</v>
      </c>
      <c r="AI31" s="10">
        <f t="shared" si="40"/>
        <v>9.0182795769543328E-4</v>
      </c>
      <c r="AJ31" s="22">
        <f>AC31-AI30</f>
        <v>7.5890601004450923E-4</v>
      </c>
      <c r="AK31">
        <f>(AA31-AG30)*-1</f>
        <v>1.192444482894248E-3</v>
      </c>
      <c r="AL31" s="25">
        <f>Y31-AE30</f>
        <v>7.5890601004450923E-4</v>
      </c>
      <c r="AM31" s="6">
        <f>AK31+AM29</f>
        <v>2.860972306484915E-2</v>
      </c>
      <c r="AN31" s="6">
        <f>AL31+AN29</f>
        <v>1.4043321755587907E-2</v>
      </c>
      <c r="AO31" s="6">
        <f>AJ31+AO29</f>
        <v>1.4413353313257797E-2</v>
      </c>
      <c r="AP31" s="19">
        <f>AO31*$D$4*1000/$D$6</f>
        <v>1.1259861562710434</v>
      </c>
      <c r="AQ31">
        <f t="shared" si="44"/>
        <v>2293.7759166581559</v>
      </c>
      <c r="AR31" s="6">
        <f t="shared" si="27"/>
        <v>11.996448044122156</v>
      </c>
      <c r="AS31" s="6">
        <f t="shared" si="28"/>
        <v>1.1756519083239714E-3</v>
      </c>
      <c r="AT31" s="6">
        <f t="shared" si="12"/>
        <v>2287.3169237054444</v>
      </c>
      <c r="AU31" s="6">
        <f t="shared" si="13"/>
        <v>11.962667510979475</v>
      </c>
      <c r="AV31" s="6">
        <f t="shared" si="14"/>
        <v>1.1723414160759887E-3</v>
      </c>
      <c r="AW31" s="6">
        <f t="shared" si="29"/>
        <v>9.8654841967610448E-4</v>
      </c>
      <c r="AX31" s="52">
        <f t="shared" si="30"/>
        <v>1.2478925251624602E-3</v>
      </c>
      <c r="AY31" s="53">
        <f t="shared" si="15"/>
        <v>9.7486662354594938E-2</v>
      </c>
      <c r="AZ31" s="54">
        <f t="shared" si="35"/>
        <v>1.2234728186256383</v>
      </c>
      <c r="BA31" s="23">
        <f t="shared" si="16"/>
        <v>0.68317136362312059</v>
      </c>
    </row>
    <row r="32" spans="1:56" ht="15" customHeight="1" x14ac:dyDescent="0.3">
      <c r="A32" t="s">
        <v>126</v>
      </c>
      <c r="B32">
        <v>1</v>
      </c>
      <c r="C32" s="2">
        <v>45068</v>
      </c>
      <c r="D32" s="11">
        <v>0.62222222222222223</v>
      </c>
      <c r="E32" s="15">
        <v>1013.4</v>
      </c>
      <c r="F32">
        <v>1058</v>
      </c>
      <c r="G32">
        <v>1055.3</v>
      </c>
      <c r="H32">
        <v>0.02</v>
      </c>
      <c r="I32">
        <v>6.1</v>
      </c>
      <c r="J32">
        <v>11.1</v>
      </c>
      <c r="K32">
        <v>80.849999999999994</v>
      </c>
      <c r="L32">
        <v>0</v>
      </c>
      <c r="M32" t="s">
        <v>13</v>
      </c>
      <c r="N32" t="s">
        <v>99</v>
      </c>
      <c r="P32" s="3">
        <f t="shared" si="4"/>
        <v>45068.62222222222</v>
      </c>
      <c r="Q32" s="4">
        <f t="shared" si="5"/>
        <v>33.979861111110949</v>
      </c>
      <c r="R32">
        <f t="shared" si="17"/>
        <v>98.07</v>
      </c>
      <c r="S32">
        <f t="shared" si="18"/>
        <v>2.0393596410727032E-2</v>
      </c>
      <c r="T32">
        <f t="shared" si="19"/>
        <v>6.2200469052717455</v>
      </c>
      <c r="U32">
        <f t="shared" si="20"/>
        <v>11.318446007953503</v>
      </c>
      <c r="V32">
        <f t="shared" si="21"/>
        <v>82.441113490364017</v>
      </c>
      <c r="W32">
        <f t="shared" si="22"/>
        <v>100</v>
      </c>
      <c r="X32" s="10">
        <f t="shared" si="23"/>
        <v>4.1714113569188971E-2</v>
      </c>
      <c r="Y32" s="10">
        <f t="shared" si="0"/>
        <v>2.5946374301218799E-3</v>
      </c>
      <c r="Z32" s="10">
        <f t="shared" si="6"/>
        <v>8.5070079676127197E-6</v>
      </c>
      <c r="AA32" s="10">
        <f t="shared" si="1"/>
        <v>4.7213894220250593E-3</v>
      </c>
      <c r="AB32" s="10">
        <f t="shared" si="2"/>
        <v>3.4389579709074414E-2</v>
      </c>
      <c r="AC32" s="10">
        <f t="shared" si="39"/>
        <v>2.6031444380894926E-3</v>
      </c>
      <c r="AD32" s="10">
        <f t="shared" si="7"/>
        <v>4.1607659782197659E-2</v>
      </c>
      <c r="AE32" s="10">
        <f t="shared" si="8"/>
        <v>2.5880159546385821E-3</v>
      </c>
      <c r="AF32" s="10">
        <f t="shared" si="9"/>
        <v>8.4852982119297773E-6</v>
      </c>
      <c r="AG32" s="10">
        <f t="shared" si="10"/>
        <v>4.7093405076210262E-3</v>
      </c>
      <c r="AH32" s="10">
        <f t="shared" si="11"/>
        <v>3.4301818021726119E-2</v>
      </c>
      <c r="AI32" s="10">
        <f t="shared" si="40"/>
        <v>2.596501252850512E-3</v>
      </c>
      <c r="AJ32" s="22">
        <f>AC32-AI31</f>
        <v>1.7013164803940592E-3</v>
      </c>
      <c r="AK32">
        <f>(AA32-AG31)*-1</f>
        <v>3.3596963949712724E-3</v>
      </c>
      <c r="AL32" s="25">
        <f>Y32-AE31</f>
        <v>1.6928094724264465E-3</v>
      </c>
      <c r="AM32" s="6">
        <f t="shared" si="41"/>
        <v>3.1969419459820424E-2</v>
      </c>
      <c r="AN32" s="6">
        <f t="shared" si="42"/>
        <v>1.5736131228014354E-2</v>
      </c>
      <c r="AO32" s="6">
        <f t="shared" si="43"/>
        <v>1.6114669793651858E-2</v>
      </c>
      <c r="AP32" s="19">
        <f>AO32*$D$4*1000/$D$6</f>
        <v>1.2588947697438995</v>
      </c>
      <c r="AQ32">
        <f t="shared" si="44"/>
        <v>6580.8096257775069</v>
      </c>
      <c r="AR32" s="6">
        <f t="shared" si="27"/>
        <v>34.417634342816363</v>
      </c>
      <c r="AS32" s="6">
        <f t="shared" si="28"/>
        <v>3.3729281655960038E-3</v>
      </c>
      <c r="AT32" s="6">
        <f t="shared" si="12"/>
        <v>6564.0154991332729</v>
      </c>
      <c r="AU32" s="6">
        <f t="shared" si="13"/>
        <v>34.32980106046702</v>
      </c>
      <c r="AV32" s="6">
        <f t="shared" si="14"/>
        <v>3.3643205039257679E-3</v>
      </c>
      <c r="AW32" s="6">
        <f t="shared" si="29"/>
        <v>2.2005867495200151E-3</v>
      </c>
      <c r="AX32" s="52">
        <f t="shared" si="30"/>
        <v>3.4484792746824755E-3</v>
      </c>
      <c r="AY32" s="53">
        <f t="shared" si="15"/>
        <v>0.26939878868496492</v>
      </c>
      <c r="AZ32" s="54">
        <f t="shared" si="35"/>
        <v>1.5282935584288644</v>
      </c>
      <c r="BA32" s="23">
        <f t="shared" si="16"/>
        <v>0.86292177919965929</v>
      </c>
    </row>
    <row r="33" spans="1:53" ht="15" customHeight="1" x14ac:dyDescent="0.3">
      <c r="A33" t="s">
        <v>126</v>
      </c>
      <c r="B33">
        <v>1</v>
      </c>
      <c r="C33" s="2">
        <v>45068</v>
      </c>
      <c r="D33" s="11">
        <v>0.65694444444444444</v>
      </c>
      <c r="E33" s="15">
        <v>1013.6</v>
      </c>
      <c r="F33">
        <v>1120.9000000000001</v>
      </c>
      <c r="G33">
        <v>1117.4000000000001</v>
      </c>
      <c r="H33">
        <v>0</v>
      </c>
      <c r="I33">
        <v>0.79</v>
      </c>
      <c r="J33">
        <v>20.25</v>
      </c>
      <c r="K33">
        <v>75.33</v>
      </c>
      <c r="L33">
        <v>1</v>
      </c>
      <c r="N33" t="s">
        <v>99</v>
      </c>
      <c r="O33">
        <v>838.96</v>
      </c>
      <c r="P33" s="3">
        <f t="shared" si="4"/>
        <v>45068.656944444447</v>
      </c>
      <c r="Q33" s="4">
        <f t="shared" si="5"/>
        <v>34.014583333337214</v>
      </c>
      <c r="R33">
        <f t="shared" si="17"/>
        <v>96.37</v>
      </c>
      <c r="S33">
        <f t="shared" si="18"/>
        <v>0</v>
      </c>
      <c r="T33">
        <f t="shared" si="19"/>
        <v>0.81975718584621771</v>
      </c>
      <c r="U33">
        <f t="shared" si="20"/>
        <v>21.012763308083429</v>
      </c>
      <c r="V33">
        <f t="shared" si="21"/>
        <v>78.16747950607035</v>
      </c>
      <c r="W33">
        <f t="shared" si="22"/>
        <v>100</v>
      </c>
      <c r="X33" s="10">
        <f t="shared" si="23"/>
        <v>4.4194092532801432E-2</v>
      </c>
      <c r="Y33" s="10">
        <f t="shared" si="0"/>
        <v>3.6228424925716644E-4</v>
      </c>
      <c r="Z33" s="10">
        <f t="shared" si="6"/>
        <v>0</v>
      </c>
      <c r="AA33" s="10">
        <f t="shared" si="1"/>
        <v>9.2864000600729382E-3</v>
      </c>
      <c r="AB33" s="10">
        <f t="shared" si="2"/>
        <v>3.4545408223471324E-2</v>
      </c>
      <c r="AC33" s="10">
        <f t="shared" si="39"/>
        <v>3.6228424925716644E-4</v>
      </c>
      <c r="AD33" s="10">
        <f t="shared" si="7"/>
        <v>4.4056096882997886E-2</v>
      </c>
      <c r="AE33" s="10">
        <f t="shared" si="8"/>
        <v>3.6115302000174669E-4</v>
      </c>
      <c r="AF33" s="10">
        <f t="shared" si="9"/>
        <v>0</v>
      </c>
      <c r="AG33" s="10">
        <f t="shared" si="10"/>
        <v>9.2574033608042675E-3</v>
      </c>
      <c r="AH33" s="10">
        <f t="shared" si="11"/>
        <v>3.4437540502191874E-2</v>
      </c>
      <c r="AI33" s="10">
        <f t="shared" si="40"/>
        <v>3.6115302000174669E-4</v>
      </c>
      <c r="AJ33" s="22"/>
      <c r="AL33" s="25"/>
      <c r="AM33" s="6"/>
      <c r="AN33" s="6"/>
      <c r="AO33" s="6"/>
      <c r="AP33" s="19"/>
      <c r="AQ33">
        <f t="shared" si="44"/>
        <v>918.86582961502563</v>
      </c>
      <c r="AR33" s="6">
        <f t="shared" si="27"/>
        <v>4.8056682888865847</v>
      </c>
      <c r="AS33" s="6">
        <f t="shared" si="28"/>
        <v>4.7095549231088532E-4</v>
      </c>
      <c r="AT33" s="6">
        <f t="shared" si="12"/>
        <v>915.99667946456384</v>
      </c>
      <c r="AU33" s="6">
        <f t="shared" si="13"/>
        <v>4.7906626335996689</v>
      </c>
      <c r="AV33" s="6">
        <f t="shared" si="14"/>
        <v>4.6948493809276758E-4</v>
      </c>
      <c r="AW33" s="6">
        <f t="shared" si="29"/>
        <v>-2.8933650116148828E-3</v>
      </c>
      <c r="AX33" s="52">
        <f t="shared" si="30"/>
        <v>5.5511426306759266E-4</v>
      </c>
      <c r="AY33" s="53">
        <f t="shared" si="15"/>
        <v>4.3366103763499121E-2</v>
      </c>
      <c r="AZ33" s="54"/>
      <c r="BA33"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3">
    <cfRule type="expression" dxfId="3" priority="1">
      <formula>$L13=0</formula>
    </cfRule>
    <cfRule type="expression" dxfId="2" priority="2">
      <formula>$L13=1</formula>
    </cfRule>
  </conditionalFormatting>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3F2D-855D-4C1F-AC6B-7BAC0D04A256}">
  <dimension ref="A1:BD33"/>
  <sheetViews>
    <sheetView tabSelected="1" topLeftCell="A3" zoomScale="115" zoomScaleNormal="115" workbookViewId="0">
      <selection activeCell="BA22" sqref="BA22"/>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20</v>
      </c>
      <c r="D3" s="12">
        <v>0.96099999999999997</v>
      </c>
      <c r="E3" s="13" t="s">
        <v>21</v>
      </c>
    </row>
    <row r="4" spans="1:56" ht="15" customHeight="1" x14ac:dyDescent="0.3">
      <c r="B4" t="s">
        <v>15</v>
      </c>
      <c r="C4" s="1" t="s">
        <v>24</v>
      </c>
      <c r="D4" s="1">
        <v>12</v>
      </c>
      <c r="E4" s="1" t="s">
        <v>25</v>
      </c>
    </row>
    <row r="5" spans="1:56" ht="15" customHeight="1" x14ac:dyDescent="0.3">
      <c r="C5" s="12" t="s">
        <v>30</v>
      </c>
      <c r="D5" s="12">
        <v>9.8000000000000004E-2</v>
      </c>
      <c r="E5" s="12" t="s">
        <v>21</v>
      </c>
    </row>
    <row r="6" spans="1:56" ht="15" customHeight="1" x14ac:dyDescent="0.3">
      <c r="C6" s="12" t="s">
        <v>31</v>
      </c>
      <c r="D6" s="14">
        <v>153.60778531406666</v>
      </c>
      <c r="E6" s="12" t="s">
        <v>32</v>
      </c>
    </row>
    <row r="7" spans="1:56" ht="15" customHeight="1" x14ac:dyDescent="0.3">
      <c r="B7" t="s">
        <v>15</v>
      </c>
      <c r="C7" t="s">
        <v>33</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126</v>
      </c>
      <c r="B13">
        <v>2</v>
      </c>
      <c r="C13" s="2">
        <v>45034</v>
      </c>
      <c r="D13" s="11">
        <v>0.64374999999999993</v>
      </c>
      <c r="E13" s="15">
        <v>1025.2</v>
      </c>
      <c r="F13">
        <f>SUM(F14:F33)/(33-14)</f>
        <v>1152.1631578947367</v>
      </c>
      <c r="M13" t="s">
        <v>4</v>
      </c>
      <c r="O13">
        <v>864.41</v>
      </c>
      <c r="P13" s="3">
        <f>C13+D13</f>
        <v>45034.643750000003</v>
      </c>
      <c r="Q13" s="4">
        <f>P13-$P$13</f>
        <v>0</v>
      </c>
      <c r="S13">
        <v>0</v>
      </c>
      <c r="T13">
        <v>0.03</v>
      </c>
      <c r="U13">
        <v>21.9</v>
      </c>
      <c r="V13">
        <v>78.069999999999993</v>
      </c>
      <c r="W13">
        <f>SUM(S13:V13)</f>
        <v>100</v>
      </c>
      <c r="X13" s="6">
        <f>F13*100*$D$3/($D$1*$D$2)</f>
        <v>4.5426715329542955E-2</v>
      </c>
      <c r="Y13" s="6">
        <f t="shared" ref="Y13:Y33" si="0">X13*T13/100</f>
        <v>1.3628014598862886E-5</v>
      </c>
      <c r="Z13" s="6">
        <f>X13*S13/100</f>
        <v>0</v>
      </c>
      <c r="AA13" s="6">
        <f t="shared" ref="AA13:AA33" si="1">X13*U13/100</f>
        <v>9.9484506571699063E-3</v>
      </c>
      <c r="AB13" s="6">
        <f t="shared" ref="AB13:AB33" si="2">X13*V13/100</f>
        <v>3.5464636657774183E-2</v>
      </c>
      <c r="AC13" s="6">
        <f>Y13+Z13</f>
        <v>1.3628014598862886E-5</v>
      </c>
      <c r="AD13" s="6">
        <f>X13</f>
        <v>4.5426715329542955E-2</v>
      </c>
      <c r="AE13" s="6">
        <f>Y13</f>
        <v>1.3628014598862886E-5</v>
      </c>
      <c r="AF13" s="6">
        <f t="shared" ref="AF13:AI13" si="3">Z13</f>
        <v>0</v>
      </c>
      <c r="AG13" s="6">
        <f t="shared" si="3"/>
        <v>9.9484506571699063E-3</v>
      </c>
      <c r="AH13" s="6">
        <f t="shared" si="3"/>
        <v>3.5464636657774183E-2</v>
      </c>
      <c r="AI13" s="6">
        <f t="shared" si="3"/>
        <v>1.3628014598862886E-5</v>
      </c>
      <c r="AJ13" s="22">
        <f>AC13-AI13</f>
        <v>0</v>
      </c>
      <c r="AK13" s="6">
        <f>AA13-AG13</f>
        <v>0</v>
      </c>
      <c r="AL13" s="23">
        <f>Y13-AE13</f>
        <v>0</v>
      </c>
      <c r="AM13" s="6">
        <f>AK13</f>
        <v>0</v>
      </c>
      <c r="AN13" s="6">
        <f>AL13</f>
        <v>0</v>
      </c>
      <c r="AO13" s="6">
        <f>AJ13</f>
        <v>0</v>
      </c>
      <c r="AP13" s="19">
        <f>AO13*$D$4*1000/$D$6</f>
        <v>0</v>
      </c>
      <c r="AQ13">
        <f>F13*100*T13/100</f>
        <v>34.564894736842099</v>
      </c>
      <c r="AR13" s="6">
        <f>AQ13*$D$7</f>
        <v>0.18077439947368418</v>
      </c>
      <c r="AS13" s="6">
        <f>AR13*$D$5/1000</f>
        <v>1.771589114842105E-5</v>
      </c>
      <c r="AT13" s="6">
        <f>G13*100*T13/100</f>
        <v>0</v>
      </c>
      <c r="AU13" s="6">
        <f>AT13*$D$7</f>
        <v>0</v>
      </c>
      <c r="AV13" s="6">
        <f>AU13*$D$5/1000</f>
        <v>0</v>
      </c>
      <c r="AW13" s="6">
        <f>AS13-AV13</f>
        <v>1.771589114842105E-5</v>
      </c>
      <c r="AX13" s="52">
        <f>AW13</f>
        <v>1.771589114842105E-5</v>
      </c>
      <c r="AY13" s="53">
        <f>(AX13*$D$4*1000/$D$6)</f>
        <v>1.3839838478654544E-3</v>
      </c>
      <c r="AZ13" s="54">
        <f>AP13</f>
        <v>0</v>
      </c>
      <c r="BA13" s="23">
        <v>0</v>
      </c>
    </row>
    <row r="14" spans="1:56" ht="14.4" x14ac:dyDescent="0.3">
      <c r="A14" t="s">
        <v>126</v>
      </c>
      <c r="B14">
        <v>2</v>
      </c>
      <c r="C14" s="2">
        <v>45035</v>
      </c>
      <c r="D14" s="11">
        <v>0.67222222222222217</v>
      </c>
      <c r="E14" s="15">
        <v>1022.3</v>
      </c>
      <c r="F14">
        <v>1048.3</v>
      </c>
      <c r="G14">
        <v>1045.5999999999999</v>
      </c>
      <c r="H14">
        <v>0.37</v>
      </c>
      <c r="I14">
        <v>4.4000000000000004</v>
      </c>
      <c r="J14">
        <v>10.55</v>
      </c>
      <c r="K14">
        <v>83.61</v>
      </c>
      <c r="L14">
        <v>0</v>
      </c>
      <c r="N14" t="s">
        <v>99</v>
      </c>
      <c r="P14" s="3">
        <f>C14+D14</f>
        <v>45035.672222222223</v>
      </c>
      <c r="Q14" s="4">
        <f t="shared" ref="Q14:Q33" si="4">P14-$P$13</f>
        <v>1.0284722222204437</v>
      </c>
      <c r="R14">
        <f>SUM(H14:K14)</f>
        <v>98.93</v>
      </c>
      <c r="S14">
        <f>H14 * 100/R14</f>
        <v>0.3740018194683109</v>
      </c>
      <c r="T14">
        <f>I14* 100/R14</f>
        <v>4.4475892044880219</v>
      </c>
      <c r="U14">
        <f>J14* 100/R14</f>
        <v>10.664105933488324</v>
      </c>
      <c r="V14">
        <f>K14* 100/R14</f>
        <v>84.514303042555341</v>
      </c>
      <c r="W14">
        <f>SUM(S14:V14)</f>
        <v>100</v>
      </c>
      <c r="X14" s="6">
        <f>F14*100*$D$3/($D$1*$D$2)</f>
        <v>4.1331668482590539E-2</v>
      </c>
      <c r="Y14" s="6">
        <f t="shared" si="0"/>
        <v>1.8382628254664751E-3</v>
      </c>
      <c r="Z14" s="6">
        <f t="shared" ref="Z14:Z33" si="5">X14*S14/100</f>
        <v>1.5458119214149902E-4</v>
      </c>
      <c r="AA14" s="6">
        <f t="shared" si="1"/>
        <v>4.4076529110616616E-3</v>
      </c>
      <c r="AB14" s="6">
        <f t="shared" si="2"/>
        <v>3.4931171553920899E-2</v>
      </c>
      <c r="AC14" s="6">
        <f>Y14+Z14</f>
        <v>1.9928440176079742E-3</v>
      </c>
      <c r="AD14" s="6">
        <f t="shared" ref="AD14:AD33" si="6">G14*100*$D$3/($D$1*$D$2)</f>
        <v>4.1225214695599227E-2</v>
      </c>
      <c r="AE14" s="6">
        <f t="shared" ref="AE14:AE33" si="7">AD14*T14/100</f>
        <v>1.8335281983284807E-3</v>
      </c>
      <c r="AF14" s="6">
        <f t="shared" ref="AF14:AF33" si="8">AD14*S14/100</f>
        <v>1.541830530412586E-4</v>
      </c>
      <c r="AG14" s="6">
        <f t="shared" ref="AG14:AG33" si="9">AD14*U14/100</f>
        <v>4.3963005664466974E-3</v>
      </c>
      <c r="AH14" s="6">
        <f t="shared" ref="AH14:AH33" si="10">AD14*V14/100</f>
        <v>3.4841202877782786E-2</v>
      </c>
      <c r="AI14" s="6">
        <f>AE14+AF14</f>
        <v>1.9877112513697393E-3</v>
      </c>
      <c r="AJ14" s="22">
        <f>AC14-AI13</f>
        <v>1.9792160030091114E-3</v>
      </c>
      <c r="AK14">
        <f>(AA14-AG13)*-1</f>
        <v>5.5407977461082447E-3</v>
      </c>
      <c r="AL14" s="25">
        <f>Y14-AE13</f>
        <v>1.8246348108676123E-3</v>
      </c>
      <c r="AM14" s="6">
        <f>AK14+AM13</f>
        <v>5.5407977461082447E-3</v>
      </c>
      <c r="AN14" s="6">
        <f>AL14+AN13</f>
        <v>1.8246348108676123E-3</v>
      </c>
      <c r="AO14" s="6">
        <f>AJ14+AO13</f>
        <v>1.9792160030091114E-3</v>
      </c>
      <c r="AP14" s="19">
        <f>AO14*$D$4*1000/$D$6</f>
        <v>0.15461841330209175</v>
      </c>
      <c r="AQ14">
        <f>F14*100*T14/100</f>
        <v>4662.4077630647935</v>
      </c>
      <c r="AR14" s="6">
        <f>AQ14*$D$7</f>
        <v>24.384392600828871</v>
      </c>
      <c r="AS14" s="6">
        <f>AR14*$D$5/1000</f>
        <v>2.3896704748812298E-3</v>
      </c>
      <c r="AT14" s="6">
        <f t="shared" ref="AT14:AT33" si="11">G14*100*T14/100</f>
        <v>4650.399272212675</v>
      </c>
      <c r="AU14" s="6">
        <f t="shared" ref="AU14:AU33" si="12">AT14*$D$7</f>
        <v>24.321588193672291</v>
      </c>
      <c r="AV14" s="6">
        <f t="shared" ref="AV14:AV33" si="13">AU14*$D$5/1000</f>
        <v>2.3835156429798843E-3</v>
      </c>
      <c r="AW14" s="6">
        <f>AS14-AV13</f>
        <v>2.3896704748812298E-3</v>
      </c>
      <c r="AX14" s="52">
        <f>AW14+AX13</f>
        <v>2.4073863660296507E-3</v>
      </c>
      <c r="AY14" s="53">
        <f t="shared" ref="AY14:AY33" si="14">(AX14*$D$4*1000/$D$6)</f>
        <v>0.18806752752336134</v>
      </c>
      <c r="AZ14" s="54">
        <f>AY14+AP14</f>
        <v>0.34268594082545312</v>
      </c>
      <c r="BA14" s="23">
        <f t="shared" ref="BA14:BA33" si="15">AK14/(AL14+AW14)</f>
        <v>1.3147594610302888</v>
      </c>
    </row>
    <row r="15" spans="1:56" ht="14.4" x14ac:dyDescent="0.3">
      <c r="A15" t="s">
        <v>126</v>
      </c>
      <c r="B15">
        <v>2</v>
      </c>
      <c r="C15" s="2">
        <v>45035</v>
      </c>
      <c r="D15" s="11">
        <v>0.74930555555555556</v>
      </c>
      <c r="E15" s="15">
        <v>1021.3</v>
      </c>
      <c r="F15">
        <v>1136.2</v>
      </c>
      <c r="G15">
        <v>1134.0999999999999</v>
      </c>
      <c r="H15">
        <v>0</v>
      </c>
      <c r="I15">
        <v>1.19</v>
      </c>
      <c r="J15">
        <v>20.32</v>
      </c>
      <c r="K15">
        <v>75.94</v>
      </c>
      <c r="L15">
        <v>1</v>
      </c>
      <c r="N15" t="s">
        <v>99</v>
      </c>
      <c r="O15">
        <v>864.34</v>
      </c>
      <c r="P15" s="3">
        <f t="shared" ref="P15:P33" si="16">C15+D15</f>
        <v>45035.749305555553</v>
      </c>
      <c r="Q15" s="4">
        <f t="shared" si="4"/>
        <v>1.1055555555503815</v>
      </c>
      <c r="R15">
        <f t="shared" ref="R15:R33" si="17">SUM(H15:K15)</f>
        <v>97.45</v>
      </c>
      <c r="S15">
        <f t="shared" ref="S15:S33" si="18">H15 * 100/R15</f>
        <v>0</v>
      </c>
      <c r="T15">
        <f t="shared" ref="T15:T33" si="19">I15* 100/R15</f>
        <v>1.2211390456644433</v>
      </c>
      <c r="U15">
        <f t="shared" ref="U15:U33" si="20">J15* 100/R15</f>
        <v>20.851718830169318</v>
      </c>
      <c r="V15">
        <f t="shared" ref="V15:V33" si="21">K15* 100/R15</f>
        <v>77.927142124166238</v>
      </c>
      <c r="W15">
        <f t="shared" ref="W15:W33" si="22">SUM(S15:V15)</f>
        <v>100</v>
      </c>
      <c r="X15" s="6">
        <f t="shared" ref="X15:X33" si="23">F15*100*$D$3/($D$1*$D$2)</f>
        <v>4.4797330659085539E-2</v>
      </c>
      <c r="Y15" s="6">
        <f t="shared" si="0"/>
        <v>5.4703769609350218E-4</v>
      </c>
      <c r="Z15" s="6">
        <f t="shared" si="5"/>
        <v>0</v>
      </c>
      <c r="AA15" s="6">
        <f t="shared" si="1"/>
        <v>9.3410134324537538E-3</v>
      </c>
      <c r="AB15" s="6">
        <f t="shared" si="2"/>
        <v>3.4909279530538281E-2</v>
      </c>
      <c r="AC15" s="6">
        <f t="shared" ref="AC15:AC27" si="24">Y15+Z15</f>
        <v>5.4703769609350218E-4</v>
      </c>
      <c r="AD15" s="6">
        <f t="shared" si="6"/>
        <v>4.4714533269203403E-2</v>
      </c>
      <c r="AE15" s="6">
        <f t="shared" si="7"/>
        <v>5.4602662483686044E-4</v>
      </c>
      <c r="AF15" s="6">
        <f t="shared" si="8"/>
        <v>0</v>
      </c>
      <c r="AG15" s="6">
        <f t="shared" si="9"/>
        <v>9.3237487535168112E-3</v>
      </c>
      <c r="AH15" s="6">
        <f t="shared" si="10"/>
        <v>3.4844757890849731E-2</v>
      </c>
      <c r="AI15" s="6">
        <f t="shared" ref="AI15:AI27" si="25">AE15+AF15</f>
        <v>5.4602662483686044E-4</v>
      </c>
      <c r="AJ15" s="22"/>
      <c r="AL15" s="25"/>
      <c r="AM15" s="6"/>
      <c r="AN15" s="6"/>
      <c r="AO15" s="6"/>
      <c r="AP15" s="19"/>
      <c r="AQ15">
        <f t="shared" ref="AQ15:AQ27" si="26">F15*100*T15/100</f>
        <v>1387.4581836839404</v>
      </c>
      <c r="AR15" s="6">
        <f t="shared" ref="AR15:AR33" si="27">AQ15*$D$7</f>
        <v>7.2564063006670088</v>
      </c>
      <c r="AS15" s="6">
        <f t="shared" ref="AS15:AS33" si="28">AR15*$D$5/1000</f>
        <v>7.1112781746536687E-4</v>
      </c>
      <c r="AT15" s="6">
        <f t="shared" si="11"/>
        <v>1384.893791688045</v>
      </c>
      <c r="AU15" s="6">
        <f t="shared" si="12"/>
        <v>7.2429945305284757</v>
      </c>
      <c r="AV15" s="6">
        <f t="shared" si="13"/>
        <v>7.0981346399179063E-4</v>
      </c>
      <c r="AW15" s="6">
        <f t="shared" ref="AW15:AW33" si="29">AS15-AV14</f>
        <v>-1.6723878255145174E-3</v>
      </c>
      <c r="AX15" s="52">
        <f t="shared" ref="AX15:AX33" si="30">AW15+AX14</f>
        <v>7.3499854051513325E-4</v>
      </c>
      <c r="AY15" s="53">
        <f t="shared" si="14"/>
        <v>5.7418850666639404E-2</v>
      </c>
      <c r="AZ15" s="54"/>
      <c r="BA15" s="23">
        <f t="shared" si="15"/>
        <v>0</v>
      </c>
    </row>
    <row r="16" spans="1:56" s="7" customFormat="1" ht="14.4" x14ac:dyDescent="0.3">
      <c r="A16" t="s">
        <v>126</v>
      </c>
      <c r="B16">
        <v>2</v>
      </c>
      <c r="C16" s="2">
        <v>45040</v>
      </c>
      <c r="D16" s="11">
        <v>0.4993055555555555</v>
      </c>
      <c r="E16" s="15">
        <v>1003.7</v>
      </c>
      <c r="F16">
        <v>1024.9000000000001</v>
      </c>
      <c r="G16">
        <v>1021.6</v>
      </c>
      <c r="H16">
        <v>0.08</v>
      </c>
      <c r="I16">
        <v>9.52</v>
      </c>
      <c r="J16">
        <v>4.3</v>
      </c>
      <c r="K16">
        <v>85.71</v>
      </c>
      <c r="L16">
        <v>0</v>
      </c>
      <c r="M16"/>
      <c r="N16" t="s">
        <v>99</v>
      </c>
      <c r="O16"/>
      <c r="P16" s="8">
        <f t="shared" si="16"/>
        <v>45040.499305555553</v>
      </c>
      <c r="Q16" s="9">
        <f t="shared" si="4"/>
        <v>5.8555555555503815</v>
      </c>
      <c r="R16">
        <f t="shared" si="17"/>
        <v>99.609999999999985</v>
      </c>
      <c r="S16">
        <f t="shared" si="18"/>
        <v>8.0313221564100007E-2</v>
      </c>
      <c r="T16">
        <f t="shared" si="19"/>
        <v>9.5572733661278999</v>
      </c>
      <c r="U16">
        <f t="shared" si="20"/>
        <v>4.3168356590703754</v>
      </c>
      <c r="V16">
        <f t="shared" si="21"/>
        <v>86.045577753237637</v>
      </c>
      <c r="W16">
        <f t="shared" si="22"/>
        <v>100.00000000000001</v>
      </c>
      <c r="X16" s="10">
        <f t="shared" si="23"/>
        <v>4.0409068995332496E-2</v>
      </c>
      <c r="Y16" s="10">
        <f t="shared" si="0"/>
        <v>3.8620051885911596E-3</v>
      </c>
      <c r="Z16" s="10">
        <f t="shared" si="5"/>
        <v>3.2453825114211428E-5</v>
      </c>
      <c r="AA16" s="10">
        <f t="shared" si="1"/>
        <v>1.7443930998888642E-3</v>
      </c>
      <c r="AB16" s="10">
        <f t="shared" si="2"/>
        <v>3.4770216881738265E-2</v>
      </c>
      <c r="AC16" s="10">
        <f t="shared" si="24"/>
        <v>3.8944590137053709E-3</v>
      </c>
      <c r="AD16" s="10">
        <f t="shared" si="6"/>
        <v>4.0278958811231995E-2</v>
      </c>
      <c r="AE16" s="10">
        <f t="shared" si="7"/>
        <v>3.8495702026195024E-3</v>
      </c>
      <c r="AF16" s="10">
        <f t="shared" si="8"/>
        <v>3.2349329433777334E-5</v>
      </c>
      <c r="AG16" s="10">
        <f t="shared" si="9"/>
        <v>1.7387764570655317E-3</v>
      </c>
      <c r="AH16" s="10">
        <f t="shared" si="10"/>
        <v>3.4658262822113192E-2</v>
      </c>
      <c r="AI16" s="10">
        <f t="shared" si="25"/>
        <v>3.8819195320532796E-3</v>
      </c>
      <c r="AJ16" s="22">
        <f t="shared" ref="AJ16" si="31">AC16-AI15</f>
        <v>3.3484323888685105E-3</v>
      </c>
      <c r="AK16">
        <f t="shared" ref="AK16" si="32">(AA16-AG15)*-1</f>
        <v>7.5793556536279472E-3</v>
      </c>
      <c r="AL16" s="25">
        <f t="shared" ref="AL16" si="33">Y16-AE15</f>
        <v>3.3159785637542991E-3</v>
      </c>
      <c r="AM16" s="6">
        <f>AK16+AM14</f>
        <v>1.3120153399736191E-2</v>
      </c>
      <c r="AN16" s="6">
        <f>AL16+AN14</f>
        <v>5.1406133746219112E-3</v>
      </c>
      <c r="AO16" s="6">
        <f>AJ16+AO14</f>
        <v>5.3276483918776214E-3</v>
      </c>
      <c r="AP16" s="19">
        <f t="shared" ref="AP16:AP18" si="34">AO16*$D$4*1000/$D$6</f>
        <v>0.41620143517997127</v>
      </c>
      <c r="AQ16" s="7">
        <f t="shared" si="26"/>
        <v>9795.2494729444861</v>
      </c>
      <c r="AR16" s="10">
        <f t="shared" si="27"/>
        <v>51.229154743499663</v>
      </c>
      <c r="AS16" s="6">
        <f t="shared" si="28"/>
        <v>5.0204571648629669E-3</v>
      </c>
      <c r="AT16" s="6">
        <f t="shared" si="11"/>
        <v>9763.7104708362622</v>
      </c>
      <c r="AU16" s="6">
        <f t="shared" si="12"/>
        <v>51.064205762473655</v>
      </c>
      <c r="AV16" s="6">
        <f t="shared" si="13"/>
        <v>5.0042921647224185E-3</v>
      </c>
      <c r="AW16" s="6">
        <f t="shared" si="29"/>
        <v>4.3106437008711765E-3</v>
      </c>
      <c r="AX16" s="52">
        <f t="shared" si="30"/>
        <v>5.0456422413863097E-3</v>
      </c>
      <c r="AY16" s="53">
        <f t="shared" si="14"/>
        <v>0.39417082130856718</v>
      </c>
      <c r="AZ16" s="54">
        <f t="shared" ref="AZ16:AZ32" si="35">AY16+AP16</f>
        <v>0.8103722564885385</v>
      </c>
      <c r="BA16" s="23">
        <f t="shared" si="15"/>
        <v>0.99380241876973963</v>
      </c>
      <c r="BB16"/>
      <c r="BC16"/>
      <c r="BD16"/>
    </row>
    <row r="17" spans="1:56" ht="14.4" x14ac:dyDescent="0.3">
      <c r="A17" t="s">
        <v>126</v>
      </c>
      <c r="B17">
        <v>2</v>
      </c>
      <c r="C17" s="2">
        <v>45040</v>
      </c>
      <c r="D17" s="11">
        <v>0.53680555555555554</v>
      </c>
      <c r="E17" s="15">
        <v>1004.1</v>
      </c>
      <c r="F17">
        <v>1113.2</v>
      </c>
      <c r="G17">
        <v>1110.4000000000001</v>
      </c>
      <c r="H17">
        <v>0</v>
      </c>
      <c r="I17">
        <v>1</v>
      </c>
      <c r="J17">
        <v>20.399999999999999</v>
      </c>
      <c r="K17">
        <v>75.95</v>
      </c>
      <c r="L17">
        <v>1</v>
      </c>
      <c r="N17" t="s">
        <v>99</v>
      </c>
      <c r="O17">
        <v>864.25</v>
      </c>
      <c r="P17" s="3">
        <f t="shared" si="16"/>
        <v>45040.536805555559</v>
      </c>
      <c r="Q17" s="4">
        <f t="shared" si="4"/>
        <v>5.8930555555562023</v>
      </c>
      <c r="R17">
        <f t="shared" si="17"/>
        <v>97.35</v>
      </c>
      <c r="S17">
        <f t="shared" si="18"/>
        <v>0</v>
      </c>
      <c r="T17">
        <f t="shared" si="19"/>
        <v>1.0272213662044172</v>
      </c>
      <c r="U17">
        <f t="shared" si="20"/>
        <v>20.955315870570107</v>
      </c>
      <c r="V17">
        <f t="shared" si="21"/>
        <v>78.017462763225481</v>
      </c>
      <c r="W17">
        <f t="shared" si="22"/>
        <v>100</v>
      </c>
      <c r="X17" s="6">
        <f t="shared" si="23"/>
        <v>4.3890502103233607E-2</v>
      </c>
      <c r="Y17" s="6">
        <f t="shared" si="0"/>
        <v>4.5085261533881469E-4</v>
      </c>
      <c r="Z17" s="6">
        <f t="shared" si="5"/>
        <v>0</v>
      </c>
      <c r="AA17" s="6">
        <f t="shared" si="1"/>
        <v>9.1973933529118194E-3</v>
      </c>
      <c r="AB17" s="6">
        <f t="shared" si="2"/>
        <v>3.4242256134982975E-2</v>
      </c>
      <c r="AC17" s="6">
        <f t="shared" si="24"/>
        <v>4.5085261533881469E-4</v>
      </c>
      <c r="AD17" s="6">
        <f t="shared" si="6"/>
        <v>4.3780105583390773E-2</v>
      </c>
      <c r="AE17" s="6">
        <f t="shared" si="7"/>
        <v>4.4971859869944299E-4</v>
      </c>
      <c r="AF17" s="6">
        <f t="shared" si="8"/>
        <v>0</v>
      </c>
      <c r="AG17" s="6">
        <f t="shared" si="9"/>
        <v>9.1742594134686366E-3</v>
      </c>
      <c r="AH17" s="6">
        <f t="shared" si="10"/>
        <v>3.4156127571222696E-2</v>
      </c>
      <c r="AI17" s="6">
        <f t="shared" si="25"/>
        <v>4.4971859869944299E-4</v>
      </c>
      <c r="AJ17" s="22"/>
      <c r="AL17" s="25"/>
      <c r="AM17" s="6"/>
      <c r="AN17" s="6"/>
      <c r="AO17" s="6"/>
      <c r="AP17" s="19"/>
      <c r="AQ17">
        <f t="shared" si="26"/>
        <v>1143.5028248587573</v>
      </c>
      <c r="AR17" s="6">
        <f t="shared" si="27"/>
        <v>5.9805197740113014</v>
      </c>
      <c r="AS17" s="6">
        <f t="shared" si="28"/>
        <v>5.8609093785310751E-4</v>
      </c>
      <c r="AT17" s="6">
        <f t="shared" si="11"/>
        <v>1140.626605033385</v>
      </c>
      <c r="AU17" s="6">
        <f t="shared" si="12"/>
        <v>5.9654771443246037</v>
      </c>
      <c r="AV17" s="6">
        <f t="shared" si="13"/>
        <v>5.8461676014381111E-4</v>
      </c>
      <c r="AW17" s="6">
        <f t="shared" si="29"/>
        <v>-4.4182012268693107E-3</v>
      </c>
      <c r="AX17" s="52">
        <f t="shared" si="30"/>
        <v>6.27441014516999E-4</v>
      </c>
      <c r="AY17" s="53">
        <f t="shared" si="14"/>
        <v>4.9016344834407893E-2</v>
      </c>
      <c r="AZ17" s="54"/>
      <c r="BA17" s="23">
        <f t="shared" si="15"/>
        <v>0</v>
      </c>
    </row>
    <row r="18" spans="1:56" s="7" customFormat="1" ht="14.4" x14ac:dyDescent="0.3">
      <c r="A18" t="s">
        <v>126</v>
      </c>
      <c r="B18">
        <v>2</v>
      </c>
      <c r="C18" s="2">
        <v>45042</v>
      </c>
      <c r="D18" s="11">
        <v>0.40902777777777777</v>
      </c>
      <c r="E18" s="15">
        <v>1017.2</v>
      </c>
      <c r="F18">
        <v>1076.2</v>
      </c>
      <c r="G18">
        <v>1073.5</v>
      </c>
      <c r="H18">
        <v>0.01</v>
      </c>
      <c r="I18">
        <v>5.36</v>
      </c>
      <c r="J18">
        <v>14.32</v>
      </c>
      <c r="K18">
        <v>79.040000000000006</v>
      </c>
      <c r="L18">
        <v>0</v>
      </c>
      <c r="M18"/>
      <c r="N18" t="s">
        <v>99</v>
      </c>
      <c r="O18"/>
      <c r="P18" s="8">
        <f t="shared" si="16"/>
        <v>45042.40902777778</v>
      </c>
      <c r="Q18" s="9">
        <f t="shared" si="4"/>
        <v>7.765277777776646</v>
      </c>
      <c r="R18">
        <f t="shared" si="17"/>
        <v>98.73</v>
      </c>
      <c r="S18">
        <f t="shared" si="18"/>
        <v>1.0128633647320976E-2</v>
      </c>
      <c r="T18">
        <f t="shared" si="19"/>
        <v>5.4289476349640431</v>
      </c>
      <c r="U18">
        <f t="shared" si="20"/>
        <v>14.504203382963638</v>
      </c>
      <c r="V18">
        <f t="shared" si="21"/>
        <v>80.056720348425003</v>
      </c>
      <c r="W18">
        <f t="shared" si="22"/>
        <v>100</v>
      </c>
      <c r="X18" s="10">
        <f t="shared" si="23"/>
        <v>4.2431690948167455E-2</v>
      </c>
      <c r="Y18" s="10">
        <f t="shared" si="0"/>
        <v>2.3035942822057891E-3</v>
      </c>
      <c r="Z18" s="10">
        <f t="shared" si="5"/>
        <v>4.2977505265033375E-6</v>
      </c>
      <c r="AA18" s="10">
        <f t="shared" si="1"/>
        <v>6.1543787539527798E-3</v>
      </c>
      <c r="AB18" s="10">
        <f t="shared" si="2"/>
        <v>3.3969420161482383E-2</v>
      </c>
      <c r="AC18" s="10">
        <f t="shared" si="24"/>
        <v>2.3078920327322923E-3</v>
      </c>
      <c r="AD18" s="10">
        <f t="shared" si="6"/>
        <v>4.2325237161176137E-2</v>
      </c>
      <c r="AE18" s="10">
        <f t="shared" si="7"/>
        <v>2.2978149618545943E-3</v>
      </c>
      <c r="AF18" s="10">
        <f t="shared" si="8"/>
        <v>4.2869682124152876E-6</v>
      </c>
      <c r="AG18" s="10">
        <f t="shared" si="9"/>
        <v>6.138938480178692E-3</v>
      </c>
      <c r="AH18" s="10">
        <f t="shared" si="10"/>
        <v>3.3884196750930434E-2</v>
      </c>
      <c r="AI18" s="10">
        <f t="shared" si="25"/>
        <v>2.3021019300670095E-3</v>
      </c>
      <c r="AJ18" s="22">
        <f t="shared" ref="AJ18" si="36">AC18-AI17</f>
        <v>1.8581734340328494E-3</v>
      </c>
      <c r="AK18">
        <f t="shared" ref="AK18" si="37">(AA18-AG17)*-1</f>
        <v>3.0198806595158568E-3</v>
      </c>
      <c r="AL18" s="25">
        <f t="shared" ref="AL18" si="38">Y18-AE17</f>
        <v>1.8538756835063462E-3</v>
      </c>
      <c r="AM18" s="6">
        <f>AK18+AM16</f>
        <v>1.6140034059252049E-2</v>
      </c>
      <c r="AN18" s="6">
        <f>AL18+AN16</f>
        <v>6.994489058128257E-3</v>
      </c>
      <c r="AO18" s="6">
        <f>AJ18+AO16</f>
        <v>7.1858218259104704E-3</v>
      </c>
      <c r="AP18" s="19">
        <f t="shared" si="34"/>
        <v>0.56136387706274116</v>
      </c>
      <c r="AQ18" s="7">
        <f t="shared" si="26"/>
        <v>5842.6334447483032</v>
      </c>
      <c r="AR18" s="10">
        <f t="shared" si="27"/>
        <v>30.556972916033626</v>
      </c>
      <c r="AS18" s="6">
        <f t="shared" si="28"/>
        <v>2.9945833457712956E-3</v>
      </c>
      <c r="AT18" s="6">
        <f t="shared" si="11"/>
        <v>5827.9752861339002</v>
      </c>
      <c r="AU18" s="6">
        <f t="shared" si="12"/>
        <v>30.480310746480299</v>
      </c>
      <c r="AV18" s="6">
        <f t="shared" si="13"/>
        <v>2.9870704531550695E-3</v>
      </c>
      <c r="AW18" s="6">
        <f t="shared" si="29"/>
        <v>2.4099665856274844E-3</v>
      </c>
      <c r="AX18" s="52">
        <f t="shared" si="30"/>
        <v>3.0374076001444834E-3</v>
      </c>
      <c r="AY18" s="53">
        <f t="shared" si="14"/>
        <v>0.23728544179717423</v>
      </c>
      <c r="AZ18" s="54">
        <f t="shared" si="35"/>
        <v>0.79864931885991541</v>
      </c>
      <c r="BA18" s="23">
        <f t="shared" si="15"/>
        <v>0.70825337076301476</v>
      </c>
      <c r="BB18"/>
      <c r="BC18"/>
      <c r="BD18"/>
    </row>
    <row r="19" spans="1:56" ht="14.4" x14ac:dyDescent="0.3">
      <c r="A19" t="s">
        <v>126</v>
      </c>
      <c r="B19">
        <v>2</v>
      </c>
      <c r="C19" s="2">
        <v>45042</v>
      </c>
      <c r="D19" s="11">
        <v>0.4465277777777778</v>
      </c>
      <c r="E19" s="15">
        <v>1017.2</v>
      </c>
      <c r="F19">
        <v>1125.5</v>
      </c>
      <c r="G19">
        <v>1121.9000000000001</v>
      </c>
      <c r="H19">
        <v>0</v>
      </c>
      <c r="I19">
        <v>0.76</v>
      </c>
      <c r="J19">
        <v>20.56</v>
      </c>
      <c r="K19">
        <v>76.3</v>
      </c>
      <c r="L19">
        <v>1</v>
      </c>
      <c r="N19" t="s">
        <v>99</v>
      </c>
      <c r="O19">
        <v>864.08</v>
      </c>
      <c r="P19" s="3">
        <f t="shared" si="16"/>
        <v>45042.446527777778</v>
      </c>
      <c r="Q19" s="4">
        <f t="shared" si="4"/>
        <v>7.8027777777751908</v>
      </c>
      <c r="R19">
        <f t="shared" si="17"/>
        <v>97.62</v>
      </c>
      <c r="S19">
        <f t="shared" si="18"/>
        <v>0</v>
      </c>
      <c r="T19">
        <f t="shared" si="19"/>
        <v>0.77852898996107356</v>
      </c>
      <c r="U19">
        <f t="shared" si="20"/>
        <v>21.061257938946937</v>
      </c>
      <c r="V19">
        <f t="shared" si="21"/>
        <v>78.160213071091988</v>
      </c>
      <c r="W19">
        <f t="shared" si="22"/>
        <v>100</v>
      </c>
      <c r="X19" s="6">
        <f t="shared" si="23"/>
        <v>4.4375458243971821E-2</v>
      </c>
      <c r="Y19" s="6">
        <f t="shared" si="0"/>
        <v>3.4547580685739175E-4</v>
      </c>
      <c r="Z19" s="6">
        <f t="shared" si="5"/>
        <v>0</v>
      </c>
      <c r="AA19" s="6">
        <f t="shared" si="1"/>
        <v>9.3460297223525984E-3</v>
      </c>
      <c r="AB19" s="6">
        <f t="shared" si="2"/>
        <v>3.468395271476183E-2</v>
      </c>
      <c r="AC19" s="6">
        <f t="shared" si="24"/>
        <v>3.4547580685739175E-4</v>
      </c>
      <c r="AD19" s="6">
        <f t="shared" si="6"/>
        <v>4.4233519861316739E-2</v>
      </c>
      <c r="AE19" s="6">
        <f t="shared" si="7"/>
        <v>3.4437077540054004E-4</v>
      </c>
      <c r="AF19" s="6">
        <f t="shared" si="8"/>
        <v>0</v>
      </c>
      <c r="AG19" s="6">
        <f t="shared" si="9"/>
        <v>9.3161357134672416E-3</v>
      </c>
      <c r="AH19" s="6">
        <f t="shared" si="10"/>
        <v>3.457301337244896E-2</v>
      </c>
      <c r="AI19" s="6">
        <f t="shared" si="25"/>
        <v>3.4437077540054004E-4</v>
      </c>
      <c r="AJ19" s="22"/>
      <c r="AL19" s="25"/>
      <c r="AM19" s="6"/>
      <c r="AN19" s="6"/>
      <c r="AO19" s="6"/>
      <c r="AP19" s="19"/>
      <c r="AQ19">
        <f t="shared" si="26"/>
        <v>876.23437820118818</v>
      </c>
      <c r="AR19" s="6">
        <f t="shared" si="27"/>
        <v>4.5827057979922143</v>
      </c>
      <c r="AS19" s="6">
        <f t="shared" si="28"/>
        <v>4.4910516820323703E-4</v>
      </c>
      <c r="AT19" s="6">
        <f t="shared" si="11"/>
        <v>873.43167383732862</v>
      </c>
      <c r="AU19" s="6">
        <f t="shared" si="12"/>
        <v>4.568047654169229</v>
      </c>
      <c r="AV19" s="6">
        <f t="shared" si="13"/>
        <v>4.4766867010858448E-4</v>
      </c>
      <c r="AW19" s="6">
        <f t="shared" si="29"/>
        <v>-2.5379652849518326E-3</v>
      </c>
      <c r="AX19" s="52">
        <f t="shared" si="30"/>
        <v>4.9944231519265074E-4</v>
      </c>
      <c r="AY19" s="53">
        <f t="shared" si="14"/>
        <v>3.901695327523852E-2</v>
      </c>
      <c r="AZ19" s="54"/>
      <c r="BA19" s="23">
        <f t="shared" si="15"/>
        <v>0</v>
      </c>
    </row>
    <row r="20" spans="1:56" ht="14.4" x14ac:dyDescent="0.3">
      <c r="A20" t="s">
        <v>126</v>
      </c>
      <c r="B20">
        <v>2</v>
      </c>
      <c r="C20" s="2">
        <v>45047</v>
      </c>
      <c r="D20" s="11">
        <v>0.60902777777777783</v>
      </c>
      <c r="E20" s="15">
        <v>1013.3</v>
      </c>
      <c r="F20">
        <v>1061.9000000000001</v>
      </c>
      <c r="G20">
        <v>1058.5999999999999</v>
      </c>
      <c r="H20">
        <v>0.03</v>
      </c>
      <c r="I20">
        <v>7.49</v>
      </c>
      <c r="J20">
        <v>9.01</v>
      </c>
      <c r="K20">
        <v>82.5</v>
      </c>
      <c r="L20">
        <v>0</v>
      </c>
      <c r="N20" t="s">
        <v>99</v>
      </c>
      <c r="P20" s="3">
        <f t="shared" si="16"/>
        <v>45047.609027777777</v>
      </c>
      <c r="Q20" s="4">
        <f t="shared" si="4"/>
        <v>12.965277777773736</v>
      </c>
      <c r="R20">
        <f t="shared" si="17"/>
        <v>99.03</v>
      </c>
      <c r="S20">
        <f t="shared" si="18"/>
        <v>3.0293850348379277E-2</v>
      </c>
      <c r="T20">
        <f t="shared" si="19"/>
        <v>7.5633646369786929</v>
      </c>
      <c r="U20">
        <f t="shared" si="20"/>
        <v>9.0982530546299092</v>
      </c>
      <c r="V20">
        <f t="shared" si="21"/>
        <v>83.308088458043017</v>
      </c>
      <c r="W20">
        <f t="shared" si="22"/>
        <v>100</v>
      </c>
      <c r="X20" s="6">
        <f t="shared" si="23"/>
        <v>4.1867880150398648E-2</v>
      </c>
      <c r="Y20" s="6">
        <f t="shared" si="0"/>
        <v>3.1666204415478727E-3</v>
      </c>
      <c r="Z20" s="6">
        <f t="shared" si="5"/>
        <v>1.2683392956800559E-5</v>
      </c>
      <c r="AA20" s="6">
        <f t="shared" si="1"/>
        <v>3.8092456846924344E-3</v>
      </c>
      <c r="AB20" s="6">
        <f t="shared" si="2"/>
        <v>3.4879330631201542E-2</v>
      </c>
      <c r="AC20" s="6">
        <f t="shared" si="24"/>
        <v>3.1793038345046733E-3</v>
      </c>
      <c r="AD20" s="6">
        <f t="shared" si="6"/>
        <v>4.173776996629814E-2</v>
      </c>
      <c r="AE20" s="6">
        <f t="shared" si="7"/>
        <v>3.156779733894507E-3</v>
      </c>
      <c r="AF20" s="6">
        <f t="shared" si="8"/>
        <v>1.264397757234115E-5</v>
      </c>
      <c r="AG20" s="6">
        <f t="shared" si="9"/>
        <v>3.7974079308931252E-3</v>
      </c>
      <c r="AH20" s="6">
        <f t="shared" si="10"/>
        <v>3.4770938323938162E-2</v>
      </c>
      <c r="AI20" s="6">
        <f t="shared" si="25"/>
        <v>3.1694237114668483E-3</v>
      </c>
      <c r="AJ20" s="22">
        <f>AC20-AI19</f>
        <v>2.8349330591041335E-3</v>
      </c>
      <c r="AK20">
        <f>(AA20-AG19)*-1</f>
        <v>5.5068900287748076E-3</v>
      </c>
      <c r="AL20" s="25">
        <f>Y20-AE19</f>
        <v>2.8222496661473328E-3</v>
      </c>
      <c r="AM20" s="6">
        <f>AK20+AM18</f>
        <v>2.1646924088026855E-2</v>
      </c>
      <c r="AN20" s="6">
        <f>AL20+AN18</f>
        <v>9.8167387242755894E-3</v>
      </c>
      <c r="AO20" s="6">
        <f>AJ20+AO18</f>
        <v>1.0020754885014603E-2</v>
      </c>
      <c r="AP20" s="19">
        <f>AO20*$D$4*1000/$D$6</f>
        <v>0.78283179706232897</v>
      </c>
      <c r="AQ20">
        <f t="shared" si="26"/>
        <v>8031.5369080076753</v>
      </c>
      <c r="AR20" s="6">
        <f t="shared" si="27"/>
        <v>42.004938028880147</v>
      </c>
      <c r="AS20" s="6">
        <f t="shared" si="28"/>
        <v>4.1164839268302547E-3</v>
      </c>
      <c r="AT20" s="6">
        <f t="shared" si="11"/>
        <v>8006.5778047056428</v>
      </c>
      <c r="AU20" s="6">
        <f t="shared" si="12"/>
        <v>41.874401918610516</v>
      </c>
      <c r="AV20" s="6">
        <f t="shared" si="13"/>
        <v>4.1036913880238305E-3</v>
      </c>
      <c r="AW20" s="6">
        <f t="shared" si="29"/>
        <v>3.6688152567216701E-3</v>
      </c>
      <c r="AX20" s="52">
        <f t="shared" si="30"/>
        <v>4.1682575719143213E-3</v>
      </c>
      <c r="AY20" s="53">
        <f t="shared" si="14"/>
        <v>0.3256286181113982</v>
      </c>
      <c r="AZ20" s="54">
        <f t="shared" si="35"/>
        <v>1.1084604151737272</v>
      </c>
      <c r="BA20" s="23">
        <f t="shared" si="15"/>
        <v>0.84838005692612961</v>
      </c>
    </row>
    <row r="21" spans="1:56" s="7" customFormat="1" ht="14.4" x14ac:dyDescent="0.3">
      <c r="A21" t="s">
        <v>126</v>
      </c>
      <c r="B21">
        <v>2</v>
      </c>
      <c r="C21" s="2">
        <v>45047</v>
      </c>
      <c r="D21" s="11">
        <v>0.64513888888888882</v>
      </c>
      <c r="E21" s="15">
        <v>1013.4</v>
      </c>
      <c r="F21">
        <v>1118.0999999999999</v>
      </c>
      <c r="G21">
        <v>1114</v>
      </c>
      <c r="H21">
        <v>0</v>
      </c>
      <c r="I21">
        <v>1.07</v>
      </c>
      <c r="J21">
        <v>20.41</v>
      </c>
      <c r="K21">
        <v>76.03</v>
      </c>
      <c r="L21">
        <v>1</v>
      </c>
      <c r="M21"/>
      <c r="N21" t="s">
        <v>99</v>
      </c>
      <c r="O21">
        <v>863.98</v>
      </c>
      <c r="P21" s="8">
        <f t="shared" si="16"/>
        <v>45047.645138888889</v>
      </c>
      <c r="Q21" s="9">
        <f t="shared" si="4"/>
        <v>13.00138888888614</v>
      </c>
      <c r="R21">
        <f t="shared" si="17"/>
        <v>97.51</v>
      </c>
      <c r="S21">
        <f t="shared" si="18"/>
        <v>0</v>
      </c>
      <c r="T21">
        <f t="shared" si="19"/>
        <v>1.0973233514511331</v>
      </c>
      <c r="U21">
        <f t="shared" si="20"/>
        <v>20.931186544969744</v>
      </c>
      <c r="V21">
        <f t="shared" si="21"/>
        <v>77.971490103579114</v>
      </c>
      <c r="W21">
        <f t="shared" si="22"/>
        <v>100</v>
      </c>
      <c r="X21" s="10">
        <f t="shared" si="23"/>
        <v>4.4083696012958584E-2</v>
      </c>
      <c r="Y21" s="10">
        <f t="shared" si="0"/>
        <v>4.8374069053292666E-4</v>
      </c>
      <c r="Z21" s="10">
        <f t="shared" si="5"/>
        <v>0</v>
      </c>
      <c r="AA21" s="10">
        <f t="shared" si="1"/>
        <v>9.227240648389751E-3</v>
      </c>
      <c r="AB21" s="10">
        <f t="shared" si="2"/>
        <v>3.4372714674035902E-2</v>
      </c>
      <c r="AC21" s="10">
        <f t="shared" si="24"/>
        <v>4.8374069053292666E-4</v>
      </c>
      <c r="AD21" s="10">
        <f t="shared" si="6"/>
        <v>4.3922043966045848E-2</v>
      </c>
      <c r="AE21" s="10">
        <f t="shared" si="7"/>
        <v>4.8196684487405452E-4</v>
      </c>
      <c r="AF21" s="10">
        <f t="shared" si="8"/>
        <v>0</v>
      </c>
      <c r="AG21" s="10">
        <f t="shared" si="9"/>
        <v>9.1934049568966839E-3</v>
      </c>
      <c r="AH21" s="10">
        <f t="shared" si="10"/>
        <v>3.4246672164275106E-2</v>
      </c>
      <c r="AI21" s="10">
        <f t="shared" si="25"/>
        <v>4.8196684487405452E-4</v>
      </c>
      <c r="AJ21" s="22"/>
      <c r="AK21"/>
      <c r="AL21" s="25"/>
      <c r="AM21" s="6"/>
      <c r="AN21" s="6"/>
      <c r="AO21" s="6"/>
      <c r="AP21" s="19"/>
      <c r="AQ21" s="7">
        <f t="shared" si="26"/>
        <v>1226.9172392575119</v>
      </c>
      <c r="AR21" s="10">
        <f t="shared" si="27"/>
        <v>6.4167771613167881</v>
      </c>
      <c r="AS21" s="6">
        <f t="shared" si="28"/>
        <v>6.2884416180904526E-4</v>
      </c>
      <c r="AT21" s="6">
        <f t="shared" si="11"/>
        <v>1222.4182135165622</v>
      </c>
      <c r="AU21" s="6">
        <f t="shared" si="12"/>
        <v>6.3932472566916205</v>
      </c>
      <c r="AV21" s="6">
        <f t="shared" si="13"/>
        <v>6.2653823115577892E-4</v>
      </c>
      <c r="AW21" s="6">
        <f t="shared" si="29"/>
        <v>-3.4748472262147853E-3</v>
      </c>
      <c r="AX21" s="52">
        <f t="shared" si="30"/>
        <v>6.9341034569953604E-4</v>
      </c>
      <c r="AY21" s="53">
        <f t="shared" si="14"/>
        <v>5.4169937619902929E-2</v>
      </c>
      <c r="AZ21" s="54"/>
      <c r="BA21" s="23">
        <f t="shared" si="15"/>
        <v>0</v>
      </c>
      <c r="BB21"/>
      <c r="BC21"/>
      <c r="BD21"/>
    </row>
    <row r="22" spans="1:56" ht="14.4" x14ac:dyDescent="0.3">
      <c r="A22" t="s">
        <v>126</v>
      </c>
      <c r="B22">
        <v>2</v>
      </c>
      <c r="C22" s="2">
        <v>45050</v>
      </c>
      <c r="D22" s="11">
        <v>0.44097222222222227</v>
      </c>
      <c r="E22" s="15">
        <v>1017.4</v>
      </c>
      <c r="F22">
        <v>1077.9000000000001</v>
      </c>
      <c r="G22">
        <v>1075</v>
      </c>
      <c r="H22">
        <v>0.01</v>
      </c>
      <c r="I22">
        <v>4.41</v>
      </c>
      <c r="J22">
        <v>14.9</v>
      </c>
      <c r="K22">
        <v>78.180000000000007</v>
      </c>
      <c r="L22">
        <v>0</v>
      </c>
      <c r="N22" t="s">
        <v>99</v>
      </c>
      <c r="P22" s="3">
        <f t="shared" si="16"/>
        <v>45050.440972222219</v>
      </c>
      <c r="Q22" s="4">
        <f t="shared" si="4"/>
        <v>15.797222222216078</v>
      </c>
      <c r="R22">
        <f t="shared" si="17"/>
        <v>97.5</v>
      </c>
      <c r="S22">
        <f t="shared" si="18"/>
        <v>1.0256410256410256E-2</v>
      </c>
      <c r="T22">
        <f t="shared" si="19"/>
        <v>4.523076923076923</v>
      </c>
      <c r="U22">
        <f t="shared" si="20"/>
        <v>15.282051282051283</v>
      </c>
      <c r="V22">
        <f t="shared" si="21"/>
        <v>80.184615384615398</v>
      </c>
      <c r="W22">
        <f t="shared" si="22"/>
        <v>100.00000000000001</v>
      </c>
      <c r="X22" s="6">
        <f t="shared" si="23"/>
        <v>4.2498717406643474E-2</v>
      </c>
      <c r="Y22" s="6">
        <f t="shared" si="0"/>
        <v>1.9222496796235664E-3</v>
      </c>
      <c r="Z22" s="6">
        <f t="shared" si="5"/>
        <v>4.3588428109377923E-6</v>
      </c>
      <c r="AA22" s="6">
        <f t="shared" si="1"/>
        <v>6.4946757882973103E-3</v>
      </c>
      <c r="AB22" s="6">
        <f t="shared" si="2"/>
        <v>3.4077433095911665E-2</v>
      </c>
      <c r="AC22" s="6">
        <f t="shared" si="24"/>
        <v>1.9266085224345043E-3</v>
      </c>
      <c r="AD22" s="6">
        <f t="shared" si="6"/>
        <v>4.2384378153949097E-2</v>
      </c>
      <c r="AE22" s="6">
        <f t="shared" si="7"/>
        <v>1.9170780272709284E-3</v>
      </c>
      <c r="AF22" s="6">
        <f t="shared" si="8"/>
        <v>4.3471157080973436E-6</v>
      </c>
      <c r="AG22" s="6">
        <f t="shared" si="9"/>
        <v>6.4772024050650419E-3</v>
      </c>
      <c r="AH22" s="6">
        <f t="shared" si="10"/>
        <v>3.3985750605905037E-2</v>
      </c>
      <c r="AI22" s="6">
        <f t="shared" si="25"/>
        <v>1.9214251429790258E-3</v>
      </c>
      <c r="AJ22" s="22">
        <f>AC22-AI21</f>
        <v>1.4446416775604498E-3</v>
      </c>
      <c r="AK22">
        <f>(AA22-AG21)*-1</f>
        <v>2.6987291685993736E-3</v>
      </c>
      <c r="AL22" s="25">
        <f>Y22-AE21</f>
        <v>1.4402828347495119E-3</v>
      </c>
      <c r="AM22" s="6">
        <f>AK22+AM20</f>
        <v>2.4345653256626229E-2</v>
      </c>
      <c r="AN22" s="6">
        <f>AL22+AN20</f>
        <v>1.1257021559025101E-2</v>
      </c>
      <c r="AO22" s="6">
        <f>AJ22+AO20</f>
        <v>1.1465396562575053E-2</v>
      </c>
      <c r="AP22" s="19">
        <f>AO22*$D$4*1000/$D$6</f>
        <v>0.8956887078971596</v>
      </c>
      <c r="AQ22">
        <f>F22*100*T22/100</f>
        <v>4875.4246153846161</v>
      </c>
      <c r="AR22" s="6">
        <f>AQ22*$D$7</f>
        <v>25.498470738461542</v>
      </c>
      <c r="AS22" s="6">
        <f t="shared" si="28"/>
        <v>2.498850132369231E-3</v>
      </c>
      <c r="AT22" s="6">
        <f t="shared" si="11"/>
        <v>4862.3076923076924</v>
      </c>
      <c r="AU22" s="6">
        <f t="shared" si="12"/>
        <v>25.429869230769231</v>
      </c>
      <c r="AV22" s="6">
        <f t="shared" si="13"/>
        <v>2.4921271846153848E-3</v>
      </c>
      <c r="AW22" s="6">
        <f t="shared" si="29"/>
        <v>1.8723119012134522E-3</v>
      </c>
      <c r="AX22" s="52">
        <f t="shared" si="30"/>
        <v>2.5657222469129882E-3</v>
      </c>
      <c r="AY22" s="53">
        <f t="shared" si="14"/>
        <v>0.20043689126827338</v>
      </c>
      <c r="AZ22" s="54">
        <f t="shared" si="35"/>
        <v>1.0961255991654331</v>
      </c>
      <c r="BA22" s="23">
        <f t="shared" si="15"/>
        <v>0.81468739272594992</v>
      </c>
    </row>
    <row r="23" spans="1:56" s="7" customFormat="1" ht="14.4" x14ac:dyDescent="0.3">
      <c r="A23" t="s">
        <v>126</v>
      </c>
      <c r="B23">
        <v>2</v>
      </c>
      <c r="C23" s="2">
        <v>45050</v>
      </c>
      <c r="D23" s="11">
        <v>0.47361111111111115</v>
      </c>
      <c r="E23" s="15">
        <v>1016.9</v>
      </c>
      <c r="F23">
        <v>1124.7</v>
      </c>
      <c r="G23">
        <v>1122</v>
      </c>
      <c r="H23">
        <v>0</v>
      </c>
      <c r="I23">
        <v>0.79</v>
      </c>
      <c r="J23">
        <v>20.43</v>
      </c>
      <c r="K23">
        <v>75.84</v>
      </c>
      <c r="L23">
        <v>1</v>
      </c>
      <c r="M23"/>
      <c r="N23" t="s">
        <v>99</v>
      </c>
      <c r="O23">
        <v>863.85</v>
      </c>
      <c r="P23" s="8">
        <f t="shared" si="16"/>
        <v>45050.473611111112</v>
      </c>
      <c r="Q23" s="9">
        <f t="shared" si="4"/>
        <v>15.829861111109494</v>
      </c>
      <c r="R23">
        <f t="shared" si="17"/>
        <v>97.06</v>
      </c>
      <c r="S23">
        <f t="shared" si="18"/>
        <v>0</v>
      </c>
      <c r="T23">
        <f t="shared" si="19"/>
        <v>0.81392952812693176</v>
      </c>
      <c r="U23">
        <f t="shared" si="20"/>
        <v>21.048835771687614</v>
      </c>
      <c r="V23">
        <f t="shared" si="21"/>
        <v>78.137234700185445</v>
      </c>
      <c r="W23">
        <f t="shared" si="22"/>
        <v>99.999999999999986</v>
      </c>
      <c r="X23" s="10">
        <f t="shared" si="23"/>
        <v>4.434391638115958E-2</v>
      </c>
      <c r="Y23" s="10">
        <f t="shared" si="0"/>
        <v>3.609282293541734E-4</v>
      </c>
      <c r="Z23" s="10">
        <f t="shared" si="5"/>
        <v>0</v>
      </c>
      <c r="AA23" s="10">
        <f t="shared" si="1"/>
        <v>9.333878133804761E-3</v>
      </c>
      <c r="AB23" s="10">
        <f t="shared" si="2"/>
        <v>3.4649110018000639E-2</v>
      </c>
      <c r="AC23" s="10">
        <f t="shared" si="24"/>
        <v>3.609282293541734E-4</v>
      </c>
      <c r="AD23" s="10">
        <f t="shared" si="6"/>
        <v>4.4237462594168261E-2</v>
      </c>
      <c r="AE23" s="10">
        <f t="shared" si="7"/>
        <v>3.6006177054804167E-4</v>
      </c>
      <c r="AF23" s="10">
        <f t="shared" si="8"/>
        <v>0</v>
      </c>
      <c r="AG23" s="10">
        <f t="shared" si="9"/>
        <v>9.3114708510082175E-3</v>
      </c>
      <c r="AH23" s="10">
        <f t="shared" si="10"/>
        <v>3.4565929972612E-2</v>
      </c>
      <c r="AI23" s="10">
        <f t="shared" si="25"/>
        <v>3.6006177054804167E-4</v>
      </c>
      <c r="AJ23" s="22"/>
      <c r="AK23"/>
      <c r="AL23" s="25"/>
      <c r="AM23" s="6"/>
      <c r="AN23" s="6"/>
      <c r="AO23" s="6"/>
      <c r="AP23" s="19"/>
      <c r="AQ23" s="7">
        <f t="shared" si="26"/>
        <v>915.42654028436004</v>
      </c>
      <c r="AR23" s="10">
        <f t="shared" si="27"/>
        <v>4.7876808056872031</v>
      </c>
      <c r="AS23" s="6">
        <f t="shared" si="28"/>
        <v>4.6919271895734592E-4</v>
      </c>
      <c r="AT23" s="6">
        <f t="shared" si="11"/>
        <v>913.22893055841746</v>
      </c>
      <c r="AU23" s="6">
        <f t="shared" si="12"/>
        <v>4.7761873068205238</v>
      </c>
      <c r="AV23" s="6">
        <f t="shared" si="13"/>
        <v>4.6806635606841136E-4</v>
      </c>
      <c r="AW23" s="6">
        <f t="shared" si="29"/>
        <v>-2.0229344656580387E-3</v>
      </c>
      <c r="AX23" s="52">
        <f t="shared" si="30"/>
        <v>5.4278778125494949E-4</v>
      </c>
      <c r="AY23" s="53">
        <f t="shared" si="14"/>
        <v>4.2403146180006297E-2</v>
      </c>
      <c r="AZ23" s="54"/>
      <c r="BA23" s="23">
        <f t="shared" si="15"/>
        <v>0</v>
      </c>
      <c r="BB23"/>
      <c r="BC23"/>
      <c r="BD23"/>
    </row>
    <row r="24" spans="1:56" ht="14.4" x14ac:dyDescent="0.3">
      <c r="A24" t="s">
        <v>126</v>
      </c>
      <c r="B24">
        <v>2</v>
      </c>
      <c r="C24" s="2">
        <v>45054</v>
      </c>
      <c r="D24" s="11">
        <v>0.40486111111111112</v>
      </c>
      <c r="E24" s="15">
        <v>1018.7</v>
      </c>
      <c r="F24">
        <v>1085</v>
      </c>
      <c r="G24">
        <v>1082.5999999999999</v>
      </c>
      <c r="H24">
        <v>0.1</v>
      </c>
      <c r="I24">
        <v>4.09</v>
      </c>
      <c r="J24">
        <v>14.22</v>
      </c>
      <c r="K24">
        <v>78.42</v>
      </c>
      <c r="L24">
        <v>0</v>
      </c>
      <c r="N24" t="s">
        <v>99</v>
      </c>
      <c r="P24" s="3">
        <f t="shared" si="16"/>
        <v>45054.404861111114</v>
      </c>
      <c r="Q24" s="4">
        <f t="shared" si="4"/>
        <v>19.761111111110949</v>
      </c>
      <c r="R24">
        <f t="shared" si="17"/>
        <v>96.83</v>
      </c>
      <c r="S24">
        <f t="shared" si="18"/>
        <v>0.10327377878756584</v>
      </c>
      <c r="T24">
        <f t="shared" si="19"/>
        <v>4.2238975524114428</v>
      </c>
      <c r="U24">
        <f t="shared" si="20"/>
        <v>14.685531343591862</v>
      </c>
      <c r="V24">
        <f t="shared" si="21"/>
        <v>80.987297325209127</v>
      </c>
      <c r="W24">
        <f t="shared" si="22"/>
        <v>100</v>
      </c>
      <c r="X24" s="6">
        <f t="shared" si="23"/>
        <v>4.277865143910211E-2</v>
      </c>
      <c r="Y24" s="6">
        <f t="shared" si="0"/>
        <v>1.8069264110908564E-3</v>
      </c>
      <c r="Z24" s="6">
        <f t="shared" si="5"/>
        <v>4.4179129855522167E-5</v>
      </c>
      <c r="AA24" s="6">
        <f t="shared" si="1"/>
        <v>6.2822722654552509E-3</v>
      </c>
      <c r="AB24" s="6">
        <f t="shared" si="2"/>
        <v>3.464527363270048E-2</v>
      </c>
      <c r="AC24" s="6">
        <f t="shared" si="24"/>
        <v>1.8511055409463786E-3</v>
      </c>
      <c r="AD24" s="6">
        <f t="shared" si="6"/>
        <v>4.2684025850665379E-2</v>
      </c>
      <c r="AE24" s="6">
        <f t="shared" si="7"/>
        <v>1.8029295231769223E-3</v>
      </c>
      <c r="AF24" s="6">
        <f t="shared" si="8"/>
        <v>4.4081406434643584E-5</v>
      </c>
      <c r="AG24" s="6">
        <f t="shared" si="9"/>
        <v>6.2683759950063166E-3</v>
      </c>
      <c r="AH24" s="6">
        <f t="shared" si="10"/>
        <v>3.4568638926047494E-2</v>
      </c>
      <c r="AI24" s="6">
        <f t="shared" si="25"/>
        <v>1.847010929611566E-3</v>
      </c>
      <c r="AJ24" s="22">
        <f>AC24-AI23</f>
        <v>1.491043770398337E-3</v>
      </c>
      <c r="AK24">
        <f>(AA24-AG23)*-1</f>
        <v>3.0291985855529667E-3</v>
      </c>
      <c r="AL24" s="25">
        <f>Y24-AE23</f>
        <v>1.4468646405428147E-3</v>
      </c>
      <c r="AM24" s="6">
        <f>AK24+AM22</f>
        <v>2.7374851842179197E-2</v>
      </c>
      <c r="AN24" s="6">
        <f>AL24+AN22</f>
        <v>1.2703886199567915E-2</v>
      </c>
      <c r="AO24" s="6">
        <f>AJ24+AO22</f>
        <v>1.295644033297339E-2</v>
      </c>
      <c r="AP24" s="19">
        <f>AO24*$D$4*1000/$D$6</f>
        <v>1.0121705985005358</v>
      </c>
      <c r="AQ24">
        <f t="shared" si="26"/>
        <v>4582.9288443664154</v>
      </c>
      <c r="AR24" s="6">
        <f t="shared" si="27"/>
        <v>23.968717856036353</v>
      </c>
      <c r="AS24" s="6">
        <f t="shared" si="28"/>
        <v>2.3489343498915628E-3</v>
      </c>
      <c r="AT24" s="6">
        <f t="shared" si="11"/>
        <v>4572.7914902406274</v>
      </c>
      <c r="AU24" s="6">
        <f t="shared" si="12"/>
        <v>23.915699493958481</v>
      </c>
      <c r="AV24" s="6">
        <f t="shared" si="13"/>
        <v>2.3437385504079312E-3</v>
      </c>
      <c r="AW24" s="6">
        <f t="shared" si="29"/>
        <v>1.8808679938231514E-3</v>
      </c>
      <c r="AX24" s="52">
        <f t="shared" si="30"/>
        <v>2.4236557750781009E-3</v>
      </c>
      <c r="AY24" s="53">
        <f t="shared" si="14"/>
        <v>0.1893385106846785</v>
      </c>
      <c r="AZ24" s="54">
        <f t="shared" si="35"/>
        <v>1.2015091091852144</v>
      </c>
      <c r="BA24" s="23">
        <f t="shared" si="15"/>
        <v>0.91028905215220846</v>
      </c>
    </row>
    <row r="25" spans="1:56" s="7" customFormat="1" ht="14.4" x14ac:dyDescent="0.3">
      <c r="A25" t="s">
        <v>126</v>
      </c>
      <c r="B25">
        <v>2</v>
      </c>
      <c r="C25" s="2">
        <v>45054</v>
      </c>
      <c r="D25" s="11">
        <v>0.43472222222222223</v>
      </c>
      <c r="E25" s="15">
        <v>1018.7</v>
      </c>
      <c r="F25">
        <v>1125.9000000000001</v>
      </c>
      <c r="G25">
        <v>1122.4000000000001</v>
      </c>
      <c r="H25">
        <v>0</v>
      </c>
      <c r="I25">
        <v>0.55000000000000004</v>
      </c>
      <c r="J25">
        <v>20.190000000000001</v>
      </c>
      <c r="K25">
        <v>75.03</v>
      </c>
      <c r="L25">
        <v>1</v>
      </c>
      <c r="M25"/>
      <c r="N25" t="s">
        <v>99</v>
      </c>
      <c r="O25">
        <v>863.77</v>
      </c>
      <c r="P25" s="8">
        <f t="shared" si="16"/>
        <v>45054.43472222222</v>
      </c>
      <c r="Q25" s="9">
        <f t="shared" si="4"/>
        <v>19.790972222217533</v>
      </c>
      <c r="R25">
        <f t="shared" si="17"/>
        <v>95.77000000000001</v>
      </c>
      <c r="S25">
        <f t="shared" si="18"/>
        <v>0</v>
      </c>
      <c r="T25">
        <f t="shared" si="19"/>
        <v>0.57429257596324523</v>
      </c>
      <c r="U25">
        <f t="shared" si="20"/>
        <v>21.081758379450768</v>
      </c>
      <c r="V25">
        <f t="shared" si="21"/>
        <v>78.343949044585983</v>
      </c>
      <c r="W25">
        <f t="shared" si="22"/>
        <v>100</v>
      </c>
      <c r="X25" s="10">
        <f t="shared" si="23"/>
        <v>4.4391229175377946E-2</v>
      </c>
      <c r="Y25" s="10">
        <f t="shared" si="0"/>
        <v>2.5493553353302567E-4</v>
      </c>
      <c r="Z25" s="10">
        <f t="shared" si="5"/>
        <v>0</v>
      </c>
      <c r="AA25" s="10">
        <f t="shared" si="1"/>
        <v>9.3584516764214348E-3</v>
      </c>
      <c r="AB25" s="10">
        <f t="shared" si="2"/>
        <v>3.4777841965423481E-2</v>
      </c>
      <c r="AC25" s="10">
        <f t="shared" si="24"/>
        <v>2.5493553353302567E-4</v>
      </c>
      <c r="AD25" s="10">
        <f t="shared" si="6"/>
        <v>4.4253233525574392E-2</v>
      </c>
      <c r="AE25" s="10">
        <f t="shared" si="7"/>
        <v>2.5414303476105159E-4</v>
      </c>
      <c r="AF25" s="10">
        <f t="shared" si="8"/>
        <v>0</v>
      </c>
      <c r="AG25" s="10">
        <f t="shared" si="9"/>
        <v>9.3293597669556957E-3</v>
      </c>
      <c r="AH25" s="10">
        <f t="shared" si="10"/>
        <v>3.4669730723857643E-2</v>
      </c>
      <c r="AI25" s="10">
        <f t="shared" si="25"/>
        <v>2.5414303476105159E-4</v>
      </c>
      <c r="AJ25" s="22"/>
      <c r="AK25"/>
      <c r="AL25" s="25"/>
      <c r="AM25" s="6"/>
      <c r="AN25" s="6"/>
      <c r="AO25" s="6"/>
      <c r="AP25" s="19"/>
      <c r="AQ25" s="7">
        <f t="shared" si="26"/>
        <v>646.59601127701785</v>
      </c>
      <c r="AR25" s="10">
        <f>AQ25*$D$7</f>
        <v>3.3816971389788035</v>
      </c>
      <c r="AS25" s="6">
        <f t="shared" si="28"/>
        <v>3.3140631961992278E-4</v>
      </c>
      <c r="AT25" s="6">
        <f t="shared" si="11"/>
        <v>644.58598726114656</v>
      </c>
      <c r="AU25" s="6">
        <f t="shared" si="12"/>
        <v>3.3711847133757966</v>
      </c>
      <c r="AV25" s="6">
        <f t="shared" si="13"/>
        <v>3.3037610191082804E-4</v>
      </c>
      <c r="AW25" s="6">
        <f t="shared" si="29"/>
        <v>-2.0123322307880084E-3</v>
      </c>
      <c r="AX25" s="52">
        <f t="shared" si="30"/>
        <v>4.1132354429009249E-4</v>
      </c>
      <c r="AY25" s="53">
        <f t="shared" si="14"/>
        <v>3.2133023214866351E-2</v>
      </c>
      <c r="AZ25" s="54"/>
      <c r="BA25" s="23">
        <f t="shared" si="15"/>
        <v>0</v>
      </c>
      <c r="BB25"/>
      <c r="BC25"/>
      <c r="BD25"/>
    </row>
    <row r="26" spans="1:56" ht="14.4" x14ac:dyDescent="0.3">
      <c r="A26" t="s">
        <v>126</v>
      </c>
      <c r="B26">
        <v>2</v>
      </c>
      <c r="C26" s="2">
        <v>45056</v>
      </c>
      <c r="D26" s="11">
        <v>0.43541666666666662</v>
      </c>
      <c r="E26" s="15">
        <v>1008</v>
      </c>
      <c r="F26">
        <v>1103.3</v>
      </c>
      <c r="G26">
        <v>1100.0999999999999</v>
      </c>
      <c r="H26">
        <v>0</v>
      </c>
      <c r="I26">
        <v>2.4500000000000002</v>
      </c>
      <c r="J26">
        <v>17.41</v>
      </c>
      <c r="K26">
        <v>76.22</v>
      </c>
      <c r="L26">
        <v>0</v>
      </c>
      <c r="N26" t="s">
        <v>99</v>
      </c>
      <c r="P26" s="3">
        <f t="shared" si="16"/>
        <v>45056.435416666667</v>
      </c>
      <c r="Q26" s="4">
        <f t="shared" si="4"/>
        <v>21.791666666664241</v>
      </c>
      <c r="R26">
        <f t="shared" si="17"/>
        <v>96.08</v>
      </c>
      <c r="S26">
        <f t="shared" si="18"/>
        <v>0</v>
      </c>
      <c r="T26">
        <f t="shared" si="19"/>
        <v>2.5499583680266449</v>
      </c>
      <c r="U26">
        <f t="shared" si="20"/>
        <v>18.120316402997503</v>
      </c>
      <c r="V26">
        <f t="shared" si="21"/>
        <v>79.32972522897586</v>
      </c>
      <c r="W26">
        <f t="shared" si="22"/>
        <v>100</v>
      </c>
      <c r="X26" s="6">
        <f t="shared" si="23"/>
        <v>4.3500171550932124E-2</v>
      </c>
      <c r="Y26" s="6">
        <f t="shared" si="0"/>
        <v>1.1092362645689397E-3</v>
      </c>
      <c r="Z26" s="6">
        <f t="shared" si="5"/>
        <v>0</v>
      </c>
      <c r="AA26" s="6">
        <f t="shared" si="1"/>
        <v>7.8823687208756064E-3</v>
      </c>
      <c r="AB26" s="6">
        <f t="shared" si="2"/>
        <v>3.4508566565487578E-2</v>
      </c>
      <c r="AC26" s="6">
        <f t="shared" si="24"/>
        <v>1.1092362645689397E-3</v>
      </c>
      <c r="AD26" s="6">
        <f t="shared" si="6"/>
        <v>4.3374004099683158E-2</v>
      </c>
      <c r="AE26" s="6">
        <f t="shared" si="7"/>
        <v>1.1060190470880908E-3</v>
      </c>
      <c r="AF26" s="6">
        <f t="shared" si="8"/>
        <v>0</v>
      </c>
      <c r="AG26" s="6">
        <f t="shared" si="9"/>
        <v>7.859506779511697E-3</v>
      </c>
      <c r="AH26" s="6">
        <f t="shared" si="10"/>
        <v>3.4408478273083375E-2</v>
      </c>
      <c r="AI26" s="6">
        <f t="shared" si="25"/>
        <v>1.1060190470880908E-3</v>
      </c>
      <c r="AJ26" s="22">
        <f>AC26-AI25</f>
        <v>8.5509322980788813E-4</v>
      </c>
      <c r="AK26">
        <f>(AA26-AG25)*-1</f>
        <v>1.4469910460800893E-3</v>
      </c>
      <c r="AL26" s="25">
        <f>Y26-AE25</f>
        <v>8.5509322980788813E-4</v>
      </c>
      <c r="AM26" s="6">
        <f>AK26+AM24</f>
        <v>2.8821842888259286E-2</v>
      </c>
      <c r="AN26" s="6">
        <f>AL26+AN24</f>
        <v>1.3558979429375803E-2</v>
      </c>
      <c r="AO26" s="6">
        <f>AJ26+AO24</f>
        <v>1.3811533562781277E-2</v>
      </c>
      <c r="AP26" s="19">
        <f>AO26*$D$4*1000/$D$6</f>
        <v>1.0789713712394615</v>
      </c>
      <c r="AQ26">
        <f t="shared" si="26"/>
        <v>2813.3690674437971</v>
      </c>
      <c r="AR26" s="6">
        <f t="shared" si="27"/>
        <v>14.71392022273106</v>
      </c>
      <c r="AS26" s="6">
        <f t="shared" si="28"/>
        <v>1.4419641818276439E-3</v>
      </c>
      <c r="AT26" s="6">
        <f t="shared" si="11"/>
        <v>2805.2092006661114</v>
      </c>
      <c r="AU26" s="6">
        <f t="shared" si="12"/>
        <v>14.671244119483763</v>
      </c>
      <c r="AV26" s="6">
        <f t="shared" si="13"/>
        <v>1.4377819237094088E-3</v>
      </c>
      <c r="AW26" s="6">
        <f t="shared" si="29"/>
        <v>1.1115880799168159E-3</v>
      </c>
      <c r="AX26" s="52">
        <f t="shared" si="30"/>
        <v>1.5229116242069084E-3</v>
      </c>
      <c r="AY26" s="53">
        <f t="shared" si="14"/>
        <v>0.1189714404977452</v>
      </c>
      <c r="AZ26" s="54">
        <f t="shared" si="35"/>
        <v>1.1979428117372066</v>
      </c>
      <c r="BA26" s="23">
        <f t="shared" si="15"/>
        <v>0.73575268088688917</v>
      </c>
    </row>
    <row r="27" spans="1:56" s="7" customFormat="1" ht="14.4" x14ac:dyDescent="0.3">
      <c r="A27" t="s">
        <v>126</v>
      </c>
      <c r="B27">
        <v>2</v>
      </c>
      <c r="C27" s="2">
        <v>45056</v>
      </c>
      <c r="D27" s="11">
        <v>0.46319444444444446</v>
      </c>
      <c r="E27" s="15">
        <v>1008.4</v>
      </c>
      <c r="F27">
        <v>1115.2</v>
      </c>
      <c r="G27">
        <v>1111.9000000000001</v>
      </c>
      <c r="H27">
        <v>0.14000000000000001</v>
      </c>
      <c r="I27">
        <v>0.57999999999999996</v>
      </c>
      <c r="J27">
        <v>20.12</v>
      </c>
      <c r="K27">
        <v>74.760000000000005</v>
      </c>
      <c r="L27">
        <v>1</v>
      </c>
      <c r="M27"/>
      <c r="N27" t="s">
        <v>99</v>
      </c>
      <c r="O27">
        <v>863.67</v>
      </c>
      <c r="P27" s="8">
        <f t="shared" si="16"/>
        <v>45056.463194444441</v>
      </c>
      <c r="Q27" s="9">
        <f t="shared" si="4"/>
        <v>21.819444444437977</v>
      </c>
      <c r="R27">
        <f t="shared" si="17"/>
        <v>95.600000000000009</v>
      </c>
      <c r="S27">
        <f t="shared" si="18"/>
        <v>0.14644351464435146</v>
      </c>
      <c r="T27">
        <f t="shared" si="19"/>
        <v>0.60669456066945593</v>
      </c>
      <c r="U27">
        <f t="shared" si="20"/>
        <v>21.04602510460251</v>
      </c>
      <c r="V27">
        <f t="shared" si="21"/>
        <v>78.20083682008368</v>
      </c>
      <c r="W27">
        <f t="shared" si="22"/>
        <v>100</v>
      </c>
      <c r="X27" s="10">
        <f t="shared" si="23"/>
        <v>4.3969356760264214E-2</v>
      </c>
      <c r="Y27" s="10">
        <f t="shared" si="0"/>
        <v>2.667596958258707E-4</v>
      </c>
      <c r="Z27" s="10">
        <f t="shared" si="5"/>
        <v>6.4390271406244658E-5</v>
      </c>
      <c r="AA27" s="10">
        <f t="shared" si="1"/>
        <v>9.253801862097448E-3</v>
      </c>
      <c r="AB27" s="10">
        <f t="shared" si="2"/>
        <v>3.4384404930934649E-2</v>
      </c>
      <c r="AC27" s="10">
        <f t="shared" si="24"/>
        <v>3.3114996723211535E-4</v>
      </c>
      <c r="AD27" s="10">
        <f t="shared" si="6"/>
        <v>4.3839246576163726E-2</v>
      </c>
      <c r="AE27" s="10">
        <f t="shared" si="7"/>
        <v>2.6597032441605601E-4</v>
      </c>
      <c r="AF27" s="10">
        <f t="shared" si="8"/>
        <v>6.4199733479737667E-5</v>
      </c>
      <c r="AG27" s="10">
        <f t="shared" si="9"/>
        <v>9.2264188400880149E-3</v>
      </c>
      <c r="AH27" s="10">
        <f t="shared" si="10"/>
        <v>3.4282657678179916E-2</v>
      </c>
      <c r="AI27" s="10">
        <f t="shared" si="25"/>
        <v>3.301700578957937E-4</v>
      </c>
      <c r="AJ27" s="22"/>
      <c r="AK27"/>
      <c r="AL27" s="25"/>
      <c r="AM27" s="6"/>
      <c r="AN27" s="6"/>
      <c r="AO27" s="6"/>
      <c r="AP27" s="19"/>
      <c r="AQ27" s="7">
        <f t="shared" si="26"/>
        <v>676.58577405857727</v>
      </c>
      <c r="AR27" s="10">
        <f t="shared" si="27"/>
        <v>3.5385435983263593</v>
      </c>
      <c r="AS27" s="6">
        <f t="shared" si="28"/>
        <v>3.4677727263598322E-4</v>
      </c>
      <c r="AT27" s="6">
        <f t="shared" si="11"/>
        <v>674.58368200836821</v>
      </c>
      <c r="AU27" s="6">
        <f t="shared" si="12"/>
        <v>3.5280726569037659</v>
      </c>
      <c r="AV27" s="6">
        <f t="shared" si="13"/>
        <v>3.4575112037656905E-4</v>
      </c>
      <c r="AW27" s="6">
        <f t="shared" si="29"/>
        <v>-1.0910046510734257E-3</v>
      </c>
      <c r="AX27" s="52">
        <f t="shared" si="30"/>
        <v>4.3190697313348278E-4</v>
      </c>
      <c r="AY27" s="53">
        <f t="shared" si="14"/>
        <v>3.3741022090806552E-2</v>
      </c>
      <c r="AZ27" s="54"/>
      <c r="BA27" s="23">
        <f t="shared" si="15"/>
        <v>0</v>
      </c>
      <c r="BB27"/>
      <c r="BC27"/>
      <c r="BD27"/>
    </row>
    <row r="28" spans="1:56" ht="15" customHeight="1" x14ac:dyDescent="0.3">
      <c r="A28" t="s">
        <v>126</v>
      </c>
      <c r="B28">
        <v>2</v>
      </c>
      <c r="C28" s="2">
        <v>45058</v>
      </c>
      <c r="D28" s="11">
        <v>0.41180555555555554</v>
      </c>
      <c r="E28" s="15">
        <v>1014.8</v>
      </c>
      <c r="F28">
        <v>1088.2</v>
      </c>
      <c r="G28">
        <v>1084.9000000000001</v>
      </c>
      <c r="H28">
        <v>0</v>
      </c>
      <c r="I28">
        <v>1.98</v>
      </c>
      <c r="J28">
        <v>17.72</v>
      </c>
      <c r="K28">
        <v>76.52</v>
      </c>
      <c r="L28">
        <v>0</v>
      </c>
      <c r="N28" t="s">
        <v>99</v>
      </c>
      <c r="P28" s="3">
        <f t="shared" si="16"/>
        <v>45058.411805555559</v>
      </c>
      <c r="Q28" s="4">
        <f t="shared" si="4"/>
        <v>23.768055555556202</v>
      </c>
      <c r="R28">
        <f t="shared" si="17"/>
        <v>96.22</v>
      </c>
      <c r="S28">
        <f t="shared" si="18"/>
        <v>0</v>
      </c>
      <c r="T28">
        <f t="shared" si="19"/>
        <v>2.0577842444398255</v>
      </c>
      <c r="U28">
        <f t="shared" si="20"/>
        <v>18.416129702764497</v>
      </c>
      <c r="V28">
        <f t="shared" si="21"/>
        <v>79.526086052795677</v>
      </c>
      <c r="W28">
        <f t="shared" si="22"/>
        <v>100</v>
      </c>
      <c r="X28" s="6">
        <f t="shared" si="23"/>
        <v>4.2904818890351068E-2</v>
      </c>
      <c r="Y28" s="6">
        <f t="shared" si="0"/>
        <v>8.8288860323108625E-4</v>
      </c>
      <c r="Z28" s="6">
        <f t="shared" si="5"/>
        <v>0</v>
      </c>
      <c r="AA28" s="6">
        <f t="shared" si="1"/>
        <v>7.9014070955832558E-3</v>
      </c>
      <c r="AB28" s="6">
        <f t="shared" si="2"/>
        <v>3.4120523191536724E-2</v>
      </c>
      <c r="AC28" s="6">
        <f>Y28+Z28</f>
        <v>8.8288860323108625E-4</v>
      </c>
      <c r="AD28" s="6">
        <f t="shared" si="6"/>
        <v>4.2774708706250587E-2</v>
      </c>
      <c r="AE28" s="6">
        <f t="shared" si="7"/>
        <v>8.8021121636225493E-4</v>
      </c>
      <c r="AF28" s="6">
        <f t="shared" si="8"/>
        <v>0</v>
      </c>
      <c r="AG28" s="6">
        <f t="shared" si="9"/>
        <v>7.877445835322806E-3</v>
      </c>
      <c r="AH28" s="6">
        <f t="shared" si="10"/>
        <v>3.4017051654565526E-2</v>
      </c>
      <c r="AI28" s="6">
        <f>AE28+AF28</f>
        <v>8.8021121636225493E-4</v>
      </c>
      <c r="AJ28" s="22">
        <f>AC28-AI27</f>
        <v>5.5271854533529255E-4</v>
      </c>
      <c r="AK28">
        <f>(AA28-AG27)*-1</f>
        <v>1.3250117445047591E-3</v>
      </c>
      <c r="AL28" s="25">
        <f>Y28-AE27</f>
        <v>6.1691827881503025E-4</v>
      </c>
      <c r="AM28" s="6">
        <f>AK28+AM26</f>
        <v>3.0146854632764043E-2</v>
      </c>
      <c r="AN28" s="6">
        <f>AL28+AN26</f>
        <v>1.4175897708190832E-2</v>
      </c>
      <c r="AO28" s="6">
        <f>AJ28+AO26</f>
        <v>1.436425210811657E-2</v>
      </c>
      <c r="AP28" s="19">
        <f>AO28*$D$4*1000/$D$6</f>
        <v>1.1221503190412441</v>
      </c>
      <c r="AQ28">
        <f>F28*100*T28/100</f>
        <v>2239.2808147994183</v>
      </c>
      <c r="AR28" s="6">
        <f t="shared" si="27"/>
        <v>11.711438661400958</v>
      </c>
      <c r="AS28" s="6">
        <f t="shared" si="28"/>
        <v>1.147720988817294E-3</v>
      </c>
      <c r="AT28" s="6">
        <f t="shared" si="11"/>
        <v>2232.4901267927671</v>
      </c>
      <c r="AU28" s="6">
        <f t="shared" si="12"/>
        <v>11.675923363126172</v>
      </c>
      <c r="AV28" s="6">
        <f t="shared" si="13"/>
        <v>1.1442404895863649E-3</v>
      </c>
      <c r="AW28" s="6">
        <f t="shared" si="29"/>
        <v>8.0196986844072496E-4</v>
      </c>
      <c r="AX28" s="52">
        <f t="shared" si="30"/>
        <v>1.2338768415742077E-3</v>
      </c>
      <c r="AY28" s="53">
        <f t="shared" si="14"/>
        <v>9.6391742570970995E-2</v>
      </c>
      <c r="AZ28" s="54">
        <f t="shared" si="35"/>
        <v>1.2185420616122151</v>
      </c>
      <c r="BA28" s="23">
        <f t="shared" si="15"/>
        <v>0.9338380527509792</v>
      </c>
    </row>
    <row r="29" spans="1:56" ht="15" customHeight="1" x14ac:dyDescent="0.3">
      <c r="A29" t="s">
        <v>126</v>
      </c>
      <c r="B29">
        <v>2</v>
      </c>
      <c r="C29" s="2">
        <v>45061</v>
      </c>
      <c r="D29" s="11">
        <v>0.43888888888888888</v>
      </c>
      <c r="E29" s="15">
        <v>1012.7</v>
      </c>
      <c r="F29">
        <v>1056</v>
      </c>
      <c r="G29">
        <v>1053.0999999999999</v>
      </c>
      <c r="H29">
        <v>0</v>
      </c>
      <c r="I29">
        <v>3.53</v>
      </c>
      <c r="J29">
        <v>14.52</v>
      </c>
      <c r="K29">
        <v>80.12</v>
      </c>
      <c r="L29">
        <v>0</v>
      </c>
      <c r="N29" t="s">
        <v>99</v>
      </c>
      <c r="P29" s="8">
        <f t="shared" si="16"/>
        <v>45061.438888888886</v>
      </c>
      <c r="Q29" s="9">
        <f t="shared" si="4"/>
        <v>26.79513888888323</v>
      </c>
      <c r="R29">
        <f t="shared" si="17"/>
        <v>98.17</v>
      </c>
      <c r="S29">
        <f t="shared" si="18"/>
        <v>0</v>
      </c>
      <c r="T29">
        <f t="shared" si="19"/>
        <v>3.5958031985331567</v>
      </c>
      <c r="U29">
        <f t="shared" si="20"/>
        <v>14.790669247224203</v>
      </c>
      <c r="V29">
        <f t="shared" si="21"/>
        <v>81.613527554242637</v>
      </c>
      <c r="W29">
        <f t="shared" si="22"/>
        <v>100</v>
      </c>
      <c r="X29" s="6">
        <f t="shared" si="23"/>
        <v>4.1635258912158364E-2</v>
      </c>
      <c r="Y29" s="6">
        <f t="shared" si="0"/>
        <v>1.4971219716809518E-3</v>
      </c>
      <c r="Z29" s="6">
        <f t="shared" si="5"/>
        <v>0</v>
      </c>
      <c r="AA29" s="6">
        <f t="shared" si="1"/>
        <v>6.158133435922781E-3</v>
      </c>
      <c r="AB29" s="6">
        <f t="shared" si="2"/>
        <v>3.3980003504554629E-2</v>
      </c>
      <c r="AC29" s="6">
        <f t="shared" ref="AC29:AC33" si="39">Y29+Z29</f>
        <v>1.4971219716809518E-3</v>
      </c>
      <c r="AD29" s="6">
        <f t="shared" si="6"/>
        <v>4.1520919659463987E-2</v>
      </c>
      <c r="AE29" s="6">
        <f t="shared" si="7"/>
        <v>1.4930105571753882E-3</v>
      </c>
      <c r="AF29" s="6">
        <f t="shared" si="8"/>
        <v>0</v>
      </c>
      <c r="AG29" s="6">
        <f t="shared" si="9"/>
        <v>6.1412218952370083E-3</v>
      </c>
      <c r="AH29" s="6">
        <f t="shared" si="10"/>
        <v>3.388668720705159E-2</v>
      </c>
      <c r="AI29" s="6">
        <f t="shared" ref="AI29:AI33" si="40">AE29+AF29</f>
        <v>1.4930105571753882E-3</v>
      </c>
      <c r="AJ29" s="22">
        <f>AC29-AI28</f>
        <v>6.1691075531869683E-4</v>
      </c>
      <c r="AK29">
        <f>(AA29-AG28)*-1</f>
        <v>1.719312399400025E-3</v>
      </c>
      <c r="AL29" s="25">
        <f>Y29-AE28</f>
        <v>6.1691075531869683E-4</v>
      </c>
      <c r="AM29" s="6">
        <f t="shared" ref="AM29:AN32" si="41">AK29+AM28</f>
        <v>3.1866167032164071E-2</v>
      </c>
      <c r="AN29" s="6">
        <f t="shared" si="41"/>
        <v>1.4792808463509529E-2</v>
      </c>
      <c r="AO29" s="6">
        <f t="shared" ref="AO29:AO32" si="42">AJ29+AO28</f>
        <v>1.4981162863435267E-2</v>
      </c>
      <c r="AP29" s="19">
        <f>AO29*$D$4*1000/$D$6</f>
        <v>1.1703440290715548</v>
      </c>
      <c r="AQ29">
        <f t="shared" ref="AQ29:AQ33" si="43">F29*100*T29/100</f>
        <v>3797.1681776510131</v>
      </c>
      <c r="AR29" s="6">
        <f t="shared" si="27"/>
        <v>19.8591895691148</v>
      </c>
      <c r="AS29" s="6">
        <f t="shared" si="28"/>
        <v>1.9462005777732506E-3</v>
      </c>
      <c r="AT29" s="6">
        <f t="shared" si="11"/>
        <v>3786.7403483752669</v>
      </c>
      <c r="AU29" s="6">
        <f t="shared" si="12"/>
        <v>19.804652022002646</v>
      </c>
      <c r="AV29" s="6">
        <f t="shared" si="13"/>
        <v>1.9408558981562594E-3</v>
      </c>
      <c r="AW29" s="6">
        <f t="shared" si="29"/>
        <v>8.0196008818688574E-4</v>
      </c>
      <c r="AX29" s="52">
        <f t="shared" si="30"/>
        <v>2.0358369297610937E-3</v>
      </c>
      <c r="AY29" s="53">
        <f t="shared" si="14"/>
        <v>0.15904169900753032</v>
      </c>
      <c r="AZ29" s="54">
        <f t="shared" si="35"/>
        <v>1.3293857280790851</v>
      </c>
      <c r="BA29" s="23">
        <f t="shared" si="15"/>
        <v>1.2117469375522198</v>
      </c>
    </row>
    <row r="30" spans="1:56" ht="15" customHeight="1" x14ac:dyDescent="0.3">
      <c r="A30" t="s">
        <v>126</v>
      </c>
      <c r="B30">
        <v>2</v>
      </c>
      <c r="C30" s="2">
        <v>45061</v>
      </c>
      <c r="D30" s="11">
        <v>0.47013888888888888</v>
      </c>
      <c r="E30" s="15">
        <v>1012.9</v>
      </c>
      <c r="F30">
        <v>1119.5</v>
      </c>
      <c r="G30">
        <v>1115.4000000000001</v>
      </c>
      <c r="H30">
        <v>0</v>
      </c>
      <c r="I30">
        <v>0.42</v>
      </c>
      <c r="J30">
        <v>20.45</v>
      </c>
      <c r="K30">
        <v>75.849999999999994</v>
      </c>
      <c r="L30">
        <v>1</v>
      </c>
      <c r="N30" t="s">
        <v>99</v>
      </c>
      <c r="O30">
        <v>863.6</v>
      </c>
      <c r="P30" s="3">
        <f t="shared" si="16"/>
        <v>45061.470138888886</v>
      </c>
      <c r="Q30" s="4">
        <f t="shared" si="4"/>
        <v>26.82638888888323</v>
      </c>
      <c r="R30">
        <f t="shared" si="17"/>
        <v>96.72</v>
      </c>
      <c r="S30">
        <f t="shared" si="18"/>
        <v>0</v>
      </c>
      <c r="T30">
        <f t="shared" si="19"/>
        <v>0.43424317617866004</v>
      </c>
      <c r="U30">
        <f t="shared" si="20"/>
        <v>21.143507030603804</v>
      </c>
      <c r="V30">
        <f t="shared" si="21"/>
        <v>78.422249793217532</v>
      </c>
      <c r="W30">
        <f t="shared" si="22"/>
        <v>100</v>
      </c>
      <c r="X30" s="10">
        <f t="shared" si="23"/>
        <v>4.4138894272880008E-2</v>
      </c>
      <c r="Y30" s="10">
        <f t="shared" si="0"/>
        <v>1.9167013642069482E-4</v>
      </c>
      <c r="Z30" s="10">
        <f t="shared" si="5"/>
        <v>0</v>
      </c>
      <c r="AA30" s="10">
        <f t="shared" si="1"/>
        <v>9.3325102138171641E-3</v>
      </c>
      <c r="AB30" s="10">
        <f t="shared" si="2"/>
        <v>3.4614713922642149E-2</v>
      </c>
      <c r="AC30" s="10">
        <f t="shared" si="39"/>
        <v>1.9167013642069482E-4</v>
      </c>
      <c r="AD30" s="10">
        <f t="shared" si="6"/>
        <v>4.3977242225967279E-2</v>
      </c>
      <c r="AE30" s="10">
        <f t="shared" si="7"/>
        <v>1.9096817343782318E-4</v>
      </c>
      <c r="AF30" s="10">
        <f t="shared" si="8"/>
        <v>0</v>
      </c>
      <c r="AG30" s="10">
        <f t="shared" si="9"/>
        <v>9.298331301913057E-3</v>
      </c>
      <c r="AH30" s="10">
        <f t="shared" si="10"/>
        <v>3.4487942750616396E-2</v>
      </c>
      <c r="AI30" s="10">
        <f t="shared" si="40"/>
        <v>1.9096817343782318E-4</v>
      </c>
      <c r="AJ30" s="22"/>
      <c r="AL30" s="25"/>
      <c r="AM30" s="6"/>
      <c r="AN30" s="6"/>
      <c r="AO30" s="6"/>
      <c r="AP30" s="19"/>
      <c r="AQ30" s="7">
        <f t="shared" si="43"/>
        <v>486.1352357320099</v>
      </c>
      <c r="AR30" s="10">
        <f t="shared" si="27"/>
        <v>2.5424872828784117</v>
      </c>
      <c r="AS30" s="6">
        <f t="shared" si="28"/>
        <v>2.4916375372208437E-4</v>
      </c>
      <c r="AT30" s="6">
        <f t="shared" si="11"/>
        <v>484.35483870967749</v>
      </c>
      <c r="AU30" s="6">
        <f t="shared" si="12"/>
        <v>2.5331758064516134</v>
      </c>
      <c r="AV30" s="6">
        <f t="shared" si="13"/>
        <v>2.4825122903225812E-4</v>
      </c>
      <c r="AW30" s="6">
        <f t="shared" si="29"/>
        <v>-1.691692144434175E-3</v>
      </c>
      <c r="AX30" s="52">
        <f t="shared" si="30"/>
        <v>3.4414478532691873E-4</v>
      </c>
      <c r="AY30" s="53">
        <f t="shared" si="14"/>
        <v>2.6884948672877218E-2</v>
      </c>
      <c r="AZ30" s="54"/>
      <c r="BA30" s="23">
        <f t="shared" si="15"/>
        <v>0</v>
      </c>
    </row>
    <row r="31" spans="1:56" ht="15" customHeight="1" x14ac:dyDescent="0.3">
      <c r="A31" t="s">
        <v>126</v>
      </c>
      <c r="B31">
        <v>2</v>
      </c>
      <c r="C31" s="2">
        <v>45063</v>
      </c>
      <c r="D31" s="11">
        <v>0.40972222222222227</v>
      </c>
      <c r="E31" s="15">
        <v>1025.7</v>
      </c>
      <c r="F31">
        <v>1103.5999999999999</v>
      </c>
      <c r="G31">
        <v>1101.3</v>
      </c>
      <c r="H31">
        <v>0</v>
      </c>
      <c r="I31">
        <v>2.0499999999999998</v>
      </c>
      <c r="J31">
        <v>18.329999999999998</v>
      </c>
      <c r="K31">
        <v>77.64</v>
      </c>
      <c r="L31">
        <v>0</v>
      </c>
      <c r="N31" t="s">
        <v>99</v>
      </c>
      <c r="P31" s="3">
        <f t="shared" si="16"/>
        <v>45063.409722222219</v>
      </c>
      <c r="Q31" s="4">
        <f t="shared" si="4"/>
        <v>28.765972222216078</v>
      </c>
      <c r="R31">
        <f t="shared" si="17"/>
        <v>98.02</v>
      </c>
      <c r="S31">
        <f t="shared" si="18"/>
        <v>0</v>
      </c>
      <c r="T31">
        <f t="shared" si="19"/>
        <v>2.0914099163436033</v>
      </c>
      <c r="U31">
        <f t="shared" si="20"/>
        <v>18.700265251989389</v>
      </c>
      <c r="V31">
        <f t="shared" si="21"/>
        <v>79.208324831667014</v>
      </c>
      <c r="W31">
        <f t="shared" si="22"/>
        <v>100</v>
      </c>
      <c r="X31" s="10">
        <f t="shared" si="23"/>
        <v>4.3511999749486711E-2</v>
      </c>
      <c r="Y31" s="10">
        <f t="shared" si="0"/>
        <v>9.1001427756016886E-4</v>
      </c>
      <c r="Z31" s="10">
        <f t="shared" si="5"/>
        <v>0</v>
      </c>
      <c r="AA31" s="10">
        <f t="shared" si="1"/>
        <v>8.1368593695989727E-3</v>
      </c>
      <c r="AB31" s="10">
        <f t="shared" si="2"/>
        <v>3.4465126102327569E-2</v>
      </c>
      <c r="AC31" s="10">
        <f t="shared" si="39"/>
        <v>9.1001427756016886E-4</v>
      </c>
      <c r="AD31" s="10">
        <f t="shared" si="6"/>
        <v>4.3421316893901524E-2</v>
      </c>
      <c r="AE31" s="10">
        <f t="shared" si="7"/>
        <v>9.081177273260367E-4</v>
      </c>
      <c r="AF31" s="10">
        <f t="shared" si="8"/>
        <v>0</v>
      </c>
      <c r="AG31" s="10">
        <f t="shared" si="9"/>
        <v>8.119901435066466E-3</v>
      </c>
      <c r="AH31" s="10">
        <f t="shared" si="10"/>
        <v>3.4393297731509023E-2</v>
      </c>
      <c r="AI31" s="10">
        <f t="shared" si="40"/>
        <v>9.081177273260367E-4</v>
      </c>
      <c r="AJ31" s="22">
        <f>AC31-AI30</f>
        <v>7.1904610412234571E-4</v>
      </c>
      <c r="AK31">
        <f>(AA31-AG30)*-1</f>
        <v>1.1614719323140843E-3</v>
      </c>
      <c r="AL31" s="25">
        <f>Y31-AE30</f>
        <v>7.1904610412234571E-4</v>
      </c>
      <c r="AM31" s="6">
        <f>AK31+AM29</f>
        <v>3.3027638964478155E-2</v>
      </c>
      <c r="AN31" s="6">
        <f>AL31+AN29</f>
        <v>1.5511854567631874E-2</v>
      </c>
      <c r="AO31" s="6">
        <f>AJ31+AO29</f>
        <v>1.5700208967557614E-2</v>
      </c>
      <c r="AP31" s="19">
        <f>AO31*$D$4*1000/$D$6</f>
        <v>1.2265166588105114</v>
      </c>
      <c r="AQ31">
        <f t="shared" si="43"/>
        <v>2308.0799836768001</v>
      </c>
      <c r="AR31" s="6">
        <f t="shared" si="27"/>
        <v>12.071258314629665</v>
      </c>
      <c r="AS31" s="6">
        <f t="shared" si="28"/>
        <v>1.1829833148337071E-3</v>
      </c>
      <c r="AT31" s="6">
        <f t="shared" si="11"/>
        <v>2303.2697408692102</v>
      </c>
      <c r="AU31" s="6">
        <f t="shared" si="12"/>
        <v>12.046100744745971</v>
      </c>
      <c r="AV31" s="6">
        <f t="shared" si="13"/>
        <v>1.1805178729851051E-3</v>
      </c>
      <c r="AW31" s="6">
        <f t="shared" si="29"/>
        <v>9.3473208580144903E-4</v>
      </c>
      <c r="AX31" s="52">
        <f t="shared" si="30"/>
        <v>1.2788768711283678E-3</v>
      </c>
      <c r="AY31" s="53">
        <f t="shared" si="14"/>
        <v>9.9907191697106337E-2</v>
      </c>
      <c r="AZ31" s="54">
        <f t="shared" si="35"/>
        <v>1.3264238505076178</v>
      </c>
      <c r="BA31" s="23">
        <f t="shared" si="15"/>
        <v>0.70231421564920038</v>
      </c>
    </row>
    <row r="32" spans="1:56" ht="15" customHeight="1" x14ac:dyDescent="0.3">
      <c r="A32" t="s">
        <v>126</v>
      </c>
      <c r="B32">
        <v>2</v>
      </c>
      <c r="C32" s="2">
        <v>45068</v>
      </c>
      <c r="D32" s="11">
        <v>0.62430555555555556</v>
      </c>
      <c r="E32" s="15">
        <v>1013.5</v>
      </c>
      <c r="F32">
        <v>1064.0999999999999</v>
      </c>
      <c r="G32">
        <v>1060.9000000000001</v>
      </c>
      <c r="H32">
        <v>7.0000000000000007E-2</v>
      </c>
      <c r="I32">
        <v>4.3600000000000003</v>
      </c>
      <c r="J32">
        <v>13.02</v>
      </c>
      <c r="K32">
        <v>80.44</v>
      </c>
      <c r="L32">
        <v>0</v>
      </c>
      <c r="M32" t="s">
        <v>127</v>
      </c>
      <c r="N32" t="s">
        <v>99</v>
      </c>
      <c r="P32" s="3">
        <f t="shared" si="16"/>
        <v>45068.624305555553</v>
      </c>
      <c r="Q32" s="4">
        <f t="shared" si="4"/>
        <v>33.980555555550382</v>
      </c>
      <c r="R32">
        <f t="shared" si="17"/>
        <v>97.89</v>
      </c>
      <c r="S32">
        <f t="shared" si="18"/>
        <v>7.1508836449075505E-2</v>
      </c>
      <c r="T32">
        <f t="shared" si="19"/>
        <v>4.4539789559709888</v>
      </c>
      <c r="U32">
        <f t="shared" si="20"/>
        <v>13.300643579528042</v>
      </c>
      <c r="V32">
        <f t="shared" si="21"/>
        <v>82.173868628051892</v>
      </c>
      <c r="W32">
        <f t="shared" si="22"/>
        <v>100</v>
      </c>
      <c r="X32" s="10">
        <f t="shared" si="23"/>
        <v>4.19546202731323E-2</v>
      </c>
      <c r="Y32" s="10">
        <f t="shared" si="0"/>
        <v>1.8686499580228507E-3</v>
      </c>
      <c r="Z32" s="10">
        <f t="shared" si="5"/>
        <v>3.000126079394485E-5</v>
      </c>
      <c r="AA32" s="10">
        <f t="shared" si="1"/>
        <v>5.5802345076737415E-3</v>
      </c>
      <c r="AB32" s="10">
        <f t="shared" si="2"/>
        <v>3.4475734546641761E-2</v>
      </c>
      <c r="AC32" s="10">
        <f t="shared" si="39"/>
        <v>1.8986512188167955E-3</v>
      </c>
      <c r="AD32" s="10">
        <f t="shared" si="6"/>
        <v>4.1828452821883348E-2</v>
      </c>
      <c r="AE32" s="10">
        <f t="shared" si="7"/>
        <v>1.8630304862949376E-3</v>
      </c>
      <c r="AF32" s="10">
        <f t="shared" si="8"/>
        <v>2.9911039917579271E-5</v>
      </c>
      <c r="AG32" s="10">
        <f t="shared" si="9"/>
        <v>5.5634534246697441E-3</v>
      </c>
      <c r="AH32" s="10">
        <f t="shared" si="10"/>
        <v>3.4372057871001088E-2</v>
      </c>
      <c r="AI32" s="10">
        <f t="shared" si="40"/>
        <v>1.8929415262125169E-3</v>
      </c>
      <c r="AJ32" s="22">
        <f>AC32-AI31</f>
        <v>9.9053349149075872E-4</v>
      </c>
      <c r="AK32">
        <f>(AA32-AG31)*-1</f>
        <v>2.5396669273927246E-3</v>
      </c>
      <c r="AL32" s="25">
        <f>Y32-AE31</f>
        <v>9.6053223069681403E-4</v>
      </c>
      <c r="AM32" s="6">
        <f t="shared" si="41"/>
        <v>3.5567305891870876E-2</v>
      </c>
      <c r="AN32" s="6">
        <f t="shared" si="41"/>
        <v>1.6472386798328686E-2</v>
      </c>
      <c r="AO32" s="6">
        <f t="shared" si="42"/>
        <v>1.6690742459048374E-2</v>
      </c>
      <c r="AP32" s="19">
        <f>AO32*$D$4*1000/$D$6</f>
        <v>1.3038981657021453</v>
      </c>
      <c r="AQ32">
        <f t="shared" si="43"/>
        <v>4739.4790070487288</v>
      </c>
      <c r="AR32" s="6">
        <f t="shared" si="27"/>
        <v>24.787475206864855</v>
      </c>
      <c r="AS32" s="6">
        <f t="shared" si="28"/>
        <v>2.4291725702727559E-3</v>
      </c>
      <c r="AT32" s="6">
        <f t="shared" si="11"/>
        <v>4725.2262743896226</v>
      </c>
      <c r="AU32" s="6">
        <f t="shared" si="12"/>
        <v>24.712933415057726</v>
      </c>
      <c r="AV32" s="6">
        <f t="shared" si="13"/>
        <v>2.4218674746756571E-3</v>
      </c>
      <c r="AW32" s="6">
        <f t="shared" si="29"/>
        <v>1.2486546972876509E-3</v>
      </c>
      <c r="AX32" s="52">
        <f t="shared" si="30"/>
        <v>2.5275315684160186E-3</v>
      </c>
      <c r="AY32" s="53">
        <f t="shared" si="14"/>
        <v>0.19745339573107376</v>
      </c>
      <c r="AZ32" s="54">
        <f t="shared" si="35"/>
        <v>1.5013515614332191</v>
      </c>
      <c r="BA32" s="23">
        <f t="shared" si="15"/>
        <v>1.1495934975994859</v>
      </c>
    </row>
    <row r="33" spans="1:53" ht="15" customHeight="1" x14ac:dyDescent="0.3">
      <c r="A33" t="s">
        <v>126</v>
      </c>
      <c r="B33">
        <v>2</v>
      </c>
      <c r="C33" s="2">
        <v>45068</v>
      </c>
      <c r="D33" s="11">
        <v>0.65833333333333333</v>
      </c>
      <c r="E33" s="15">
        <v>1013.6</v>
      </c>
      <c r="F33">
        <v>1123.4000000000001</v>
      </c>
      <c r="G33">
        <v>1118.9000000000001</v>
      </c>
      <c r="H33">
        <v>0</v>
      </c>
      <c r="I33">
        <v>0.74</v>
      </c>
      <c r="J33">
        <v>20.27</v>
      </c>
      <c r="K33">
        <v>75.349999999999994</v>
      </c>
      <c r="L33">
        <v>1</v>
      </c>
      <c r="N33" t="s">
        <v>99</v>
      </c>
      <c r="O33">
        <v>863.51</v>
      </c>
      <c r="P33" s="3">
        <f t="shared" si="16"/>
        <v>45068.658333333333</v>
      </c>
      <c r="Q33" s="4">
        <f t="shared" si="4"/>
        <v>34.014583333329938</v>
      </c>
      <c r="R33">
        <f t="shared" si="17"/>
        <v>96.359999999999985</v>
      </c>
      <c r="S33">
        <f t="shared" si="18"/>
        <v>0</v>
      </c>
      <c r="T33">
        <f t="shared" si="19"/>
        <v>0.76795350767953519</v>
      </c>
      <c r="U33">
        <f t="shared" si="20"/>
        <v>21.035699460356998</v>
      </c>
      <c r="V33">
        <f t="shared" si="21"/>
        <v>78.196347031963469</v>
      </c>
      <c r="W33">
        <f t="shared" si="22"/>
        <v>100</v>
      </c>
      <c r="X33" s="10">
        <f t="shared" si="23"/>
        <v>4.4292660854089685E-2</v>
      </c>
      <c r="Y33" s="10">
        <f t="shared" si="0"/>
        <v>3.4014704267358212E-4</v>
      </c>
      <c r="Z33" s="10">
        <f t="shared" si="5"/>
        <v>0</v>
      </c>
      <c r="AA33" s="10">
        <f t="shared" si="1"/>
        <v>9.3172710202614993E-3</v>
      </c>
      <c r="AB33" s="10">
        <f t="shared" si="2"/>
        <v>3.4635242791154604E-2</v>
      </c>
      <c r="AC33" s="10">
        <f t="shared" si="39"/>
        <v>3.4014704267358212E-4</v>
      </c>
      <c r="AD33" s="10">
        <f t="shared" si="6"/>
        <v>4.4115237875770832E-2</v>
      </c>
      <c r="AE33" s="10">
        <f t="shared" si="7"/>
        <v>3.38784516688153E-4</v>
      </c>
      <c r="AF33" s="10">
        <f t="shared" si="8"/>
        <v>0</v>
      </c>
      <c r="AG33" s="10">
        <f t="shared" si="9"/>
        <v>9.2799488557687316E-3</v>
      </c>
      <c r="AH33" s="10">
        <f t="shared" si="10"/>
        <v>3.449650450331395E-2</v>
      </c>
      <c r="AI33" s="10">
        <f t="shared" si="40"/>
        <v>3.38784516688153E-4</v>
      </c>
      <c r="AJ33" s="22"/>
      <c r="AL33" s="25"/>
      <c r="AM33" s="6"/>
      <c r="AN33" s="6"/>
      <c r="AO33" s="6"/>
      <c r="AP33" s="19"/>
      <c r="AQ33">
        <f t="shared" si="43"/>
        <v>862.71897052718998</v>
      </c>
      <c r="AR33" s="6">
        <f t="shared" si="27"/>
        <v>4.5120202158572038</v>
      </c>
      <c r="AS33" s="6">
        <f t="shared" si="28"/>
        <v>4.4217798115400595E-4</v>
      </c>
      <c r="AT33" s="6">
        <f t="shared" si="11"/>
        <v>859.26317974263202</v>
      </c>
      <c r="AU33" s="6">
        <f t="shared" si="12"/>
        <v>4.493946430053966</v>
      </c>
      <c r="AV33" s="6">
        <f t="shared" si="13"/>
        <v>4.4040675014528867E-4</v>
      </c>
      <c r="AW33" s="6">
        <f t="shared" si="29"/>
        <v>-1.9796894935216513E-3</v>
      </c>
      <c r="AX33" s="52">
        <f t="shared" si="30"/>
        <v>5.4784207489436739E-4</v>
      </c>
      <c r="AY33" s="53">
        <f t="shared" si="14"/>
        <v>4.279799285752988E-2</v>
      </c>
      <c r="AZ33" s="54"/>
      <c r="BA33" s="23">
        <f t="shared" si="15"/>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3">
    <cfRule type="expression" dxfId="1" priority="1">
      <formula>$L13=0</formula>
    </cfRule>
    <cfRule type="expression" dxfId="0" priority="2">
      <formula>$L13=1</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C9F6-6432-45F0-A8D0-7585C9129FD8}">
  <sheetPr codeName="Blad2"/>
  <dimension ref="A1:BD36"/>
  <sheetViews>
    <sheetView topLeftCell="AF11" zoomScaleNormal="100" workbookViewId="0">
      <selection activeCell="AX21" sqref="AX21"/>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c r="AW2" s="13"/>
    </row>
    <row r="3" spans="1:56" ht="15" customHeight="1" x14ac:dyDescent="0.3">
      <c r="C3" s="12" t="s">
        <v>131</v>
      </c>
      <c r="D3" s="12">
        <v>0.96099999999999997</v>
      </c>
      <c r="E3" s="13" t="s">
        <v>21</v>
      </c>
      <c r="AT3" s="13" t="s">
        <v>22</v>
      </c>
      <c r="AU3" s="13"/>
      <c r="AW3" s="13" t="s">
        <v>23</v>
      </c>
    </row>
    <row r="4" spans="1:56" ht="15" customHeight="1" x14ac:dyDescent="0.3">
      <c r="B4" t="s">
        <v>15</v>
      </c>
      <c r="C4" t="s">
        <v>24</v>
      </c>
      <c r="D4" s="1">
        <v>12</v>
      </c>
      <c r="E4" s="1" t="s">
        <v>25</v>
      </c>
      <c r="G4" s="12" t="s">
        <v>26</v>
      </c>
      <c r="H4" s="1" t="s">
        <v>27</v>
      </c>
      <c r="AK4" s="6"/>
      <c r="AT4" s="13" t="s">
        <v>28</v>
      </c>
      <c r="AU4" s="13"/>
      <c r="AW4" s="13" t="s">
        <v>29</v>
      </c>
    </row>
    <row r="5" spans="1:56" ht="15" customHeight="1" x14ac:dyDescent="0.3">
      <c r="C5" s="12" t="s">
        <v>132</v>
      </c>
      <c r="D5" s="12">
        <v>9.8000000000000004E-2</v>
      </c>
      <c r="E5" s="12" t="s">
        <v>21</v>
      </c>
      <c r="AK5" s="6"/>
    </row>
    <row r="6" spans="1:56" ht="15" customHeight="1" x14ac:dyDescent="0.3">
      <c r="C6" t="s">
        <v>133</v>
      </c>
      <c r="D6" s="14">
        <v>153.60778531406666</v>
      </c>
      <c r="E6" s="12" t="s">
        <v>32</v>
      </c>
    </row>
    <row r="7" spans="1:56" ht="15" customHeight="1" x14ac:dyDescent="0.3">
      <c r="B7" t="s">
        <v>15</v>
      </c>
      <c r="C7" t="s">
        <v>134</v>
      </c>
      <c r="D7" s="6">
        <v>5.2300000000000003E-3</v>
      </c>
      <c r="E7" s="1"/>
      <c r="G7" t="s">
        <v>34</v>
      </c>
      <c r="X7" s="13" t="s">
        <v>35</v>
      </c>
      <c r="Y7" s="13"/>
      <c r="Z7" s="13"/>
      <c r="AB7" t="s">
        <v>36</v>
      </c>
      <c r="AQ7" t="s">
        <v>37</v>
      </c>
    </row>
    <row r="8" spans="1:56" ht="15" customHeight="1" thickBot="1" x14ac:dyDescent="0.35">
      <c r="D8" s="6"/>
      <c r="E8" s="1"/>
      <c r="X8" s="13"/>
      <c r="Y8" s="13"/>
      <c r="Z8" s="13"/>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9" t="s">
        <v>74</v>
      </c>
      <c r="AE11" s="33" t="s">
        <v>75</v>
      </c>
      <c r="AF11" s="34" t="s">
        <v>76</v>
      </c>
      <c r="AG11" s="34" t="s">
        <v>77</v>
      </c>
      <c r="AH11" s="34" t="s">
        <v>78</v>
      </c>
      <c r="AI11" s="35" t="s">
        <v>79</v>
      </c>
      <c r="AJ11" s="36" t="s">
        <v>80</v>
      </c>
      <c r="AK11" s="32" t="s">
        <v>81</v>
      </c>
      <c r="AL11" s="37" t="s">
        <v>82</v>
      </c>
      <c r="AM11" s="38" t="s">
        <v>83</v>
      </c>
      <c r="AN11" s="32" t="s">
        <v>84</v>
      </c>
      <c r="AO11" s="40" t="s">
        <v>85</v>
      </c>
      <c r="AP11" s="27" t="s">
        <v>86</v>
      </c>
      <c r="AQ11" s="5" t="s">
        <v>103</v>
      </c>
      <c r="AR11" s="35" t="s">
        <v>112</v>
      </c>
      <c r="AS11" s="46" t="s">
        <v>112</v>
      </c>
      <c r="AT11" s="5" t="s">
        <v>113</v>
      </c>
      <c r="AU11" s="35" t="s">
        <v>114</v>
      </c>
      <c r="AV11" s="35" t="s">
        <v>114</v>
      </c>
      <c r="AW11" s="35" t="s">
        <v>115</v>
      </c>
      <c r="AX11" s="60" t="s">
        <v>104</v>
      </c>
      <c r="AY11" s="61" t="s">
        <v>87</v>
      </c>
      <c r="AZ11" s="62"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63" t="s">
        <v>96</v>
      </c>
      <c r="AY12" s="64" t="s">
        <v>94</v>
      </c>
      <c r="AZ12" s="64" t="s">
        <v>94</v>
      </c>
      <c r="BA12" s="59"/>
    </row>
    <row r="13" spans="1:56" ht="14.4" x14ac:dyDescent="0.3">
      <c r="A13" t="s">
        <v>98</v>
      </c>
      <c r="B13">
        <v>1</v>
      </c>
      <c r="C13" s="2">
        <v>45033</v>
      </c>
      <c r="D13" s="11">
        <v>0.61249999999999993</v>
      </c>
      <c r="E13">
        <v>1025.0999999999999</v>
      </c>
      <c r="F13">
        <f>AVERAGE(F36,F34,F32,F30,F28,F26,F24,F22,F18,F16)</f>
        <v>1117.44</v>
      </c>
      <c r="H13">
        <v>0</v>
      </c>
      <c r="I13">
        <v>0.03</v>
      </c>
      <c r="J13">
        <v>21.9</v>
      </c>
      <c r="K13">
        <v>78.069999999999993</v>
      </c>
      <c r="M13" t="s">
        <v>4</v>
      </c>
      <c r="O13">
        <v>793.46</v>
      </c>
      <c r="P13" s="3">
        <f>C13+D13</f>
        <v>45033.612500000003</v>
      </c>
      <c r="Q13" s="4">
        <f>P13-$P$13</f>
        <v>0</v>
      </c>
      <c r="S13">
        <v>0</v>
      </c>
      <c r="T13">
        <v>0.03</v>
      </c>
      <c r="U13">
        <v>21.9</v>
      </c>
      <c r="V13">
        <v>78.069999999999993</v>
      </c>
      <c r="W13">
        <f>SUM(S13:V13)</f>
        <v>100</v>
      </c>
      <c r="X13" s="6">
        <f>F13*100*$D$3/($D$1*$D$2)</f>
        <v>4.4057673976138488E-2</v>
      </c>
      <c r="Y13" s="6">
        <f t="shared" ref="Y13" si="0">X13*T13/100</f>
        <v>1.3217302192841545E-5</v>
      </c>
      <c r="Z13" s="6">
        <f>X13*S13/100</f>
        <v>0</v>
      </c>
      <c r="AA13" s="6">
        <f t="shared" ref="AA13" si="1">X13*U13/100</f>
        <v>9.6486306007743279E-3</v>
      </c>
      <c r="AB13" s="6">
        <f t="shared" ref="AB13" si="2">X13*V13/100</f>
        <v>3.4395826073171314E-2</v>
      </c>
      <c r="AC13" s="6">
        <f>Y13+Z13</f>
        <v>1.3217302192841545E-5</v>
      </c>
      <c r="AD13" s="6">
        <f>X13</f>
        <v>4.4057673976138488E-2</v>
      </c>
      <c r="AE13" s="6">
        <f>Y13</f>
        <v>1.3217302192841545E-5</v>
      </c>
      <c r="AF13" s="6">
        <f t="shared" ref="AF13:AI13" si="3">Z13</f>
        <v>0</v>
      </c>
      <c r="AG13" s="6">
        <f t="shared" si="3"/>
        <v>9.6486306007743279E-3</v>
      </c>
      <c r="AH13" s="6">
        <f t="shared" si="3"/>
        <v>3.4395826073171314E-2</v>
      </c>
      <c r="AI13" s="6">
        <f t="shared" si="3"/>
        <v>1.3217302192841545E-5</v>
      </c>
      <c r="AJ13" s="22">
        <f>AC13-AI13</f>
        <v>0</v>
      </c>
      <c r="AK13" s="6">
        <f>AA13-AG13</f>
        <v>0</v>
      </c>
      <c r="AL13" s="23">
        <f>Y13-AE13</f>
        <v>0</v>
      </c>
      <c r="AM13" s="6">
        <f>AK13</f>
        <v>0</v>
      </c>
      <c r="AN13" s="6">
        <f>AL13</f>
        <v>0</v>
      </c>
      <c r="AO13" s="6">
        <f>AJ13</f>
        <v>0</v>
      </c>
      <c r="AP13" s="19">
        <f>AO13*$D$4*1000/$D$6</f>
        <v>0</v>
      </c>
      <c r="AQ13">
        <f t="shared" ref="AQ13:AQ35" si="4">F13*100*T13/100</f>
        <v>33.523199999999996</v>
      </c>
      <c r="AR13" s="6">
        <f>AQ13*$D$7</f>
        <v>0.175326336</v>
      </c>
      <c r="AS13" s="6">
        <f>AR13*$D$5/1000</f>
        <v>1.7181980927999998E-5</v>
      </c>
      <c r="AT13" s="6">
        <f>G13*100*T13/100</f>
        <v>0</v>
      </c>
      <c r="AU13" s="6">
        <f>AT13*$D$7</f>
        <v>0</v>
      </c>
      <c r="AV13" s="6">
        <f>AU13*$D$5/1000</f>
        <v>0</v>
      </c>
      <c r="AW13" s="6">
        <f>AS13-AV13</f>
        <v>1.7181980927999998E-5</v>
      </c>
      <c r="AX13" s="6">
        <f>AW13</f>
        <v>1.7181980927999998E-5</v>
      </c>
      <c r="AY13" s="19">
        <f>(AX13*$D$4*1000/$D$6)</f>
        <v>1.3422742259738749E-3</v>
      </c>
      <c r="AZ13" s="23">
        <f>AP13</f>
        <v>0</v>
      </c>
      <c r="BA13" s="23">
        <v>0</v>
      </c>
    </row>
    <row r="14" spans="1:56" ht="14.4" x14ac:dyDescent="0.3">
      <c r="A14" t="s">
        <v>98</v>
      </c>
      <c r="B14">
        <v>1</v>
      </c>
      <c r="C14" s="2">
        <v>45035</v>
      </c>
      <c r="D14" s="11">
        <v>0.61249999999999993</v>
      </c>
      <c r="E14">
        <v>1023.1</v>
      </c>
      <c r="F14">
        <v>960</v>
      </c>
      <c r="G14">
        <v>958.1</v>
      </c>
      <c r="H14">
        <v>0.12</v>
      </c>
      <c r="I14">
        <v>1.53</v>
      </c>
      <c r="J14">
        <v>2.21</v>
      </c>
      <c r="K14">
        <v>96.64</v>
      </c>
      <c r="L14">
        <v>0</v>
      </c>
      <c r="N14" t="s">
        <v>99</v>
      </c>
      <c r="P14" s="3">
        <f t="shared" ref="P14:P28" si="5">C14+D14</f>
        <v>45035.612500000003</v>
      </c>
      <c r="Q14" s="4">
        <f t="shared" ref="Q14:Q28" si="6">P14-$P$13</f>
        <v>2</v>
      </c>
      <c r="R14">
        <f>SUM(H14:K14)</f>
        <v>100.5</v>
      </c>
      <c r="S14">
        <f>H14 * 100/R14</f>
        <v>0.11940298507462686</v>
      </c>
      <c r="T14">
        <f>I14* 100/R14</f>
        <v>1.5223880597014925</v>
      </c>
      <c r="U14">
        <f>J14* 100/R14</f>
        <v>2.1990049751243781</v>
      </c>
      <c r="V14">
        <f>K14* 100/R14</f>
        <v>96.159203980099505</v>
      </c>
      <c r="W14">
        <f>SUM(S14:V14)</f>
        <v>100</v>
      </c>
      <c r="X14" s="6">
        <f>F14*100*$D$3/($D$1*$D$2)</f>
        <v>3.7850235374689421E-2</v>
      </c>
      <c r="Y14" s="6">
        <f t="shared" ref="Y14:Y28" si="7">X14*T14/100</f>
        <v>5.7622746391318219E-4</v>
      </c>
      <c r="Z14" s="6">
        <f t="shared" ref="Z14:Z28" si="8">X14*S14/100</f>
        <v>4.519431089515155E-5</v>
      </c>
      <c r="AA14" s="6">
        <f t="shared" ref="AA14:AA28" si="9">X14*U14/100</f>
        <v>8.3232855898570767E-4</v>
      </c>
      <c r="AB14" s="6">
        <f t="shared" ref="AB14:AB28" si="10">X14*V14/100</f>
        <v>3.6396485040895377E-2</v>
      </c>
      <c r="AC14" s="6">
        <f>Y14+Z14</f>
        <v>6.2142177480833374E-4</v>
      </c>
      <c r="AD14" s="6">
        <f t="shared" ref="AD14:AD36" si="11">G14*100*$D$3/($D$1*$D$2)</f>
        <v>3.7775323450510351E-2</v>
      </c>
      <c r="AE14" s="6">
        <f t="shared" ref="AE14:AE36" si="12">AD14*T14/100</f>
        <v>5.7508701372418743E-4</v>
      </c>
      <c r="AF14" s="6">
        <f t="shared" ref="AF14:AF36" si="13">AD14*S14/100</f>
        <v>4.5104863821504893E-5</v>
      </c>
      <c r="AG14" s="6">
        <f t="shared" ref="AG14:AG36" si="14">AD14*U14/100</f>
        <v>8.3068124204604857E-4</v>
      </c>
      <c r="AH14" s="6">
        <f t="shared" ref="AH14:AH36" si="15">AD14*V14/100</f>
        <v>3.6324450330918606E-2</v>
      </c>
      <c r="AI14" s="6">
        <f>AE14+AF14</f>
        <v>6.2019187754569233E-4</v>
      </c>
      <c r="AJ14" s="22">
        <f>AC14-AI13</f>
        <v>6.082044726154922E-4</v>
      </c>
      <c r="AK14" s="6">
        <f>(AA14-AG13)*-1</f>
        <v>8.816302041788621E-3</v>
      </c>
      <c r="AL14" s="23">
        <f>Y14-AE13</f>
        <v>5.6301016172034064E-4</v>
      </c>
      <c r="AM14" s="6">
        <f>AK14+AM13</f>
        <v>8.816302041788621E-3</v>
      </c>
      <c r="AN14" s="6">
        <f>AL14+AN13</f>
        <v>5.6301016172034064E-4</v>
      </c>
      <c r="AO14" s="6">
        <f>AJ14+AO13</f>
        <v>6.082044726154922E-4</v>
      </c>
      <c r="AP14" s="19">
        <f>AO14*$D$4*1000/$D$6</f>
        <v>4.751356616764886E-2</v>
      </c>
      <c r="AQ14">
        <f t="shared" si="4"/>
        <v>1461.4925373134329</v>
      </c>
      <c r="AR14" s="6">
        <f>AQ14*$D$7</f>
        <v>7.6436059701492542</v>
      </c>
      <c r="AS14" s="6">
        <f>AR14*$D$5/1000</f>
        <v>7.4907338507462697E-4</v>
      </c>
      <c r="AT14" s="6">
        <f t="shared" ref="AT14:AT35" si="16">G14*100*T14/100</f>
        <v>1458.6</v>
      </c>
      <c r="AU14" s="6">
        <f t="shared" ref="AU14:AU35" si="17">AT14*$D$7</f>
        <v>7.6284780000000003</v>
      </c>
      <c r="AV14" s="6">
        <f t="shared" ref="AV14:AV35" si="18">AU14*$D$5/1000</f>
        <v>7.4759084400000011E-4</v>
      </c>
      <c r="AW14" s="6">
        <f>AS14-AV13</f>
        <v>7.4907338507462697E-4</v>
      </c>
      <c r="AX14" s="6">
        <f>AW14+AX13</f>
        <v>7.6625536600262694E-4</v>
      </c>
      <c r="AY14" s="19">
        <f t="shared" ref="AY14:AY36" si="19">(AX14*$D$4*1000/$D$6)</f>
        <v>5.9860666392860772E-2</v>
      </c>
      <c r="AZ14" s="23">
        <f>AY14+AP14</f>
        <v>0.10737423256050962</v>
      </c>
      <c r="BA14" s="23">
        <f>AK14/(AL14+AW14)</f>
        <v>6.7193145309414488</v>
      </c>
    </row>
    <row r="15" spans="1:56" ht="14.4" x14ac:dyDescent="0.3">
      <c r="A15" t="s">
        <v>98</v>
      </c>
      <c r="B15">
        <v>1</v>
      </c>
      <c r="C15" s="2">
        <v>45040</v>
      </c>
      <c r="D15" s="11">
        <v>0.43055555555555558</v>
      </c>
      <c r="E15">
        <v>1002.3</v>
      </c>
      <c r="F15">
        <v>962.2</v>
      </c>
      <c r="G15">
        <v>959.8</v>
      </c>
      <c r="H15">
        <v>0.25</v>
      </c>
      <c r="I15">
        <v>2.41</v>
      </c>
      <c r="J15">
        <v>1.59</v>
      </c>
      <c r="K15">
        <v>99.14</v>
      </c>
      <c r="L15">
        <v>0</v>
      </c>
      <c r="N15" t="s">
        <v>99</v>
      </c>
      <c r="P15" s="3">
        <f t="shared" si="5"/>
        <v>45040.430555555555</v>
      </c>
      <c r="Q15" s="4">
        <f t="shared" si="6"/>
        <v>6.8180555555518367</v>
      </c>
      <c r="R15">
        <f t="shared" ref="R15:R31" si="20">SUM(H15:K15)</f>
        <v>103.39</v>
      </c>
      <c r="S15">
        <f t="shared" ref="S15:S31" si="21">H15 * 100/R15</f>
        <v>0.2418028822903569</v>
      </c>
      <c r="T15">
        <f t="shared" ref="T15:T31" si="22">I15* 100/R15</f>
        <v>2.3309797852790406</v>
      </c>
      <c r="U15">
        <f t="shared" ref="U15:U31" si="23">J15* 100/R15</f>
        <v>1.5378663313666698</v>
      </c>
      <c r="V15">
        <f t="shared" ref="V15:V31" si="24">K15* 100/R15</f>
        <v>95.889351001063929</v>
      </c>
      <c r="W15">
        <f t="shared" ref="W15:W31" si="25">SUM(S15:V15)</f>
        <v>100</v>
      </c>
      <c r="X15" s="6">
        <f t="shared" ref="X15:X28" si="26">F15*100*$D$3/($D$1*$D$2)</f>
        <v>3.7936975497423087E-2</v>
      </c>
      <c r="Y15" s="6">
        <f t="shared" si="7"/>
        <v>8.8430322999119484E-4</v>
      </c>
      <c r="Z15" s="6">
        <f t="shared" si="8"/>
        <v>9.1732700206555493E-5</v>
      </c>
      <c r="AA15" s="6">
        <f t="shared" si="9"/>
        <v>5.8341997331369283E-4</v>
      </c>
      <c r="AB15" s="6">
        <f t="shared" si="10"/>
        <v>3.6377519593911639E-2</v>
      </c>
      <c r="AC15" s="6">
        <f t="shared" ref="AC15:AC28" si="27">Y15+Z15</f>
        <v>9.760359301977503E-4</v>
      </c>
      <c r="AD15" s="6">
        <f t="shared" si="11"/>
        <v>3.7842349908986363E-2</v>
      </c>
      <c r="AE15" s="6">
        <f t="shared" si="12"/>
        <v>8.8209752665303356E-4</v>
      </c>
      <c r="AF15" s="6">
        <f t="shared" si="13"/>
        <v>9.1503892806331274E-5</v>
      </c>
      <c r="AG15" s="6">
        <f t="shared" si="14"/>
        <v>5.8196475824826694E-4</v>
      </c>
      <c r="AH15" s="6">
        <f t="shared" si="15"/>
        <v>3.6286783731278728E-2</v>
      </c>
      <c r="AI15" s="6">
        <f t="shared" ref="AI15:AI28" si="28">AE15+AF15</f>
        <v>9.7360141945936486E-4</v>
      </c>
      <c r="AJ15" s="22">
        <f>AC15-AI14</f>
        <v>3.5584405265205797E-4</v>
      </c>
      <c r="AK15" s="6">
        <f>(AA15-AG14)*-1</f>
        <v>2.4726126873235573E-4</v>
      </c>
      <c r="AL15" s="23">
        <f>Y15-AE14</f>
        <v>3.0921621626700741E-4</v>
      </c>
      <c r="AM15" s="6">
        <f>AK15+AM14</f>
        <v>9.0635633105209772E-3</v>
      </c>
      <c r="AN15" s="6">
        <f>AL15+AN14</f>
        <v>8.7222637798734805E-4</v>
      </c>
      <c r="AO15" s="6">
        <f>AJ15+AO14</f>
        <v>9.6404852526755017E-4</v>
      </c>
      <c r="AP15" s="19">
        <f>AO15*$D$4*1000/$D$6</f>
        <v>7.5312473775710417E-2</v>
      </c>
      <c r="AQ15">
        <f t="shared" si="4"/>
        <v>2242.8687493954926</v>
      </c>
      <c r="AR15" s="6">
        <f t="shared" ref="AR15:AR35" si="29">AQ15*$D$7</f>
        <v>11.730203559338428</v>
      </c>
      <c r="AS15" s="6">
        <f t="shared" ref="AS15:AS35" si="30">AR15*$D$5/1000</f>
        <v>1.1495599488151661E-3</v>
      </c>
      <c r="AT15" s="6">
        <f t="shared" si="16"/>
        <v>2237.2743979108232</v>
      </c>
      <c r="AU15" s="6">
        <f t="shared" si="17"/>
        <v>11.700945101073605</v>
      </c>
      <c r="AV15" s="6">
        <f t="shared" si="18"/>
        <v>1.1466926199052135E-3</v>
      </c>
      <c r="AW15" s="6">
        <f t="shared" ref="AW15:AW35" si="31">AS15-AV14</f>
        <v>4.0196910481516595E-4</v>
      </c>
      <c r="AX15" s="6">
        <f t="shared" ref="AX15:AX35" si="32">AW15+AX14</f>
        <v>1.168224470817793E-3</v>
      </c>
      <c r="AY15" s="19">
        <f t="shared" si="19"/>
        <v>9.1262911063725569E-2</v>
      </c>
      <c r="AZ15" s="23">
        <f>AY15+AP15</f>
        <v>0.16657538483943599</v>
      </c>
      <c r="BA15" s="23">
        <f>AK15/(AL15+AW15)</f>
        <v>0.3476748765794424</v>
      </c>
    </row>
    <row r="16" spans="1:56" s="7" customFormat="1" ht="14.4" x14ac:dyDescent="0.3">
      <c r="A16" t="s">
        <v>98</v>
      </c>
      <c r="B16">
        <v>1</v>
      </c>
      <c r="C16" s="2">
        <v>45040</v>
      </c>
      <c r="D16" s="11">
        <v>0.47569444444444442</v>
      </c>
      <c r="E16">
        <v>1003.3</v>
      </c>
      <c r="F16">
        <v>1104.5999999999999</v>
      </c>
      <c r="G16">
        <v>1085.8</v>
      </c>
      <c r="H16">
        <v>0</v>
      </c>
      <c r="I16">
        <v>0.74</v>
      </c>
      <c r="J16">
        <v>19.79</v>
      </c>
      <c r="K16">
        <v>76.88</v>
      </c>
      <c r="L16">
        <v>1</v>
      </c>
      <c r="M16"/>
      <c r="N16" t="s">
        <v>99</v>
      </c>
      <c r="O16">
        <v>793.54</v>
      </c>
      <c r="P16" s="8">
        <f t="shared" si="5"/>
        <v>45040.475694444445</v>
      </c>
      <c r="Q16" s="9">
        <f t="shared" si="6"/>
        <v>6.8631944444423425</v>
      </c>
      <c r="R16">
        <f t="shared" si="20"/>
        <v>97.41</v>
      </c>
      <c r="S16">
        <f t="shared" si="21"/>
        <v>0</v>
      </c>
      <c r="T16">
        <f t="shared" si="22"/>
        <v>0.75967559798788631</v>
      </c>
      <c r="U16">
        <f t="shared" si="23"/>
        <v>20.316189302946309</v>
      </c>
      <c r="V16">
        <f t="shared" si="24"/>
        <v>78.924135099065808</v>
      </c>
      <c r="W16">
        <f t="shared" si="25"/>
        <v>100</v>
      </c>
      <c r="X16" s="10">
        <f t="shared" si="26"/>
        <v>4.3551427078002011E-2</v>
      </c>
      <c r="Y16" s="10">
        <f t="shared" si="7"/>
        <v>3.3084956408707005E-4</v>
      </c>
      <c r="Z16" s="10">
        <f t="shared" si="8"/>
        <v>0</v>
      </c>
      <c r="AA16" s="10">
        <f t="shared" si="9"/>
        <v>8.8479903693015078E-3</v>
      </c>
      <c r="AB16" s="10">
        <f t="shared" si="10"/>
        <v>3.4372587144613435E-2</v>
      </c>
      <c r="AC16" s="10">
        <f t="shared" si="27"/>
        <v>3.3084956408707005E-4</v>
      </c>
      <c r="AD16" s="10">
        <f t="shared" si="11"/>
        <v>4.2810193301914344E-2</v>
      </c>
      <c r="AE16" s="10">
        <f t="shared" si="12"/>
        <v>3.2521859196608786E-4</v>
      </c>
      <c r="AF16" s="10">
        <f t="shared" si="13"/>
        <v>0</v>
      </c>
      <c r="AG16" s="10">
        <f t="shared" si="14"/>
        <v>8.6973999121741589E-3</v>
      </c>
      <c r="AH16" s="10">
        <f t="shared" si="15"/>
        <v>3.3787574797774098E-2</v>
      </c>
      <c r="AI16" s="10">
        <f t="shared" si="28"/>
        <v>3.2521859196608786E-4</v>
      </c>
      <c r="AJ16" s="22"/>
      <c r="AK16" s="6"/>
      <c r="AL16" s="41"/>
      <c r="AP16" s="20"/>
      <c r="AQ16" s="7">
        <f t="shared" si="4"/>
        <v>839.13766553741914</v>
      </c>
      <c r="AR16" s="10">
        <f t="shared" si="29"/>
        <v>4.3886899907607022</v>
      </c>
      <c r="AS16" s="6">
        <f t="shared" si="30"/>
        <v>4.3009161909454886E-4</v>
      </c>
      <c r="AT16" s="6">
        <f t="shared" si="16"/>
        <v>824.8557642952469</v>
      </c>
      <c r="AU16" s="6">
        <f t="shared" si="17"/>
        <v>4.3139956472641412</v>
      </c>
      <c r="AV16" s="6">
        <f t="shared" si="18"/>
        <v>4.2277157343188586E-4</v>
      </c>
      <c r="AW16" s="6">
        <f t="shared" si="31"/>
        <v>-7.1660100081066456E-4</v>
      </c>
      <c r="AX16" s="6">
        <f t="shared" si="32"/>
        <v>4.5162347000712844E-4</v>
      </c>
      <c r="AY16" s="19">
        <f t="shared" si="19"/>
        <v>3.5281295339327119E-2</v>
      </c>
      <c r="AZ16" s="24"/>
      <c r="BA16" s="23">
        <f>AK16/(AL16+AW16)</f>
        <v>0</v>
      </c>
      <c r="BB16"/>
      <c r="BC16"/>
      <c r="BD16"/>
    </row>
    <row r="17" spans="1:56" ht="14.4" x14ac:dyDescent="0.3">
      <c r="A17" t="s">
        <v>98</v>
      </c>
      <c r="B17">
        <v>1</v>
      </c>
      <c r="C17" s="2">
        <v>45042</v>
      </c>
      <c r="D17" s="11">
        <v>0.36944444444444446</v>
      </c>
      <c r="E17">
        <v>1017</v>
      </c>
      <c r="F17">
        <v>954</v>
      </c>
      <c r="G17">
        <v>951</v>
      </c>
      <c r="H17">
        <v>0.03</v>
      </c>
      <c r="I17">
        <v>2.72</v>
      </c>
      <c r="J17">
        <v>8.4600000000000009</v>
      </c>
      <c r="K17">
        <v>92.37</v>
      </c>
      <c r="L17">
        <v>0</v>
      </c>
      <c r="N17" t="s">
        <v>99</v>
      </c>
      <c r="P17" s="3">
        <f t="shared" si="5"/>
        <v>45042.369444444441</v>
      </c>
      <c r="Q17" s="4">
        <f t="shared" si="6"/>
        <v>8.7569444444379769</v>
      </c>
      <c r="R17">
        <f t="shared" si="20"/>
        <v>103.58000000000001</v>
      </c>
      <c r="S17">
        <f t="shared" si="21"/>
        <v>2.8963120293492947E-2</v>
      </c>
      <c r="T17">
        <f t="shared" si="22"/>
        <v>2.6259895732766942</v>
      </c>
      <c r="U17">
        <f t="shared" si="23"/>
        <v>8.167599922765012</v>
      </c>
      <c r="V17">
        <f t="shared" si="24"/>
        <v>89.177447383664784</v>
      </c>
      <c r="W17">
        <f t="shared" si="25"/>
        <v>99.999999999999986</v>
      </c>
      <c r="X17" s="6">
        <f t="shared" si="26"/>
        <v>3.7613671403597615E-2</v>
      </c>
      <c r="Y17" s="6">
        <f t="shared" si="7"/>
        <v>9.8773108918503083E-4</v>
      </c>
      <c r="Z17" s="6">
        <f t="shared" si="8"/>
        <v>1.0894092895423134E-5</v>
      </c>
      <c r="AA17" s="6">
        <f t="shared" si="9"/>
        <v>3.0721341965093242E-3</v>
      </c>
      <c r="AB17" s="6">
        <f t="shared" si="10"/>
        <v>3.354291202500783E-2</v>
      </c>
      <c r="AC17" s="6">
        <f t="shared" si="27"/>
        <v>9.9862518208045396E-4</v>
      </c>
      <c r="AD17" s="6">
        <f t="shared" si="11"/>
        <v>3.7495389418051708E-2</v>
      </c>
      <c r="AE17" s="6">
        <f t="shared" si="12"/>
        <v>9.8462501657753084E-4</v>
      </c>
      <c r="AF17" s="6">
        <f t="shared" si="13"/>
        <v>1.0859834741663941E-5</v>
      </c>
      <c r="AG17" s="6">
        <f t="shared" si="14"/>
        <v>3.0624733971492319E-3</v>
      </c>
      <c r="AH17" s="6">
        <f t="shared" si="15"/>
        <v>3.3437431169583275E-2</v>
      </c>
      <c r="AI17" s="6">
        <f t="shared" si="28"/>
        <v>9.9548485131919487E-4</v>
      </c>
      <c r="AJ17" s="22">
        <f>AC17-AI16</f>
        <v>6.734065901143661E-4</v>
      </c>
      <c r="AK17" s="6">
        <f>(AA17-AG16)*-1</f>
        <v>5.6252657156648346E-3</v>
      </c>
      <c r="AL17" s="23">
        <f>Y17-AE16</f>
        <v>6.6251249721894297E-4</v>
      </c>
      <c r="AM17" s="6">
        <f>AK17+AM15</f>
        <v>1.4688829026185811E-2</v>
      </c>
      <c r="AN17" s="6">
        <f>AL17+AN15</f>
        <v>1.534738875206291E-3</v>
      </c>
      <c r="AO17" s="6">
        <f>AJ17+AO15</f>
        <v>1.6374551153819162E-3</v>
      </c>
      <c r="AP17" s="19">
        <f>AO17*$D$4*1000/$D$6</f>
        <v>0.12791969719768881</v>
      </c>
      <c r="AQ17">
        <f t="shared" si="4"/>
        <v>2505.1940529059661</v>
      </c>
      <c r="AR17" s="6">
        <f t="shared" si="29"/>
        <v>13.102164896698204</v>
      </c>
      <c r="AS17" s="6">
        <f t="shared" si="30"/>
        <v>1.2840121598764241E-3</v>
      </c>
      <c r="AT17" s="6">
        <f t="shared" si="16"/>
        <v>2497.3160841861363</v>
      </c>
      <c r="AU17" s="6">
        <f t="shared" si="17"/>
        <v>13.060963120293493</v>
      </c>
      <c r="AV17" s="6">
        <f t="shared" si="18"/>
        <v>1.2799743857887624E-3</v>
      </c>
      <c r="AW17" s="6">
        <f t="shared" si="31"/>
        <v>8.6124058644453821E-4</v>
      </c>
      <c r="AX17" s="6">
        <f t="shared" si="32"/>
        <v>1.3128640564516667E-3</v>
      </c>
      <c r="AY17" s="19">
        <f t="shared" si="19"/>
        <v>0.10256230597432675</v>
      </c>
      <c r="AZ17" s="23">
        <f>AY17+AP17</f>
        <v>0.23048200317201556</v>
      </c>
      <c r="BA17" s="23">
        <f>AK17/(AL17+AW17)</f>
        <v>3.691717362855337</v>
      </c>
    </row>
    <row r="18" spans="1:56" s="7" customFormat="1" ht="14.4" x14ac:dyDescent="0.3">
      <c r="A18" t="s">
        <v>98</v>
      </c>
      <c r="B18">
        <v>1</v>
      </c>
      <c r="C18" s="2">
        <v>45042</v>
      </c>
      <c r="D18" s="11">
        <v>0.41180555555555554</v>
      </c>
      <c r="E18">
        <v>1017.2</v>
      </c>
      <c r="F18">
        <v>1120.8</v>
      </c>
      <c r="G18">
        <v>1105.5999999999999</v>
      </c>
      <c r="H18">
        <v>0</v>
      </c>
      <c r="I18">
        <v>0.63</v>
      </c>
      <c r="J18">
        <v>20.51</v>
      </c>
      <c r="K18">
        <v>76.510000000000005</v>
      </c>
      <c r="L18">
        <v>1</v>
      </c>
      <c r="M18"/>
      <c r="N18" t="s">
        <v>99</v>
      </c>
      <c r="O18">
        <v>793.55</v>
      </c>
      <c r="P18" s="8">
        <f t="shared" si="5"/>
        <v>45042.411805555559</v>
      </c>
      <c r="Q18" s="9">
        <f t="shared" si="6"/>
        <v>8.7993055555562023</v>
      </c>
      <c r="R18">
        <f t="shared" si="20"/>
        <v>97.65</v>
      </c>
      <c r="S18">
        <f t="shared" si="21"/>
        <v>0</v>
      </c>
      <c r="T18">
        <f t="shared" si="22"/>
        <v>0.64516129032258063</v>
      </c>
      <c r="U18">
        <f t="shared" si="23"/>
        <v>21.003584229390679</v>
      </c>
      <c r="V18">
        <f t="shared" si="24"/>
        <v>78.351254480286741</v>
      </c>
      <c r="W18">
        <f t="shared" si="25"/>
        <v>100</v>
      </c>
      <c r="X18" s="10">
        <f t="shared" si="26"/>
        <v>4.4190149799949896E-2</v>
      </c>
      <c r="Y18" s="10">
        <f t="shared" si="7"/>
        <v>2.8509774064483799E-4</v>
      </c>
      <c r="Z18" s="10">
        <f t="shared" si="8"/>
        <v>0</v>
      </c>
      <c r="AA18" s="10">
        <f t="shared" si="9"/>
        <v>9.2815153343263936E-3</v>
      </c>
      <c r="AB18" s="10">
        <f t="shared" si="10"/>
        <v>3.4623536724978664E-2</v>
      </c>
      <c r="AC18" s="10">
        <f t="shared" si="27"/>
        <v>2.8509774064483799E-4</v>
      </c>
      <c r="AD18" s="10">
        <f t="shared" si="11"/>
        <v>4.3590854406517318E-2</v>
      </c>
      <c r="AE18" s="10">
        <f t="shared" si="12"/>
        <v>2.8123131875172462E-4</v>
      </c>
      <c r="AF18" s="10">
        <f t="shared" si="13"/>
        <v>0</v>
      </c>
      <c r="AG18" s="10">
        <f t="shared" si="14"/>
        <v>9.1556418215839232E-3</v>
      </c>
      <c r="AH18" s="10">
        <f t="shared" si="15"/>
        <v>3.4153981266181674E-2</v>
      </c>
      <c r="AI18" s="10">
        <f t="shared" si="28"/>
        <v>2.8123131875172462E-4</v>
      </c>
      <c r="AJ18" s="22"/>
      <c r="AK18" s="10"/>
      <c r="AL18" s="41"/>
      <c r="AM18" s="10"/>
      <c r="AN18" s="10"/>
      <c r="AO18" s="10"/>
      <c r="AP18" s="20"/>
      <c r="AQ18" s="7">
        <f t="shared" si="4"/>
        <v>723.0967741935483</v>
      </c>
      <c r="AR18" s="10">
        <f t="shared" si="29"/>
        <v>3.7817961290322577</v>
      </c>
      <c r="AS18" s="6">
        <f t="shared" si="30"/>
        <v>3.7061602064516124E-4</v>
      </c>
      <c r="AT18" s="6">
        <f t="shared" si="16"/>
        <v>713.29032258064501</v>
      </c>
      <c r="AU18" s="6">
        <f t="shared" si="17"/>
        <v>3.7305083870967737</v>
      </c>
      <c r="AV18" s="6">
        <f t="shared" si="18"/>
        <v>3.6558982193548385E-4</v>
      </c>
      <c r="AW18" s="6">
        <f t="shared" si="31"/>
        <v>-9.093583651436012E-4</v>
      </c>
      <c r="AX18" s="6">
        <f t="shared" si="32"/>
        <v>4.0350569130806545E-4</v>
      </c>
      <c r="AY18" s="19">
        <f t="shared" si="19"/>
        <v>3.1522284406331924E-2</v>
      </c>
      <c r="AZ18" s="24"/>
      <c r="BA18" s="23">
        <f t="shared" ref="BA18:BA32" si="33">AK18/(AL18+AW18)</f>
        <v>0</v>
      </c>
      <c r="BB18"/>
      <c r="BC18"/>
      <c r="BD18"/>
    </row>
    <row r="19" spans="1:56" ht="14.4" x14ac:dyDescent="0.3">
      <c r="A19" t="s">
        <v>98</v>
      </c>
      <c r="B19">
        <v>1</v>
      </c>
      <c r="C19" s="2">
        <v>45044</v>
      </c>
      <c r="D19" s="11">
        <v>0.40625</v>
      </c>
      <c r="E19">
        <v>1006.8</v>
      </c>
      <c r="F19">
        <v>1029.2</v>
      </c>
      <c r="G19">
        <v>1025.8</v>
      </c>
      <c r="H19">
        <v>0</v>
      </c>
      <c r="I19">
        <v>4.5199999999999996</v>
      </c>
      <c r="J19">
        <v>11.77</v>
      </c>
      <c r="K19">
        <v>90.2</v>
      </c>
      <c r="L19">
        <v>0</v>
      </c>
      <c r="N19" t="s">
        <v>99</v>
      </c>
      <c r="P19" s="3">
        <f t="shared" si="5"/>
        <v>45044.40625</v>
      </c>
      <c r="Q19" s="4">
        <f t="shared" si="6"/>
        <v>10.79374999999709</v>
      </c>
      <c r="R19">
        <f t="shared" si="20"/>
        <v>106.49000000000001</v>
      </c>
      <c r="S19">
        <f t="shared" si="21"/>
        <v>0</v>
      </c>
      <c r="T19">
        <f t="shared" si="22"/>
        <v>4.2445300028171653</v>
      </c>
      <c r="U19">
        <f t="shared" si="23"/>
        <v>11.05268100291107</v>
      </c>
      <c r="V19">
        <f t="shared" si="24"/>
        <v>84.702788994271756</v>
      </c>
      <c r="W19">
        <f t="shared" si="25"/>
        <v>100</v>
      </c>
      <c r="X19" s="6">
        <f t="shared" si="26"/>
        <v>4.0578606507948284E-2</v>
      </c>
      <c r="Y19" s="6">
        <f t="shared" si="7"/>
        <v>1.7223711279549835E-3</v>
      </c>
      <c r="Z19" s="6">
        <f t="shared" si="8"/>
        <v>0</v>
      </c>
      <c r="AA19" s="6">
        <f t="shared" si="9"/>
        <v>4.4850239327500355E-3</v>
      </c>
      <c r="AB19" s="6">
        <f t="shared" si="10"/>
        <v>3.4371211447243262E-2</v>
      </c>
      <c r="AC19" s="6">
        <f t="shared" si="27"/>
        <v>1.7223711279549835E-3</v>
      </c>
      <c r="AD19" s="6">
        <f t="shared" si="11"/>
        <v>4.044455359099626E-2</v>
      </c>
      <c r="AE19" s="6">
        <f t="shared" si="12"/>
        <v>1.7166812116753037E-3</v>
      </c>
      <c r="AF19" s="6">
        <f t="shared" si="13"/>
        <v>0</v>
      </c>
      <c r="AG19" s="6">
        <f t="shared" si="14"/>
        <v>4.4702074914642308E-3</v>
      </c>
      <c r="AH19" s="6">
        <f t="shared" si="15"/>
        <v>3.4257664887856726E-2</v>
      </c>
      <c r="AI19" s="6">
        <f t="shared" si="28"/>
        <v>1.7166812116753037E-3</v>
      </c>
      <c r="AJ19" s="22">
        <f>AC19-AI18</f>
        <v>1.4411398092032588E-3</v>
      </c>
      <c r="AK19" s="6">
        <f>(AA19-AG18)*-1</f>
        <v>4.6706178888338877E-3</v>
      </c>
      <c r="AL19" s="23">
        <f>Y19-AE18</f>
        <v>1.4411398092032588E-3</v>
      </c>
      <c r="AM19" s="6">
        <f>AK19+AM17</f>
        <v>1.9359446915019698E-2</v>
      </c>
      <c r="AN19" s="6">
        <f>AL19+AN17</f>
        <v>2.9758786844095498E-3</v>
      </c>
      <c r="AO19" s="6">
        <f>AJ19+AO17</f>
        <v>3.078594924585175E-3</v>
      </c>
      <c r="AP19" s="19">
        <f>AO19*$D$4*1000/$D$6</f>
        <v>0.24050303843316351</v>
      </c>
      <c r="AQ19">
        <f t="shared" si="4"/>
        <v>4368.4702788994264</v>
      </c>
      <c r="AR19" s="6">
        <f t="shared" si="29"/>
        <v>22.847099558644</v>
      </c>
      <c r="AS19" s="6">
        <f t="shared" si="30"/>
        <v>2.2390157567471125E-3</v>
      </c>
      <c r="AT19" s="6">
        <f t="shared" si="16"/>
        <v>4354.0388768898483</v>
      </c>
      <c r="AU19" s="6">
        <f t="shared" si="17"/>
        <v>22.771623326133909</v>
      </c>
      <c r="AV19" s="6">
        <f t="shared" si="18"/>
        <v>2.2316190859611234E-3</v>
      </c>
      <c r="AW19" s="6">
        <f>AS19-AV18</f>
        <v>1.8734259348116287E-3</v>
      </c>
      <c r="AX19" s="6">
        <f>AW19+AX18</f>
        <v>2.2769316261196941E-3</v>
      </c>
      <c r="AY19" s="19">
        <f t="shared" si="19"/>
        <v>0.17787626751841598</v>
      </c>
      <c r="AZ19" s="23">
        <f>AY19+AP19</f>
        <v>0.41837930595157946</v>
      </c>
      <c r="BA19" s="23">
        <f t="shared" si="33"/>
        <v>1.4091190972053049</v>
      </c>
    </row>
    <row r="20" spans="1:56" ht="14.4" x14ac:dyDescent="0.3">
      <c r="A20" t="s">
        <v>98</v>
      </c>
      <c r="B20">
        <v>1</v>
      </c>
      <c r="C20" s="2">
        <v>45044</v>
      </c>
      <c r="D20" s="11">
        <v>0.4069444444444445</v>
      </c>
      <c r="E20">
        <v>1006.8</v>
      </c>
      <c r="F20">
        <v>1117.44</v>
      </c>
      <c r="G20">
        <v>1111.45</v>
      </c>
      <c r="H20">
        <v>0</v>
      </c>
      <c r="I20">
        <v>0.53800000000000003</v>
      </c>
      <c r="J20">
        <v>20.312999999999999</v>
      </c>
      <c r="K20">
        <v>75.856999999999999</v>
      </c>
      <c r="L20">
        <v>1</v>
      </c>
      <c r="M20" t="s">
        <v>129</v>
      </c>
      <c r="N20" t="s">
        <v>99</v>
      </c>
      <c r="O20">
        <v>793.51</v>
      </c>
      <c r="P20" s="3">
        <f t="shared" si="5"/>
        <v>45044.406944444447</v>
      </c>
      <c r="Q20" s="4">
        <f t="shared" si="6"/>
        <v>10.794444444443798</v>
      </c>
      <c r="R20">
        <f t="shared" si="20"/>
        <v>96.707999999999998</v>
      </c>
      <c r="S20">
        <f t="shared" si="21"/>
        <v>0</v>
      </c>
      <c r="T20">
        <f t="shared" si="22"/>
        <v>0.5563138520081069</v>
      </c>
      <c r="U20">
        <f t="shared" si="23"/>
        <v>21.004467055465938</v>
      </c>
      <c r="V20">
        <f t="shared" si="24"/>
        <v>78.43921909252596</v>
      </c>
      <c r="W20">
        <f t="shared" si="25"/>
        <v>100</v>
      </c>
      <c r="X20" s="6">
        <f t="shared" si="26"/>
        <v>4.4057673976138488E-2</v>
      </c>
      <c r="Y20" s="6">
        <f t="shared" si="7"/>
        <v>2.4509894320182932E-4</v>
      </c>
      <c r="Z20" s="6">
        <f t="shared" si="8"/>
        <v>0</v>
      </c>
      <c r="AA20" s="6">
        <f t="shared" si="9"/>
        <v>9.2540796157225998E-3</v>
      </c>
      <c r="AB20" s="6">
        <f t="shared" si="10"/>
        <v>3.4558495417214063E-2</v>
      </c>
      <c r="AC20" s="6">
        <f t="shared" si="27"/>
        <v>2.4509894320182932E-4</v>
      </c>
      <c r="AD20" s="6">
        <f t="shared" si="11"/>
        <v>4.3821504278331834E-2</v>
      </c>
      <c r="AE20" s="6">
        <f t="shared" si="12"/>
        <v>2.4378509845868521E-4</v>
      </c>
      <c r="AF20" s="6">
        <f t="shared" si="13"/>
        <v>0</v>
      </c>
      <c r="AG20" s="6">
        <f t="shared" si="14"/>
        <v>9.2044734293518053E-3</v>
      </c>
      <c r="AH20" s="6">
        <f t="shared" si="15"/>
        <v>3.4373245750521343E-2</v>
      </c>
      <c r="AI20" s="6">
        <f t="shared" si="28"/>
        <v>2.4378509845868521E-4</v>
      </c>
      <c r="AJ20" s="22"/>
      <c r="AK20" s="6"/>
      <c r="AL20" s="23"/>
      <c r="AM20" s="6"/>
      <c r="AN20" s="6"/>
      <c r="AO20" s="6"/>
      <c r="AP20" s="19"/>
      <c r="AQ20">
        <f t="shared" ref="AQ20" si="34">F20*100*T20/100</f>
        <v>621.64735078793899</v>
      </c>
      <c r="AR20" s="6">
        <f t="shared" ref="AR20" si="35">AQ20*$D$7</f>
        <v>3.2512156446209213</v>
      </c>
      <c r="AS20" s="6">
        <f t="shared" ref="AS20" si="36">AR20*$D$5/1000</f>
        <v>3.1861913317285026E-4</v>
      </c>
      <c r="AT20" s="6">
        <f t="shared" ref="AT20" si="37">G20*100*T20/100</f>
        <v>618.31503081441042</v>
      </c>
      <c r="AU20" s="6">
        <f t="shared" ref="AU20" si="38">AT20*$D$7</f>
        <v>3.2337876111593666</v>
      </c>
      <c r="AV20" s="6">
        <f t="shared" ref="AV20" si="39">AU20*$D$5/1000</f>
        <v>3.1691118589361795E-4</v>
      </c>
      <c r="AW20" s="6">
        <f>AS20-AV19</f>
        <v>-1.9129999527882731E-3</v>
      </c>
      <c r="AX20" s="6">
        <f>AW20+AX19</f>
        <v>3.6393167333142106E-4</v>
      </c>
      <c r="AY20" s="19">
        <f t="shared" ref="AY20" si="40">(AX20*$D$4*1000/$D$6)</f>
        <v>2.84307209497742E-2</v>
      </c>
      <c r="AZ20" s="23"/>
      <c r="BA20" s="23">
        <f t="shared" ref="BA20" si="41">AK20/(AL20+AW20)</f>
        <v>0</v>
      </c>
    </row>
    <row r="21" spans="1:56" ht="14.4" x14ac:dyDescent="0.3">
      <c r="A21" t="s">
        <v>98</v>
      </c>
      <c r="B21">
        <v>1</v>
      </c>
      <c r="C21" s="2">
        <v>45047</v>
      </c>
      <c r="D21" s="11">
        <v>0.57638888888888895</v>
      </c>
      <c r="E21">
        <v>1013.1</v>
      </c>
      <c r="F21">
        <v>1042.7</v>
      </c>
      <c r="G21">
        <v>1039.9000000000001</v>
      </c>
      <c r="H21">
        <v>0</v>
      </c>
      <c r="I21">
        <v>5.74</v>
      </c>
      <c r="J21">
        <v>9.74</v>
      </c>
      <c r="K21">
        <v>83.32</v>
      </c>
      <c r="L21">
        <v>0</v>
      </c>
      <c r="N21" t="s">
        <v>99</v>
      </c>
      <c r="P21" s="3">
        <f t="shared" si="5"/>
        <v>45047.576388888891</v>
      </c>
      <c r="Q21" s="4">
        <f t="shared" si="6"/>
        <v>13.963888888887595</v>
      </c>
      <c r="R21">
        <f t="shared" si="20"/>
        <v>98.8</v>
      </c>
      <c r="S21">
        <f t="shared" si="21"/>
        <v>0</v>
      </c>
      <c r="T21">
        <f t="shared" si="22"/>
        <v>5.8097165991902839</v>
      </c>
      <c r="U21">
        <f t="shared" si="23"/>
        <v>9.8582995951417001</v>
      </c>
      <c r="V21">
        <f t="shared" si="24"/>
        <v>84.331983805668017</v>
      </c>
      <c r="W21">
        <f t="shared" si="25"/>
        <v>100</v>
      </c>
      <c r="X21" s="6">
        <f t="shared" si="26"/>
        <v>4.1110875442904857E-2</v>
      </c>
      <c r="Y21" s="6">
        <f t="shared" si="7"/>
        <v>2.3884253546788857E-3</v>
      </c>
      <c r="Z21" s="6">
        <f t="shared" si="8"/>
        <v>0</v>
      </c>
      <c r="AA21" s="6">
        <f t="shared" si="9"/>
        <v>4.0528332673470981E-3</v>
      </c>
      <c r="AB21" s="6">
        <f t="shared" si="10"/>
        <v>3.4669616820878872E-2</v>
      </c>
      <c r="AC21" s="6">
        <f t="shared" si="27"/>
        <v>2.3884253546788857E-3</v>
      </c>
      <c r="AD21" s="6">
        <f t="shared" si="11"/>
        <v>4.1000478923062016E-2</v>
      </c>
      <c r="AE21" s="6">
        <f t="shared" si="12"/>
        <v>2.3820116297406475E-3</v>
      </c>
      <c r="AF21" s="6">
        <f t="shared" si="13"/>
        <v>0</v>
      </c>
      <c r="AG21" s="6">
        <f t="shared" si="14"/>
        <v>4.0419500476783811E-3</v>
      </c>
      <c r="AH21" s="6">
        <f t="shared" si="15"/>
        <v>3.4576517245642986E-2</v>
      </c>
      <c r="AI21" s="6">
        <f t="shared" si="28"/>
        <v>2.3820116297406475E-3</v>
      </c>
      <c r="AJ21" s="22">
        <f>AC21-AI20</f>
        <v>2.1446402562202006E-3</v>
      </c>
      <c r="AK21" s="6">
        <f>(AA21-AG20)*-1</f>
        <v>5.1516401620047073E-3</v>
      </c>
      <c r="AL21" s="23">
        <f>Y21-AE20</f>
        <v>2.1446402562202006E-3</v>
      </c>
      <c r="AM21" s="6">
        <f>AK21+AM19</f>
        <v>2.4511087077024405E-2</v>
      </c>
      <c r="AN21" s="6">
        <f>AL21+AN19</f>
        <v>5.1205189406297504E-3</v>
      </c>
      <c r="AO21" s="6">
        <f>AJ21+AO19</f>
        <v>5.2232351808053756E-3</v>
      </c>
      <c r="AP21" s="19">
        <f>AO21*$D$4*1000/$D$6</f>
        <v>0.40804456650104881</v>
      </c>
      <c r="AQ21">
        <f t="shared" si="4"/>
        <v>6057.7914979757088</v>
      </c>
      <c r="AR21" s="6">
        <f t="shared" si="29"/>
        <v>31.682249534412957</v>
      </c>
      <c r="AS21" s="6">
        <f t="shared" si="30"/>
        <v>3.1048604543724699E-3</v>
      </c>
      <c r="AT21" s="6">
        <f t="shared" si="16"/>
        <v>6041.5242914979781</v>
      </c>
      <c r="AU21" s="6">
        <f t="shared" si="17"/>
        <v>31.597172044534428</v>
      </c>
      <c r="AV21" s="6">
        <f t="shared" si="18"/>
        <v>3.0965228603643744E-3</v>
      </c>
      <c r="AW21" s="6">
        <f>AS21-AV20</f>
        <v>2.7879492684788521E-3</v>
      </c>
      <c r="AX21" s="6">
        <f>AW21+AX20</f>
        <v>3.1518809418102731E-3</v>
      </c>
      <c r="AY21" s="19">
        <f t="shared" si="19"/>
        <v>0.24622821834447522</v>
      </c>
      <c r="AZ21" s="23">
        <f>AY21+AP21</f>
        <v>0.65427278484552409</v>
      </c>
      <c r="BA21" s="23">
        <f t="shared" si="33"/>
        <v>1.0444088518229213</v>
      </c>
    </row>
    <row r="22" spans="1:56" s="7" customFormat="1" ht="14.4" x14ac:dyDescent="0.3">
      <c r="A22" t="s">
        <v>98</v>
      </c>
      <c r="B22">
        <v>1</v>
      </c>
      <c r="C22" s="2">
        <v>45047</v>
      </c>
      <c r="D22" s="11">
        <v>0.61736111111111114</v>
      </c>
      <c r="E22">
        <v>1013.3</v>
      </c>
      <c r="F22">
        <v>1114.5999999999999</v>
      </c>
      <c r="G22">
        <v>1110.5999999999999</v>
      </c>
      <c r="H22">
        <v>0</v>
      </c>
      <c r="I22">
        <v>0.78</v>
      </c>
      <c r="J22">
        <v>20.5</v>
      </c>
      <c r="K22">
        <v>76.25</v>
      </c>
      <c r="L22">
        <v>1</v>
      </c>
      <c r="M22"/>
      <c r="N22" t="s">
        <v>99</v>
      </c>
      <c r="O22">
        <v>793.43</v>
      </c>
      <c r="P22" s="8">
        <f t="shared" si="5"/>
        <v>45047.617361111108</v>
      </c>
      <c r="Q22" s="9">
        <f t="shared" si="6"/>
        <v>14.004861111105129</v>
      </c>
      <c r="R22">
        <f t="shared" si="20"/>
        <v>97.53</v>
      </c>
      <c r="S22">
        <f t="shared" si="21"/>
        <v>0</v>
      </c>
      <c r="T22">
        <f t="shared" si="22"/>
        <v>0.79975392187019378</v>
      </c>
      <c r="U22">
        <f t="shared" si="23"/>
        <v>21.019173587614066</v>
      </c>
      <c r="V22">
        <f t="shared" si="24"/>
        <v>78.181072490515731</v>
      </c>
      <c r="W22">
        <f t="shared" si="25"/>
        <v>100</v>
      </c>
      <c r="X22" s="10">
        <f t="shared" si="26"/>
        <v>4.3945700363155024E-2</v>
      </c>
      <c r="Y22" s="10">
        <f t="shared" si="7"/>
        <v>3.5145746214765625E-4</v>
      </c>
      <c r="Z22" s="10">
        <f t="shared" si="8"/>
        <v>0</v>
      </c>
      <c r="AA22" s="10">
        <f t="shared" si="9"/>
        <v>9.2370230436242991E-3</v>
      </c>
      <c r="AB22" s="10">
        <f t="shared" si="10"/>
        <v>3.4357219857383069E-2</v>
      </c>
      <c r="AC22" s="10">
        <f t="shared" si="27"/>
        <v>3.5145746214765625E-4</v>
      </c>
      <c r="AD22" s="10">
        <f t="shared" si="11"/>
        <v>4.3787991049093825E-2</v>
      </c>
      <c r="AE22" s="10">
        <f t="shared" si="12"/>
        <v>3.5019617572329729E-4</v>
      </c>
      <c r="AF22" s="10">
        <f t="shared" si="13"/>
        <v>0</v>
      </c>
      <c r="AG22" s="10">
        <f t="shared" si="14"/>
        <v>9.2038738491379401E-3</v>
      </c>
      <c r="AH22" s="10">
        <f t="shared" si="15"/>
        <v>3.4233921024232582E-2</v>
      </c>
      <c r="AI22" s="10">
        <f t="shared" si="28"/>
        <v>3.5019617572329729E-4</v>
      </c>
      <c r="AJ22" s="22"/>
      <c r="AK22" s="10"/>
      <c r="AL22" s="41"/>
      <c r="AM22" s="10"/>
      <c r="AN22" s="10"/>
      <c r="AO22" s="10"/>
      <c r="AP22" s="20"/>
      <c r="AQ22" s="7">
        <f t="shared" si="4"/>
        <v>891.40572131651788</v>
      </c>
      <c r="AR22" s="10">
        <f t="shared" si="29"/>
        <v>4.6620519224853885</v>
      </c>
      <c r="AS22" s="6">
        <f t="shared" si="30"/>
        <v>4.5688108840356812E-4</v>
      </c>
      <c r="AT22" s="6">
        <f t="shared" si="16"/>
        <v>888.20670562903717</v>
      </c>
      <c r="AU22" s="6">
        <f t="shared" si="17"/>
        <v>4.6453210704398646</v>
      </c>
      <c r="AV22" s="6">
        <f t="shared" si="18"/>
        <v>4.5524146490310673E-4</v>
      </c>
      <c r="AW22" s="6">
        <f t="shared" si="31"/>
        <v>-2.6396417719608063E-3</v>
      </c>
      <c r="AX22" s="6">
        <f t="shared" si="32"/>
        <v>5.1223916984946679E-4</v>
      </c>
      <c r="AY22" s="19">
        <f t="shared" si="19"/>
        <v>4.0016656874687077E-2</v>
      </c>
      <c r="AZ22" s="24"/>
      <c r="BA22" s="23">
        <f t="shared" si="33"/>
        <v>0</v>
      </c>
      <c r="BB22"/>
      <c r="BC22"/>
      <c r="BD22"/>
    </row>
    <row r="23" spans="1:56" ht="14.4" x14ac:dyDescent="0.3">
      <c r="A23" t="s">
        <v>98</v>
      </c>
      <c r="B23">
        <v>1</v>
      </c>
      <c r="C23" s="2">
        <v>45050</v>
      </c>
      <c r="D23" s="11">
        <v>0.39305555555555555</v>
      </c>
      <c r="E23">
        <v>1017.9</v>
      </c>
      <c r="F23">
        <v>1050.5999999999999</v>
      </c>
      <c r="G23">
        <v>1046.5999999999999</v>
      </c>
      <c r="H23">
        <v>0</v>
      </c>
      <c r="I23">
        <v>5.34</v>
      </c>
      <c r="J23">
        <v>12.97</v>
      </c>
      <c r="K23">
        <v>86.62</v>
      </c>
      <c r="L23">
        <v>0</v>
      </c>
      <c r="N23" t="s">
        <v>99</v>
      </c>
      <c r="P23" s="3">
        <f t="shared" si="5"/>
        <v>45050.393055555556</v>
      </c>
      <c r="Q23" s="4">
        <f t="shared" si="6"/>
        <v>16.780555555553292</v>
      </c>
      <c r="R23">
        <f t="shared" si="20"/>
        <v>104.93</v>
      </c>
      <c r="S23">
        <f t="shared" si="21"/>
        <v>0</v>
      </c>
      <c r="T23">
        <f t="shared" si="22"/>
        <v>5.0891070237301053</v>
      </c>
      <c r="U23">
        <f t="shared" si="23"/>
        <v>12.360621366625368</v>
      </c>
      <c r="V23">
        <f t="shared" si="24"/>
        <v>82.550271609644525</v>
      </c>
      <c r="W23">
        <f t="shared" si="25"/>
        <v>100</v>
      </c>
      <c r="X23" s="6">
        <f t="shared" si="26"/>
        <v>4.1422351338175734E-2</v>
      </c>
      <c r="Y23" s="6">
        <f t="shared" si="7"/>
        <v>2.1080277913452625E-3</v>
      </c>
      <c r="Z23" s="6">
        <f t="shared" si="8"/>
        <v>0</v>
      </c>
      <c r="AA23" s="6">
        <f t="shared" si="9"/>
        <v>5.1200600100651797E-3</v>
      </c>
      <c r="AB23" s="6">
        <f t="shared" si="10"/>
        <v>3.4194263536765288E-2</v>
      </c>
      <c r="AC23" s="6">
        <f t="shared" si="27"/>
        <v>2.1080277913452625E-3</v>
      </c>
      <c r="AD23" s="6">
        <f t="shared" si="11"/>
        <v>4.1264642024114527E-2</v>
      </c>
      <c r="AE23" s="6">
        <f t="shared" si="12"/>
        <v>2.1000017955662971E-3</v>
      </c>
      <c r="AF23" s="6">
        <f t="shared" si="13"/>
        <v>0</v>
      </c>
      <c r="AG23" s="6">
        <f t="shared" si="14"/>
        <v>5.1005661588941712E-3</v>
      </c>
      <c r="AH23" s="6">
        <f t="shared" si="15"/>
        <v>3.406407406965406E-2</v>
      </c>
      <c r="AI23" s="6">
        <f t="shared" si="28"/>
        <v>2.1000017955662971E-3</v>
      </c>
      <c r="AJ23" s="22">
        <f t="shared" ref="AJ23:AJ27" si="42">AC23-AI22</f>
        <v>1.7578316156219651E-3</v>
      </c>
      <c r="AK23" s="6">
        <f>(AA23-AG22)*-1</f>
        <v>4.0838138390727604E-3</v>
      </c>
      <c r="AL23" s="23">
        <f>Y23-AE22</f>
        <v>1.7578316156219651E-3</v>
      </c>
      <c r="AM23" s="6">
        <f>AK23+AM21</f>
        <v>2.8594900916097166E-2</v>
      </c>
      <c r="AN23" s="6">
        <f>AL23+AN21</f>
        <v>6.8783505562517158E-3</v>
      </c>
      <c r="AO23" s="6">
        <f>AJ23+AO21</f>
        <v>6.9810667964273409E-3</v>
      </c>
      <c r="AP23" s="19">
        <f>AO23*$D$4*1000/$D$6</f>
        <v>0.54536820113541851</v>
      </c>
      <c r="AQ23">
        <f t="shared" si="4"/>
        <v>5346.6158391308481</v>
      </c>
      <c r="AR23" s="6">
        <f>AQ23*$D$7</f>
        <v>27.962800838654339</v>
      </c>
      <c r="AS23" s="6">
        <f t="shared" si="30"/>
        <v>2.7403544821881253E-3</v>
      </c>
      <c r="AT23" s="6">
        <f t="shared" si="16"/>
        <v>5326.2594110359278</v>
      </c>
      <c r="AU23" s="6">
        <f t="shared" si="17"/>
        <v>27.856336719717902</v>
      </c>
      <c r="AV23" s="6">
        <f t="shared" si="18"/>
        <v>2.7299209985323543E-3</v>
      </c>
      <c r="AW23" s="6">
        <f t="shared" si="31"/>
        <v>2.2851130172850185E-3</v>
      </c>
      <c r="AX23" s="6">
        <f t="shared" si="32"/>
        <v>2.7973521871344853E-3</v>
      </c>
      <c r="AY23" s="19">
        <f t="shared" si="19"/>
        <v>0.21853206318273644</v>
      </c>
      <c r="AZ23" s="23">
        <f>AY23+AP23</f>
        <v>0.76390026431815494</v>
      </c>
      <c r="BA23" s="23">
        <f t="shared" si="33"/>
        <v>1.0101087721640132</v>
      </c>
    </row>
    <row r="24" spans="1:56" s="7" customFormat="1" ht="14.4" x14ac:dyDescent="0.3">
      <c r="A24" t="s">
        <v>98</v>
      </c>
      <c r="B24">
        <v>1</v>
      </c>
      <c r="C24" s="2">
        <v>45050</v>
      </c>
      <c r="D24" s="11">
        <v>0.44861111111111113</v>
      </c>
      <c r="E24">
        <v>1017.2</v>
      </c>
      <c r="F24">
        <v>1122.0999999999999</v>
      </c>
      <c r="G24">
        <v>1119.0999999999999</v>
      </c>
      <c r="H24">
        <v>0</v>
      </c>
      <c r="I24">
        <v>0.5</v>
      </c>
      <c r="J24">
        <v>20.32</v>
      </c>
      <c r="K24">
        <v>75.56</v>
      </c>
      <c r="L24">
        <v>1</v>
      </c>
      <c r="M24"/>
      <c r="N24" t="s">
        <v>99</v>
      </c>
      <c r="O24">
        <v>793.32</v>
      </c>
      <c r="P24" s="8">
        <f t="shared" si="5"/>
        <v>45050.448611111111</v>
      </c>
      <c r="Q24" s="9">
        <f t="shared" si="6"/>
        <v>16.836111111108039</v>
      </c>
      <c r="R24">
        <f t="shared" si="20"/>
        <v>96.38</v>
      </c>
      <c r="S24">
        <f t="shared" si="21"/>
        <v>0</v>
      </c>
      <c r="T24">
        <f t="shared" si="22"/>
        <v>0.51877982984021587</v>
      </c>
      <c r="U24">
        <f t="shared" si="23"/>
        <v>21.08321228470637</v>
      </c>
      <c r="V24">
        <f t="shared" si="24"/>
        <v>78.398007885453424</v>
      </c>
      <c r="W24">
        <f t="shared" si="25"/>
        <v>100.00000000000001</v>
      </c>
      <c r="X24" s="10">
        <f t="shared" si="26"/>
        <v>4.4241405327019791E-2</v>
      </c>
      <c r="Y24" s="10">
        <f t="shared" si="7"/>
        <v>2.2951548727443346E-4</v>
      </c>
      <c r="Z24" s="10">
        <f t="shared" si="8"/>
        <v>0</v>
      </c>
      <c r="AA24" s="10">
        <f t="shared" si="9"/>
        <v>9.3275094028329748E-3</v>
      </c>
      <c r="AB24" s="10">
        <f t="shared" si="10"/>
        <v>3.4684380436912382E-2</v>
      </c>
      <c r="AC24" s="10">
        <f t="shared" si="27"/>
        <v>2.2951548727443346E-4</v>
      </c>
      <c r="AD24" s="10">
        <f t="shared" si="11"/>
        <v>4.4123123341473884E-2</v>
      </c>
      <c r="AE24" s="10">
        <f t="shared" si="12"/>
        <v>2.2890186419108677E-4</v>
      </c>
      <c r="AF24" s="10">
        <f t="shared" si="13"/>
        <v>0</v>
      </c>
      <c r="AG24" s="10">
        <f t="shared" si="14"/>
        <v>9.3025717607257662E-3</v>
      </c>
      <c r="AH24" s="10">
        <f t="shared" si="15"/>
        <v>3.4591649716557038E-2</v>
      </c>
      <c r="AI24" s="10">
        <f t="shared" si="28"/>
        <v>2.2890186419108677E-4</v>
      </c>
      <c r="AJ24" s="22"/>
      <c r="AK24" s="10"/>
      <c r="AL24" s="41"/>
      <c r="AM24" s="10"/>
      <c r="AN24" s="10"/>
      <c r="AO24" s="10"/>
      <c r="AP24" s="20"/>
      <c r="AQ24" s="7">
        <f t="shared" si="4"/>
        <v>582.1228470637061</v>
      </c>
      <c r="AR24" s="10">
        <f t="shared" si="29"/>
        <v>3.044502490143183</v>
      </c>
      <c r="AS24" s="6">
        <f t="shared" si="30"/>
        <v>2.9836124403403199E-4</v>
      </c>
      <c r="AT24" s="6">
        <f t="shared" si="16"/>
        <v>580.56650757418549</v>
      </c>
      <c r="AU24" s="6">
        <f t="shared" si="17"/>
        <v>3.0363628346129903</v>
      </c>
      <c r="AV24" s="6">
        <f t="shared" si="18"/>
        <v>2.9756355779207304E-4</v>
      </c>
      <c r="AW24" s="6">
        <f t="shared" si="31"/>
        <v>-2.4315597544983221E-3</v>
      </c>
      <c r="AX24" s="6">
        <f t="shared" si="32"/>
        <v>3.6579243263616321E-4</v>
      </c>
      <c r="AY24" s="19">
        <f t="shared" si="19"/>
        <v>2.8576085402567085E-2</v>
      </c>
      <c r="AZ24" s="24"/>
      <c r="BA24" s="23">
        <f t="shared" si="33"/>
        <v>0</v>
      </c>
      <c r="BB24"/>
      <c r="BC24"/>
      <c r="BD24"/>
    </row>
    <row r="25" spans="1:56" ht="14.4" x14ac:dyDescent="0.3">
      <c r="A25" t="s">
        <v>98</v>
      </c>
      <c r="B25">
        <v>1</v>
      </c>
      <c r="C25" s="2">
        <v>45054</v>
      </c>
      <c r="D25" s="11">
        <v>0.3611111111111111</v>
      </c>
      <c r="E25">
        <v>1018.7</v>
      </c>
      <c r="F25">
        <v>1037.5</v>
      </c>
      <c r="G25">
        <v>1035.2</v>
      </c>
      <c r="H25">
        <v>0</v>
      </c>
      <c r="I25">
        <v>6.98</v>
      </c>
      <c r="J25">
        <v>8.07</v>
      </c>
      <c r="K25">
        <v>85.33</v>
      </c>
      <c r="L25">
        <v>0</v>
      </c>
      <c r="N25" t="s">
        <v>99</v>
      </c>
      <c r="P25" s="3">
        <f t="shared" si="5"/>
        <v>45054.361111111109</v>
      </c>
      <c r="Q25" s="4">
        <f t="shared" si="6"/>
        <v>20.748611111106584</v>
      </c>
      <c r="R25">
        <f t="shared" si="20"/>
        <v>100.38</v>
      </c>
      <c r="S25">
        <f t="shared" si="21"/>
        <v>0</v>
      </c>
      <c r="T25">
        <f t="shared" si="22"/>
        <v>6.9535764096433557</v>
      </c>
      <c r="U25">
        <f t="shared" si="23"/>
        <v>8.0394500896592955</v>
      </c>
      <c r="V25">
        <f t="shared" si="24"/>
        <v>85.006973500697356</v>
      </c>
      <c r="W25">
        <f t="shared" si="25"/>
        <v>100</v>
      </c>
      <c r="X25" s="6">
        <f t="shared" si="26"/>
        <v>4.0905853334625292E-2</v>
      </c>
      <c r="Y25" s="6">
        <f t="shared" si="7"/>
        <v>2.8444197676398141E-3</v>
      </c>
      <c r="Z25" s="6">
        <f t="shared" si="8"/>
        <v>0</v>
      </c>
      <c r="AA25" s="6">
        <f t="shared" si="9"/>
        <v>3.2886056625864328E-3</v>
      </c>
      <c r="AB25" s="6">
        <f t="shared" si="10"/>
        <v>3.4772827904399048E-2</v>
      </c>
      <c r="AC25" s="6">
        <f t="shared" si="27"/>
        <v>2.8444197676398141E-3</v>
      </c>
      <c r="AD25" s="6">
        <f t="shared" si="11"/>
        <v>4.0815170479040097E-2</v>
      </c>
      <c r="AE25" s="6">
        <f t="shared" si="12"/>
        <v>2.8381140659862513E-3</v>
      </c>
      <c r="AF25" s="6">
        <f t="shared" si="13"/>
        <v>0</v>
      </c>
      <c r="AG25" s="6">
        <f t="shared" si="14"/>
        <v>3.2813152596717831E-3</v>
      </c>
      <c r="AH25" s="6">
        <f t="shared" si="15"/>
        <v>3.4695741153382066E-2</v>
      </c>
      <c r="AI25" s="6">
        <f t="shared" si="28"/>
        <v>2.8381140659862513E-3</v>
      </c>
      <c r="AJ25" s="22">
        <f t="shared" si="42"/>
        <v>2.6155179034487272E-3</v>
      </c>
      <c r="AK25" s="6">
        <f>(AA25-AG24)*-1</f>
        <v>6.0139660981393334E-3</v>
      </c>
      <c r="AL25" s="23">
        <f>Y25-AE24</f>
        <v>2.6155179034487272E-3</v>
      </c>
      <c r="AM25" s="6">
        <f>AK25+AM23</f>
        <v>3.4608867014236502E-2</v>
      </c>
      <c r="AN25" s="6">
        <f>AL25+AN23</f>
        <v>9.4938684597004434E-3</v>
      </c>
      <c r="AO25" s="6">
        <f>AJ25+AO23</f>
        <v>9.5965846998760686E-3</v>
      </c>
      <c r="AP25" s="19">
        <f>AO25*$D$4*1000/$D$6</f>
        <v>0.7496951808989275</v>
      </c>
      <c r="AQ25">
        <f t="shared" si="4"/>
        <v>7214.3355250049817</v>
      </c>
      <c r="AR25" s="6">
        <f t="shared" si="29"/>
        <v>37.730974795776056</v>
      </c>
      <c r="AS25" s="6">
        <f t="shared" si="30"/>
        <v>3.6976355299860536E-3</v>
      </c>
      <c r="AT25" s="6">
        <f t="shared" si="16"/>
        <v>7198.342299262802</v>
      </c>
      <c r="AU25" s="6">
        <f t="shared" si="17"/>
        <v>37.647330225144458</v>
      </c>
      <c r="AV25" s="6">
        <f t="shared" si="18"/>
        <v>3.689438362064157E-3</v>
      </c>
      <c r="AW25" s="6">
        <f t="shared" si="31"/>
        <v>3.4000719721939804E-3</v>
      </c>
      <c r="AX25" s="6">
        <f t="shared" si="32"/>
        <v>3.7658644048301436E-3</v>
      </c>
      <c r="AY25" s="19">
        <f t="shared" si="19"/>
        <v>0.2941932452548901</v>
      </c>
      <c r="AZ25" s="23">
        <f>AY25+AP25</f>
        <v>1.0438884261538175</v>
      </c>
      <c r="BA25" s="23">
        <f t="shared" si="33"/>
        <v>0.99973007177401685</v>
      </c>
    </row>
    <row r="26" spans="1:56" s="7" customFormat="1" ht="14.4" x14ac:dyDescent="0.3">
      <c r="A26" t="s">
        <v>98</v>
      </c>
      <c r="B26">
        <v>1</v>
      </c>
      <c r="C26" s="2">
        <v>45054</v>
      </c>
      <c r="D26" s="11">
        <v>0.40763888888888888</v>
      </c>
      <c r="E26">
        <v>1018.7</v>
      </c>
      <c r="F26">
        <v>1123.2</v>
      </c>
      <c r="G26">
        <v>1120.3</v>
      </c>
      <c r="H26">
        <v>0</v>
      </c>
      <c r="I26">
        <v>0.56999999999999995</v>
      </c>
      <c r="J26">
        <v>20.11</v>
      </c>
      <c r="K26">
        <v>74.92</v>
      </c>
      <c r="L26">
        <v>1</v>
      </c>
      <c r="M26"/>
      <c r="N26" t="s">
        <v>99</v>
      </c>
      <c r="O26">
        <v>793.27</v>
      </c>
      <c r="P26" s="8">
        <f t="shared" si="5"/>
        <v>45054.407638888886</v>
      </c>
      <c r="Q26" s="9">
        <f t="shared" si="6"/>
        <v>20.79513888888323</v>
      </c>
      <c r="R26">
        <f t="shared" si="20"/>
        <v>95.6</v>
      </c>
      <c r="S26">
        <f t="shared" si="21"/>
        <v>0</v>
      </c>
      <c r="T26">
        <f t="shared" si="22"/>
        <v>0.59623430962343094</v>
      </c>
      <c r="U26">
        <f t="shared" si="23"/>
        <v>21.035564853556487</v>
      </c>
      <c r="V26">
        <f t="shared" si="24"/>
        <v>78.368200836820094</v>
      </c>
      <c r="W26">
        <f t="shared" si="25"/>
        <v>100.00000000000001</v>
      </c>
      <c r="X26" s="10">
        <f t="shared" si="26"/>
        <v>4.428477538838662E-2</v>
      </c>
      <c r="Y26" s="10">
        <f t="shared" si="7"/>
        <v>2.64041024805234E-4</v>
      </c>
      <c r="Z26" s="10">
        <f t="shared" si="8"/>
        <v>0</v>
      </c>
      <c r="AA26" s="10">
        <f t="shared" si="9"/>
        <v>9.3155526470758889E-3</v>
      </c>
      <c r="AB26" s="10">
        <f t="shared" si="10"/>
        <v>3.4705181716505502E-2</v>
      </c>
      <c r="AC26" s="10">
        <f t="shared" si="27"/>
        <v>2.64041024805234E-4</v>
      </c>
      <c r="AD26" s="10">
        <f t="shared" si="11"/>
        <v>4.417043613569225E-2</v>
      </c>
      <c r="AE26" s="10">
        <f t="shared" si="12"/>
        <v>2.6335929495130314E-4</v>
      </c>
      <c r="AF26" s="10">
        <f t="shared" si="13"/>
        <v>0</v>
      </c>
      <c r="AG26" s="10">
        <f t="shared" si="14"/>
        <v>9.2915007394222919E-3</v>
      </c>
      <c r="AH26" s="10">
        <f t="shared" si="15"/>
        <v>3.4615576101318657E-2</v>
      </c>
      <c r="AI26" s="10">
        <f t="shared" si="28"/>
        <v>2.6335929495130314E-4</v>
      </c>
      <c r="AJ26" s="22"/>
      <c r="AK26" s="10"/>
      <c r="AL26" s="41"/>
      <c r="AM26" s="10"/>
      <c r="AN26" s="10"/>
      <c r="AO26" s="10"/>
      <c r="AP26" s="20"/>
      <c r="AQ26" s="7">
        <f t="shared" si="4"/>
        <v>669.69037656903765</v>
      </c>
      <c r="AR26" s="10">
        <f>AQ26*$D$7</f>
        <v>3.5024806694560673</v>
      </c>
      <c r="AS26" s="6">
        <f t="shared" si="30"/>
        <v>3.4324310560669463E-4</v>
      </c>
      <c r="AT26" s="6">
        <f t="shared" si="16"/>
        <v>667.96129707112971</v>
      </c>
      <c r="AU26" s="6">
        <f t="shared" si="17"/>
        <v>3.4934375836820086</v>
      </c>
      <c r="AV26" s="6">
        <f t="shared" si="18"/>
        <v>3.4235688320083683E-4</v>
      </c>
      <c r="AW26" s="6">
        <f t="shared" si="31"/>
        <v>-3.3461952564574626E-3</v>
      </c>
      <c r="AX26" s="6">
        <f t="shared" si="32"/>
        <v>4.1966914837268101E-4</v>
      </c>
      <c r="AY26" s="19">
        <f t="shared" si="19"/>
        <v>3.2784990488441065E-2</v>
      </c>
      <c r="AZ26" s="24"/>
      <c r="BA26" s="23">
        <f t="shared" si="33"/>
        <v>0</v>
      </c>
      <c r="BB26"/>
      <c r="BC26"/>
      <c r="BD26"/>
    </row>
    <row r="27" spans="1:56" ht="14.4" x14ac:dyDescent="0.3">
      <c r="A27" t="s">
        <v>98</v>
      </c>
      <c r="B27">
        <v>1</v>
      </c>
      <c r="C27" s="2">
        <v>45056</v>
      </c>
      <c r="D27" s="11">
        <v>0.39930555555555558</v>
      </c>
      <c r="E27">
        <v>1007.5</v>
      </c>
      <c r="F27">
        <v>1073</v>
      </c>
      <c r="G27">
        <v>1070.5999999999999</v>
      </c>
      <c r="H27">
        <v>0</v>
      </c>
      <c r="I27">
        <v>4.7699999999999996</v>
      </c>
      <c r="J27">
        <v>15.79</v>
      </c>
      <c r="K27">
        <v>90.7</v>
      </c>
      <c r="L27">
        <v>0</v>
      </c>
      <c r="N27" t="s">
        <v>99</v>
      </c>
      <c r="P27" s="3">
        <f t="shared" si="5"/>
        <v>45056.399305555555</v>
      </c>
      <c r="Q27" s="4">
        <f t="shared" si="6"/>
        <v>22.786805555551837</v>
      </c>
      <c r="R27">
        <f t="shared" si="20"/>
        <v>111.26</v>
      </c>
      <c r="S27">
        <f t="shared" si="21"/>
        <v>0</v>
      </c>
      <c r="T27">
        <f t="shared" si="22"/>
        <v>4.2872550781952175</v>
      </c>
      <c r="U27">
        <f t="shared" si="23"/>
        <v>14.191982743124212</v>
      </c>
      <c r="V27">
        <f t="shared" si="24"/>
        <v>81.52076217868057</v>
      </c>
      <c r="W27">
        <f t="shared" si="25"/>
        <v>100</v>
      </c>
      <c r="X27" s="6">
        <f t="shared" si="26"/>
        <v>4.230552349691849E-2</v>
      </c>
      <c r="Y27" s="6">
        <f t="shared" si="7"/>
        <v>1.8137457044787089E-3</v>
      </c>
      <c r="Z27" s="6">
        <f t="shared" si="8"/>
        <v>0</v>
      </c>
      <c r="AA27" s="6">
        <f t="shared" si="9"/>
        <v>6.0039925940710307E-3</v>
      </c>
      <c r="AB27" s="6">
        <f t="shared" si="10"/>
        <v>3.4487785198368752E-2</v>
      </c>
      <c r="AC27" s="6">
        <f t="shared" si="27"/>
        <v>1.8137457044787089E-3</v>
      </c>
      <c r="AD27" s="6">
        <f t="shared" si="11"/>
        <v>4.2210897908481766E-2</v>
      </c>
      <c r="AE27" s="6">
        <f t="shared" si="12"/>
        <v>1.8096888641331835E-3</v>
      </c>
      <c r="AF27" s="6">
        <f t="shared" si="13"/>
        <v>0</v>
      </c>
      <c r="AG27" s="6">
        <f t="shared" si="14"/>
        <v>5.990563346889511E-3</v>
      </c>
      <c r="AH27" s="6">
        <f t="shared" si="15"/>
        <v>3.4410645697459073E-2</v>
      </c>
      <c r="AI27" s="6">
        <f t="shared" si="28"/>
        <v>1.8096888641331835E-3</v>
      </c>
      <c r="AJ27" s="22">
        <f t="shared" si="42"/>
        <v>1.5503864095274059E-3</v>
      </c>
      <c r="AK27" s="6">
        <f>(AA27-AG26)*-1</f>
        <v>3.2875081453512612E-3</v>
      </c>
      <c r="AL27" s="23">
        <f>Y27-AE26</f>
        <v>1.5503864095274059E-3</v>
      </c>
      <c r="AM27" s="6">
        <f>AK27+AM25</f>
        <v>3.7896375159587763E-2</v>
      </c>
      <c r="AN27" s="6">
        <f>AL27+AN25</f>
        <v>1.1044254869227849E-2</v>
      </c>
      <c r="AO27" s="6">
        <f>AJ27+AO25</f>
        <v>1.1146971109403474E-2</v>
      </c>
      <c r="AP27" s="19">
        <f>AO27*$D$4*1000/$D$6</f>
        <v>0.87081298021026965</v>
      </c>
      <c r="AQ27">
        <f t="shared" si="4"/>
        <v>4600.2246989034684</v>
      </c>
      <c r="AR27" s="6">
        <f t="shared" si="29"/>
        <v>24.059175175265143</v>
      </c>
      <c r="AS27" s="6">
        <f t="shared" si="30"/>
        <v>2.3577991671759843E-3</v>
      </c>
      <c r="AT27" s="6">
        <f t="shared" si="16"/>
        <v>4589.9352867157986</v>
      </c>
      <c r="AU27" s="6">
        <f t="shared" si="17"/>
        <v>24.005361549523627</v>
      </c>
      <c r="AV27" s="6">
        <f t="shared" si="18"/>
        <v>2.3525254318533155E-3</v>
      </c>
      <c r="AW27" s="6">
        <f t="shared" si="31"/>
        <v>2.0154422839751473E-3</v>
      </c>
      <c r="AX27" s="6">
        <f t="shared" si="32"/>
        <v>2.4351114323478283E-3</v>
      </c>
      <c r="AY27" s="19">
        <f t="shared" si="19"/>
        <v>0.19023343854888577</v>
      </c>
      <c r="AZ27" s="23">
        <f>AY27+AP27</f>
        <v>1.0610464187591555</v>
      </c>
      <c r="BA27" s="23">
        <f t="shared" si="33"/>
        <v>0.92194786343538271</v>
      </c>
    </row>
    <row r="28" spans="1:56" s="7" customFormat="1" ht="14.4" x14ac:dyDescent="0.3">
      <c r="A28" t="s">
        <v>98</v>
      </c>
      <c r="B28">
        <v>1</v>
      </c>
      <c r="C28" s="2">
        <v>45056</v>
      </c>
      <c r="D28" s="11">
        <v>0.44444444444444442</v>
      </c>
      <c r="E28">
        <v>1008</v>
      </c>
      <c r="F28">
        <v>1112.4000000000001</v>
      </c>
      <c r="G28">
        <v>1109.9000000000001</v>
      </c>
      <c r="H28">
        <v>0</v>
      </c>
      <c r="I28">
        <v>0.4</v>
      </c>
      <c r="J28">
        <v>20.239999999999998</v>
      </c>
      <c r="K28">
        <v>75.239999999999995</v>
      </c>
      <c r="L28">
        <v>1</v>
      </c>
      <c r="M28"/>
      <c r="N28" t="s">
        <v>99</v>
      </c>
      <c r="O28">
        <v>793.2</v>
      </c>
      <c r="P28" s="8">
        <f t="shared" si="5"/>
        <v>45056.444444444445</v>
      </c>
      <c r="Q28" s="9">
        <f t="shared" si="6"/>
        <v>22.831944444442343</v>
      </c>
      <c r="R28">
        <f t="shared" si="20"/>
        <v>95.88</v>
      </c>
      <c r="S28">
        <f t="shared" si="21"/>
        <v>0</v>
      </c>
      <c r="T28">
        <f t="shared" si="22"/>
        <v>0.41718815185648728</v>
      </c>
      <c r="U28">
        <f t="shared" si="23"/>
        <v>21.109720483938254</v>
      </c>
      <c r="V28">
        <f t="shared" si="24"/>
        <v>78.473091364205246</v>
      </c>
      <c r="W28">
        <f t="shared" si="25"/>
        <v>99.999999999999986</v>
      </c>
      <c r="X28" s="10">
        <f t="shared" si="26"/>
        <v>4.3858960240421373E-2</v>
      </c>
      <c r="Y28" s="10">
        <f t="shared" si="7"/>
        <v>1.8297438565048548E-4</v>
      </c>
      <c r="Z28" s="10">
        <f t="shared" si="8"/>
        <v>0</v>
      </c>
      <c r="AA28" s="10">
        <f t="shared" si="9"/>
        <v>9.2585039139145651E-3</v>
      </c>
      <c r="AB28" s="10">
        <f t="shared" si="10"/>
        <v>3.4417481940856316E-2</v>
      </c>
      <c r="AC28" s="10">
        <f t="shared" si="27"/>
        <v>1.8297438565048548E-4</v>
      </c>
      <c r="AD28" s="10">
        <f t="shared" si="11"/>
        <v>4.3760391919133119E-2</v>
      </c>
      <c r="AE28" s="10">
        <f t="shared" si="12"/>
        <v>1.8256317029258709E-4</v>
      </c>
      <c r="AF28" s="10">
        <f t="shared" si="13"/>
        <v>0</v>
      </c>
      <c r="AG28" s="10">
        <f t="shared" si="14"/>
        <v>9.2376964168049049E-3</v>
      </c>
      <c r="AH28" s="10">
        <f t="shared" si="15"/>
        <v>3.4340132332035617E-2</v>
      </c>
      <c r="AI28" s="10">
        <f t="shared" si="28"/>
        <v>1.8256317029258709E-4</v>
      </c>
      <c r="AJ28" s="22"/>
      <c r="AK28" s="6"/>
      <c r="AL28" s="23"/>
      <c r="AM28" s="6"/>
      <c r="AN28" s="6"/>
      <c r="AO28" s="6"/>
      <c r="AP28" s="19"/>
      <c r="AQ28" s="7">
        <f t="shared" si="4"/>
        <v>464.08010012515655</v>
      </c>
      <c r="AR28" s="10">
        <f t="shared" si="29"/>
        <v>2.4271389236545691</v>
      </c>
      <c r="AS28" s="6">
        <f t="shared" si="30"/>
        <v>2.3785961451814778E-4</v>
      </c>
      <c r="AT28" s="6">
        <f t="shared" si="16"/>
        <v>463.03712974551524</v>
      </c>
      <c r="AU28" s="6">
        <f t="shared" si="17"/>
        <v>2.4216841885690448</v>
      </c>
      <c r="AV28" s="6">
        <f t="shared" si="18"/>
        <v>2.373250504797664E-4</v>
      </c>
      <c r="AW28" s="6">
        <f t="shared" si="31"/>
        <v>-2.1146658173351678E-3</v>
      </c>
      <c r="AX28" s="6">
        <f t="shared" si="32"/>
        <v>3.2044561501266052E-4</v>
      </c>
      <c r="AY28" s="19">
        <f t="shared" si="19"/>
        <v>2.5033544831661522E-2</v>
      </c>
      <c r="AZ28" s="23"/>
      <c r="BA28" s="23">
        <f t="shared" si="33"/>
        <v>0</v>
      </c>
      <c r="BB28"/>
      <c r="BC28"/>
      <c r="BD28"/>
    </row>
    <row r="29" spans="1:56" ht="15" customHeight="1" x14ac:dyDescent="0.3">
      <c r="A29" t="s">
        <v>98</v>
      </c>
      <c r="B29">
        <v>1</v>
      </c>
      <c r="C29" s="2">
        <v>45058</v>
      </c>
      <c r="D29" s="11">
        <v>0.38125000000000003</v>
      </c>
      <c r="E29">
        <v>1014.4</v>
      </c>
      <c r="F29">
        <v>1068.8</v>
      </c>
      <c r="G29">
        <v>1066.2</v>
      </c>
      <c r="H29">
        <v>0</v>
      </c>
      <c r="I29">
        <v>3.7</v>
      </c>
      <c r="J29">
        <v>15.45</v>
      </c>
      <c r="K29">
        <v>83.9</v>
      </c>
      <c r="L29">
        <v>0</v>
      </c>
      <c r="N29" t="s">
        <v>99</v>
      </c>
      <c r="P29" s="3">
        <f t="shared" ref="P29:P34" si="43">C29+D29</f>
        <v>45058.381249999999</v>
      </c>
      <c r="Q29" s="4">
        <f t="shared" ref="Q29:Q34" si="44">P29-$P$13</f>
        <v>24.768749999995634</v>
      </c>
      <c r="R29">
        <f t="shared" si="20"/>
        <v>103.05000000000001</v>
      </c>
      <c r="S29">
        <f t="shared" si="21"/>
        <v>0</v>
      </c>
      <c r="T29">
        <f t="shared" si="22"/>
        <v>3.5904900533721489</v>
      </c>
      <c r="U29">
        <f t="shared" si="23"/>
        <v>14.992721979621541</v>
      </c>
      <c r="V29">
        <f t="shared" si="24"/>
        <v>81.4167879670063</v>
      </c>
      <c r="W29">
        <f t="shared" si="25"/>
        <v>99.999999999999986</v>
      </c>
      <c r="X29" s="6">
        <f t="shared" ref="X29:X34" si="45">F29*100*$D$3/($D$1*$D$2)</f>
        <v>4.2139928717154225E-2</v>
      </c>
      <c r="Y29" s="6">
        <f t="shared" ref="Y29:Y34" si="46">X29*T29/100</f>
        <v>1.5130299490875361E-3</v>
      </c>
      <c r="Z29" s="6">
        <f t="shared" ref="Z29:Z34" si="47">X29*S29/100</f>
        <v>0</v>
      </c>
      <c r="AA29" s="6">
        <f t="shared" ref="AA29:AA34" si="48">X29*U29/100</f>
        <v>6.3179223549736305E-3</v>
      </c>
      <c r="AB29" s="6">
        <f t="shared" ref="AB29:AB34" si="49">X29*V29/100</f>
        <v>3.4308976413093058E-2</v>
      </c>
      <c r="AC29" s="6">
        <f>Y29+Z29</f>
        <v>1.5130299490875361E-3</v>
      </c>
      <c r="AD29" s="6">
        <f t="shared" si="11"/>
        <v>4.2037417663014436E-2</v>
      </c>
      <c r="AE29" s="6">
        <f t="shared" si="12"/>
        <v>1.5093492998850403E-3</v>
      </c>
      <c r="AF29" s="6">
        <f t="shared" si="13"/>
        <v>0</v>
      </c>
      <c r="AG29" s="6">
        <f t="shared" si="14"/>
        <v>6.3025531576280736E-3</v>
      </c>
      <c r="AH29" s="6">
        <f t="shared" si="15"/>
        <v>3.4225515205501315E-2</v>
      </c>
      <c r="AI29" s="6">
        <f>AE29+AF29</f>
        <v>1.5093492998850403E-3</v>
      </c>
      <c r="AJ29" s="22">
        <f t="shared" ref="AJ29:AJ33" si="50">AC29-AI28</f>
        <v>1.3304667787949491E-3</v>
      </c>
      <c r="AK29" s="6">
        <f t="shared" ref="AK29:AK33" si="51">(AA29-AG28)*-1</f>
        <v>2.9197740618312745E-3</v>
      </c>
      <c r="AL29" s="23">
        <f t="shared" ref="AL29:AL33" si="52">Y29-AE28</f>
        <v>1.3304667787949491E-3</v>
      </c>
      <c r="AM29" s="6">
        <f>AK29+AM27</f>
        <v>4.0816149221419039E-2</v>
      </c>
      <c r="AN29" s="6">
        <f>AL29+AN27</f>
        <v>1.2374721648022799E-2</v>
      </c>
      <c r="AO29" s="6">
        <f>AJ29+AO27</f>
        <v>1.2477437888198424E-2</v>
      </c>
      <c r="AP29" s="19">
        <f t="shared" ref="AP29:AP35" si="53">AO29*$D$4*1000/$D$6</f>
        <v>0.9747504291676653</v>
      </c>
      <c r="AQ29">
        <f t="shared" si="4"/>
        <v>3837.5157690441529</v>
      </c>
      <c r="AR29" s="6">
        <f t="shared" si="29"/>
        <v>20.070207472100922</v>
      </c>
      <c r="AS29" s="6">
        <f t="shared" si="30"/>
        <v>1.9668803322658904E-3</v>
      </c>
      <c r="AT29" s="6">
        <f t="shared" si="16"/>
        <v>3828.1804949053853</v>
      </c>
      <c r="AU29" s="6">
        <f t="shared" si="17"/>
        <v>20.021383988355165</v>
      </c>
      <c r="AV29" s="6">
        <f t="shared" si="18"/>
        <v>1.9620956308588062E-3</v>
      </c>
      <c r="AW29" s="6">
        <f t="shared" si="31"/>
        <v>1.729555281786124E-3</v>
      </c>
      <c r="AX29" s="6">
        <f t="shared" si="32"/>
        <v>2.0500008967987843E-3</v>
      </c>
      <c r="AY29" s="19">
        <f t="shared" si="19"/>
        <v>0.16014820284849626</v>
      </c>
      <c r="AZ29" s="23">
        <f t="shared" ref="AZ29:AZ35" si="54">AY29+AP29</f>
        <v>1.1348986320161616</v>
      </c>
      <c r="BA29" s="23">
        <f t="shared" si="33"/>
        <v>0.95416765109099677</v>
      </c>
    </row>
    <row r="30" spans="1:56" ht="15" customHeight="1" x14ac:dyDescent="0.3">
      <c r="A30" t="s">
        <v>98</v>
      </c>
      <c r="B30">
        <v>1</v>
      </c>
      <c r="C30" s="2">
        <v>45058</v>
      </c>
      <c r="D30" s="11">
        <v>0.4236111111111111</v>
      </c>
      <c r="E30">
        <v>1014.9</v>
      </c>
      <c r="F30">
        <v>1118.5999999999999</v>
      </c>
      <c r="G30">
        <v>1115.3</v>
      </c>
      <c r="H30">
        <v>0</v>
      </c>
      <c r="I30">
        <v>0.41</v>
      </c>
      <c r="J30">
        <v>20.260000000000002</v>
      </c>
      <c r="K30">
        <v>75.22</v>
      </c>
      <c r="L30">
        <v>1</v>
      </c>
      <c r="N30" t="s">
        <v>99</v>
      </c>
      <c r="O30">
        <v>793.12</v>
      </c>
      <c r="P30" s="8">
        <f t="shared" si="43"/>
        <v>45058.423611111109</v>
      </c>
      <c r="Q30" s="9">
        <f t="shared" si="44"/>
        <v>24.811111111106584</v>
      </c>
      <c r="R30">
        <f t="shared" si="20"/>
        <v>95.89</v>
      </c>
      <c r="S30">
        <f t="shared" si="21"/>
        <v>0</v>
      </c>
      <c r="T30">
        <f t="shared" si="22"/>
        <v>0.42757326102826154</v>
      </c>
      <c r="U30">
        <f t="shared" si="23"/>
        <v>21.128376264469708</v>
      </c>
      <c r="V30">
        <f t="shared" si="24"/>
        <v>78.444050474502035</v>
      </c>
      <c r="W30">
        <f t="shared" si="25"/>
        <v>100</v>
      </c>
      <c r="X30" s="6">
        <f t="shared" si="45"/>
        <v>4.4103409677216231E-2</v>
      </c>
      <c r="Y30" s="6">
        <f t="shared" si="46"/>
        <v>1.8857438698152731E-4</v>
      </c>
      <c r="Z30" s="6">
        <f t="shared" si="47"/>
        <v>0</v>
      </c>
      <c r="AA30" s="6">
        <f t="shared" si="48"/>
        <v>9.3183343420627906E-3</v>
      </c>
      <c r="AB30" s="6">
        <f t="shared" si="49"/>
        <v>3.4596500948171911E-2</v>
      </c>
      <c r="AC30" s="6">
        <f t="shared" ref="AC30:AC34" si="55">Y30+Z30</f>
        <v>1.8857438698152731E-4</v>
      </c>
      <c r="AD30" s="6">
        <f t="shared" si="11"/>
        <v>4.3973299493115743E-2</v>
      </c>
      <c r="AE30" s="6">
        <f t="shared" si="12"/>
        <v>1.8801807062443897E-4</v>
      </c>
      <c r="AF30" s="6">
        <f t="shared" si="13"/>
        <v>0</v>
      </c>
      <c r="AG30" s="6">
        <f t="shared" si="14"/>
        <v>9.2908441728076444E-3</v>
      </c>
      <c r="AH30" s="6">
        <f t="shared" si="15"/>
        <v>3.4494437249683665E-2</v>
      </c>
      <c r="AI30" s="6">
        <f t="shared" ref="AI30:AI34" si="56">AE30+AF30</f>
        <v>1.8801807062443897E-4</v>
      </c>
      <c r="AJ30" s="22"/>
      <c r="AK30" s="6"/>
      <c r="AL30" s="23"/>
      <c r="AM30" s="6"/>
      <c r="AN30" s="6"/>
      <c r="AO30" s="6"/>
      <c r="AP30" s="19"/>
      <c r="AQ30">
        <f t="shared" si="4"/>
        <v>478.28344978621334</v>
      </c>
      <c r="AR30" s="6">
        <f t="shared" si="29"/>
        <v>2.5014224423818958</v>
      </c>
      <c r="AS30" s="6">
        <f t="shared" si="30"/>
        <v>2.4513939935342577E-4</v>
      </c>
      <c r="AT30" s="6">
        <f t="shared" si="16"/>
        <v>476.87245802482011</v>
      </c>
      <c r="AU30" s="6">
        <f t="shared" si="17"/>
        <v>2.4940429554698094</v>
      </c>
      <c r="AV30" s="6">
        <f t="shared" si="18"/>
        <v>2.4441620963604134E-4</v>
      </c>
      <c r="AW30" s="6">
        <f t="shared" si="31"/>
        <v>-1.7169562315053804E-3</v>
      </c>
      <c r="AX30" s="6">
        <f t="shared" si="32"/>
        <v>3.3304466529340392E-4</v>
      </c>
      <c r="AY30" s="19">
        <f t="shared" si="19"/>
        <v>2.6017795747458536E-2</v>
      </c>
      <c r="AZ30" s="23"/>
      <c r="BA30" s="23">
        <f t="shared" si="33"/>
        <v>0</v>
      </c>
    </row>
    <row r="31" spans="1:56" ht="15" customHeight="1" x14ac:dyDescent="0.3">
      <c r="A31" t="s">
        <v>98</v>
      </c>
      <c r="B31">
        <v>1</v>
      </c>
      <c r="C31" s="2">
        <v>45061</v>
      </c>
      <c r="D31" s="11">
        <v>0.39583333333333331</v>
      </c>
      <c r="E31">
        <v>1012.5</v>
      </c>
      <c r="F31">
        <v>1068.2</v>
      </c>
      <c r="G31">
        <v>1061.9000000000001</v>
      </c>
      <c r="H31">
        <v>0</v>
      </c>
      <c r="I31">
        <v>4.43</v>
      </c>
      <c r="J31">
        <v>15.52</v>
      </c>
      <c r="K31">
        <v>90.13</v>
      </c>
      <c r="L31">
        <v>0</v>
      </c>
      <c r="N31" t="s">
        <v>99</v>
      </c>
      <c r="P31" s="3">
        <f t="shared" si="43"/>
        <v>45061.395833333336</v>
      </c>
      <c r="Q31" s="4">
        <f t="shared" si="44"/>
        <v>27.783333333332848</v>
      </c>
      <c r="R31">
        <f t="shared" si="20"/>
        <v>110.08</v>
      </c>
      <c r="S31">
        <f t="shared" si="21"/>
        <v>0</v>
      </c>
      <c r="T31">
        <f t="shared" si="22"/>
        <v>4.0243459302325579</v>
      </c>
      <c r="U31">
        <f t="shared" si="23"/>
        <v>14.098837209302326</v>
      </c>
      <c r="V31">
        <f t="shared" si="24"/>
        <v>81.876816860465112</v>
      </c>
      <c r="W31">
        <f t="shared" si="25"/>
        <v>100</v>
      </c>
      <c r="X31" s="10">
        <f t="shared" si="45"/>
        <v>4.2116272320045042E-2</v>
      </c>
      <c r="Y31" s="10">
        <f t="shared" si="46"/>
        <v>1.6949044910773939E-3</v>
      </c>
      <c r="Z31" s="10">
        <f t="shared" si="47"/>
        <v>0</v>
      </c>
      <c r="AA31" s="10">
        <f t="shared" si="48"/>
        <v>5.9379046730296068E-3</v>
      </c>
      <c r="AB31" s="10">
        <f t="shared" si="49"/>
        <v>3.4483463155938039E-2</v>
      </c>
      <c r="AC31" s="10">
        <f t="shared" si="55"/>
        <v>1.6949044910773939E-3</v>
      </c>
      <c r="AD31" s="10">
        <f t="shared" si="11"/>
        <v>4.1867880150398648E-2</v>
      </c>
      <c r="AE31" s="10">
        <f t="shared" si="12"/>
        <v>1.684908330907213E-3</v>
      </c>
      <c r="AF31" s="10">
        <f t="shared" si="13"/>
        <v>0</v>
      </c>
      <c r="AG31" s="10">
        <f t="shared" si="14"/>
        <v>5.9028842653905079E-3</v>
      </c>
      <c r="AH31" s="10">
        <f t="shared" si="15"/>
        <v>3.4280087554100926E-2</v>
      </c>
      <c r="AI31" s="10">
        <f t="shared" si="56"/>
        <v>1.684908330907213E-3</v>
      </c>
      <c r="AJ31" s="22">
        <f t="shared" si="50"/>
        <v>1.506886420452955E-3</v>
      </c>
      <c r="AK31" s="6">
        <f t="shared" si="51"/>
        <v>3.3529394997780376E-3</v>
      </c>
      <c r="AL31" s="23">
        <f t="shared" si="52"/>
        <v>1.506886420452955E-3</v>
      </c>
      <c r="AM31" s="6">
        <f>AK31+AM29</f>
        <v>4.4169088721197076E-2</v>
      </c>
      <c r="AN31" s="6">
        <f>AL31+AN29</f>
        <v>1.3881608068475753E-2</v>
      </c>
      <c r="AO31" s="6">
        <f>AJ31+AO29</f>
        <v>1.3984324308651378E-2</v>
      </c>
      <c r="AP31" s="19">
        <f t="shared" si="53"/>
        <v>1.0924699640757671</v>
      </c>
      <c r="AQ31" s="7">
        <f t="shared" si="4"/>
        <v>4298.806322674418</v>
      </c>
      <c r="AR31" s="10">
        <f t="shared" si="29"/>
        <v>22.482757067587208</v>
      </c>
      <c r="AS31" s="6">
        <f t="shared" si="30"/>
        <v>2.2033101926235464E-3</v>
      </c>
      <c r="AT31" s="6">
        <f t="shared" si="16"/>
        <v>4273.4529433139533</v>
      </c>
      <c r="AU31" s="6">
        <f t="shared" si="17"/>
        <v>22.350158893531976</v>
      </c>
      <c r="AV31" s="6">
        <f t="shared" si="18"/>
        <v>2.1903155715661334E-3</v>
      </c>
      <c r="AW31" s="6">
        <f t="shared" si="31"/>
        <v>1.9588939829875049E-3</v>
      </c>
      <c r="AX31" s="6">
        <f t="shared" si="32"/>
        <v>2.2919386482809089E-3</v>
      </c>
      <c r="AY31" s="19">
        <f t="shared" si="19"/>
        <v>0.17904863170273369</v>
      </c>
      <c r="AZ31" s="23">
        <f t="shared" si="54"/>
        <v>1.2715185957785009</v>
      </c>
      <c r="BA31" s="23">
        <f t="shared" si="33"/>
        <v>0.96744141563314123</v>
      </c>
    </row>
    <row r="32" spans="1:56" ht="15" customHeight="1" x14ac:dyDescent="0.3">
      <c r="A32" t="s">
        <v>98</v>
      </c>
      <c r="B32">
        <v>1</v>
      </c>
      <c r="C32" s="2">
        <v>45061</v>
      </c>
      <c r="D32" s="11">
        <v>0.44305555555555554</v>
      </c>
      <c r="E32">
        <v>1012.8</v>
      </c>
      <c r="F32">
        <v>1117.0999999999999</v>
      </c>
      <c r="G32">
        <v>1113.5</v>
      </c>
      <c r="H32">
        <v>0</v>
      </c>
      <c r="I32">
        <v>0.42</v>
      </c>
      <c r="J32">
        <v>20.54</v>
      </c>
      <c r="K32">
        <v>76.23</v>
      </c>
      <c r="L32">
        <v>1</v>
      </c>
      <c r="N32" t="s">
        <v>99</v>
      </c>
      <c r="O32">
        <v>793.04</v>
      </c>
      <c r="P32" s="8">
        <f t="shared" si="43"/>
        <v>45061.443055555559</v>
      </c>
      <c r="Q32" s="9">
        <f t="shared" si="44"/>
        <v>27.830555555556202</v>
      </c>
      <c r="R32">
        <f t="shared" ref="R32:R34" si="57">SUM(H32:K32)</f>
        <v>97.19</v>
      </c>
      <c r="S32">
        <f t="shared" ref="S32:S34" si="58">H32 * 100/R32</f>
        <v>0</v>
      </c>
      <c r="T32">
        <f t="shared" ref="T32:T34" si="59">I32* 100/R32</f>
        <v>0.43214322461158555</v>
      </c>
      <c r="U32">
        <f t="shared" ref="U32:U34" si="60">J32* 100/R32</f>
        <v>21.133861508385635</v>
      </c>
      <c r="V32">
        <f t="shared" ref="V32:V34" si="61">K32* 100/R32</f>
        <v>78.433995267002786</v>
      </c>
      <c r="W32">
        <f t="shared" ref="W32:W34" si="62">SUM(S32:V32)</f>
        <v>100</v>
      </c>
      <c r="X32" s="6">
        <f t="shared" si="45"/>
        <v>4.4044268684443277E-2</v>
      </c>
      <c r="Y32" s="6">
        <f t="shared" si="46"/>
        <v>1.9033432294954394E-4</v>
      </c>
      <c r="Z32" s="6">
        <f t="shared" si="47"/>
        <v>0</v>
      </c>
      <c r="AA32" s="6">
        <f t="shared" si="48"/>
        <v>9.3082547461515071E-3</v>
      </c>
      <c r="AB32" s="6">
        <f t="shared" si="49"/>
        <v>3.4545679615342231E-2</v>
      </c>
      <c r="AC32" s="6">
        <f t="shared" si="55"/>
        <v>1.9033432294954394E-4</v>
      </c>
      <c r="AD32" s="6">
        <f t="shared" si="11"/>
        <v>4.3902330301788195E-2</v>
      </c>
      <c r="AE32" s="6">
        <f t="shared" si="12"/>
        <v>1.8972094584577672E-4</v>
      </c>
      <c r="AF32" s="6">
        <f t="shared" si="13"/>
        <v>0</v>
      </c>
      <c r="AG32" s="6">
        <f t="shared" si="14"/>
        <v>9.2782576849339375E-3</v>
      </c>
      <c r="AH32" s="6">
        <f t="shared" si="15"/>
        <v>3.443435167100848E-2</v>
      </c>
      <c r="AI32" s="6">
        <f t="shared" si="56"/>
        <v>1.8972094584577672E-4</v>
      </c>
      <c r="AJ32" s="22"/>
      <c r="AK32" s="6"/>
      <c r="AL32" s="23"/>
      <c r="AM32" s="6"/>
      <c r="AN32" s="6"/>
      <c r="AO32" s="6"/>
      <c r="AP32" s="19"/>
      <c r="AQ32">
        <f t="shared" si="4"/>
        <v>482.74719621360214</v>
      </c>
      <c r="AR32" s="6">
        <f t="shared" si="29"/>
        <v>2.5247678361971393</v>
      </c>
      <c r="AS32" s="6">
        <f t="shared" si="30"/>
        <v>2.4742724794731967E-4</v>
      </c>
      <c r="AT32" s="6">
        <f t="shared" si="16"/>
        <v>481.19148060500055</v>
      </c>
      <c r="AU32" s="6">
        <f t="shared" si="17"/>
        <v>2.5166314435641528</v>
      </c>
      <c r="AV32" s="6">
        <f t="shared" si="18"/>
        <v>2.4662988146928699E-4</v>
      </c>
      <c r="AW32" s="6">
        <f t="shared" si="31"/>
        <v>-1.9428883236188136E-3</v>
      </c>
      <c r="AX32" s="6">
        <f t="shared" si="32"/>
        <v>3.4905032466209522E-4</v>
      </c>
      <c r="AY32" s="19">
        <f t="shared" si="19"/>
        <v>2.7268174509391684E-2</v>
      </c>
      <c r="AZ32" s="23"/>
      <c r="BA32" s="23">
        <f t="shared" si="33"/>
        <v>0</v>
      </c>
    </row>
    <row r="33" spans="1:53" ht="15" customHeight="1" x14ac:dyDescent="0.3">
      <c r="A33" t="s">
        <v>98</v>
      </c>
      <c r="B33">
        <v>1</v>
      </c>
      <c r="C33" s="2">
        <v>45063</v>
      </c>
      <c r="D33" s="11">
        <v>0.36944444444444446</v>
      </c>
      <c r="E33">
        <v>1025</v>
      </c>
      <c r="F33">
        <v>1088.5999999999999</v>
      </c>
      <c r="G33">
        <v>1086.7</v>
      </c>
      <c r="H33">
        <v>0</v>
      </c>
      <c r="I33">
        <v>3.02</v>
      </c>
      <c r="J33">
        <v>18.61</v>
      </c>
      <c r="K33">
        <v>87.7</v>
      </c>
      <c r="L33">
        <v>0</v>
      </c>
      <c r="N33" t="s">
        <v>99</v>
      </c>
      <c r="P33" s="3">
        <f t="shared" si="43"/>
        <v>45063.369444444441</v>
      </c>
      <c r="Q33" s="4">
        <f t="shared" si="44"/>
        <v>29.756944444437977</v>
      </c>
      <c r="R33">
        <f t="shared" si="57"/>
        <v>109.33</v>
      </c>
      <c r="S33">
        <f t="shared" si="58"/>
        <v>0</v>
      </c>
      <c r="T33">
        <f t="shared" si="59"/>
        <v>2.7622793377846886</v>
      </c>
      <c r="U33">
        <f t="shared" si="60"/>
        <v>17.021860422573859</v>
      </c>
      <c r="V33">
        <f t="shared" si="61"/>
        <v>80.215860239641458</v>
      </c>
      <c r="W33">
        <f t="shared" si="62"/>
        <v>100</v>
      </c>
      <c r="X33" s="10">
        <f t="shared" si="45"/>
        <v>4.2920589821757185E-2</v>
      </c>
      <c r="Y33" s="10">
        <f t="shared" si="46"/>
        <v>1.1855865843017168E-3</v>
      </c>
      <c r="Z33" s="10">
        <f t="shared" si="47"/>
        <v>0</v>
      </c>
      <c r="AA33" s="10">
        <f t="shared" si="48"/>
        <v>7.3058828920049505E-3</v>
      </c>
      <c r="AB33" s="10">
        <f t="shared" si="49"/>
        <v>3.4429120345450516E-2</v>
      </c>
      <c r="AC33" s="10">
        <f t="shared" si="55"/>
        <v>1.1855865843017168E-3</v>
      </c>
      <c r="AD33" s="10">
        <f t="shared" si="11"/>
        <v>4.2845677897578122E-2</v>
      </c>
      <c r="AE33" s="10">
        <f t="shared" si="12"/>
        <v>1.1835173076985817E-3</v>
      </c>
      <c r="AF33" s="10">
        <f t="shared" si="13"/>
        <v>0</v>
      </c>
      <c r="AG33" s="10">
        <f t="shared" si="14"/>
        <v>7.2931314888313257E-3</v>
      </c>
      <c r="AH33" s="10">
        <f t="shared" si="15"/>
        <v>3.4369029101048214E-2</v>
      </c>
      <c r="AI33" s="10">
        <f t="shared" si="56"/>
        <v>1.1835173076985817E-3</v>
      </c>
      <c r="AJ33" s="22">
        <f t="shared" si="50"/>
        <v>9.958656384559401E-4</v>
      </c>
      <c r="AK33" s="6">
        <f t="shared" si="51"/>
        <v>1.9723747929289871E-3</v>
      </c>
      <c r="AL33" s="23">
        <f t="shared" si="52"/>
        <v>9.958656384559401E-4</v>
      </c>
      <c r="AM33" s="6">
        <f>AK33+AM31</f>
        <v>4.6141463514126062E-2</v>
      </c>
      <c r="AN33" s="6">
        <f>AL33+AN31</f>
        <v>1.4877473706931692E-2</v>
      </c>
      <c r="AO33" s="6">
        <f>AJ33+AO31</f>
        <v>1.4980189947107318E-2</v>
      </c>
      <c r="AP33" s="19">
        <f t="shared" si="53"/>
        <v>1.1702680238358081</v>
      </c>
      <c r="AQ33" s="7">
        <f t="shared" si="4"/>
        <v>3007.0172871124114</v>
      </c>
      <c r="AR33" s="10">
        <f t="shared" si="29"/>
        <v>15.726700411597912</v>
      </c>
      <c r="AS33" s="6">
        <f t="shared" si="30"/>
        <v>1.5412166403365954E-3</v>
      </c>
      <c r="AT33" s="6">
        <f t="shared" si="16"/>
        <v>3001.7689563706208</v>
      </c>
      <c r="AU33" s="6">
        <f t="shared" si="17"/>
        <v>15.699251641818348</v>
      </c>
      <c r="AV33" s="6">
        <f t="shared" si="18"/>
        <v>1.5385266608981983E-3</v>
      </c>
      <c r="AW33" s="6">
        <f t="shared" si="31"/>
        <v>1.2945867588673083E-3</v>
      </c>
      <c r="AX33" s="6">
        <f t="shared" si="32"/>
        <v>1.6436370835294035E-3</v>
      </c>
      <c r="AY33" s="19">
        <f t="shared" si="19"/>
        <v>0.12840263898099863</v>
      </c>
      <c r="AZ33" s="23">
        <f t="shared" si="54"/>
        <v>1.2986706628168068</v>
      </c>
      <c r="BA33" s="23">
        <f t="shared" ref="BA33:BA35" si="63">AK33/(AL33+AW33)</f>
        <v>0.8611289172540828</v>
      </c>
    </row>
    <row r="34" spans="1:53" ht="15" customHeight="1" x14ac:dyDescent="0.3">
      <c r="A34" t="s">
        <v>98</v>
      </c>
      <c r="B34">
        <v>1</v>
      </c>
      <c r="C34" s="2">
        <v>45063</v>
      </c>
      <c r="D34" s="11">
        <v>0.4145833333333333</v>
      </c>
      <c r="E34">
        <v>1025.5999999999999</v>
      </c>
      <c r="F34">
        <v>1129</v>
      </c>
      <c r="G34">
        <v>1125.8</v>
      </c>
      <c r="H34">
        <v>0</v>
      </c>
      <c r="I34">
        <v>0.28999999999999998</v>
      </c>
      <c r="J34">
        <v>20.55</v>
      </c>
      <c r="K34">
        <v>76.209999999999994</v>
      </c>
      <c r="L34">
        <v>1</v>
      </c>
      <c r="N34" t="s">
        <v>100</v>
      </c>
      <c r="O34">
        <v>792.91</v>
      </c>
      <c r="P34" s="8">
        <f t="shared" si="43"/>
        <v>45063.414583333331</v>
      </c>
      <c r="Q34" s="9">
        <f t="shared" si="44"/>
        <v>29.802083333328483</v>
      </c>
      <c r="R34">
        <f t="shared" si="57"/>
        <v>97.05</v>
      </c>
      <c r="S34">
        <f t="shared" si="58"/>
        <v>0</v>
      </c>
      <c r="T34">
        <f t="shared" si="59"/>
        <v>0.29881504379185986</v>
      </c>
      <c r="U34">
        <f t="shared" si="60"/>
        <v>21.174652241112828</v>
      </c>
      <c r="V34">
        <f t="shared" si="61"/>
        <v>78.5265327150953</v>
      </c>
      <c r="W34">
        <f t="shared" si="62"/>
        <v>99.999999999999986</v>
      </c>
      <c r="X34" s="6">
        <f t="shared" si="45"/>
        <v>4.4513453893775375E-2</v>
      </c>
      <c r="Y34" s="6">
        <f t="shared" si="46"/>
        <v>1.3301289674595425E-4</v>
      </c>
      <c r="Z34" s="6">
        <f t="shared" si="47"/>
        <v>0</v>
      </c>
      <c r="AA34" s="6">
        <f t="shared" si="48"/>
        <v>9.425569062515033E-3</v>
      </c>
      <c r="AB34" s="6">
        <f t="shared" si="49"/>
        <v>3.4954871934514381E-2</v>
      </c>
      <c r="AC34" s="6">
        <f t="shared" si="55"/>
        <v>1.3301289674595425E-4</v>
      </c>
      <c r="AD34" s="6">
        <f t="shared" si="11"/>
        <v>4.4387286442526409E-2</v>
      </c>
      <c r="AE34" s="6">
        <f t="shared" si="12"/>
        <v>1.3263588942125356E-4</v>
      </c>
      <c r="AF34" s="6">
        <f t="shared" si="13"/>
        <v>0</v>
      </c>
      <c r="AG34" s="6">
        <f t="shared" si="14"/>
        <v>9.3988535434715876E-3</v>
      </c>
      <c r="AH34" s="6">
        <f t="shared" si="15"/>
        <v>3.4855797009633566E-2</v>
      </c>
      <c r="AI34" s="6">
        <f t="shared" si="56"/>
        <v>1.3263588942125356E-4</v>
      </c>
      <c r="AJ34" s="22"/>
      <c r="AK34" s="6"/>
      <c r="AL34" s="23"/>
      <c r="AM34" s="6"/>
      <c r="AN34" s="6"/>
      <c r="AO34" s="6"/>
      <c r="AP34" s="19"/>
      <c r="AQ34">
        <f t="shared" si="4"/>
        <v>337.36218444100979</v>
      </c>
      <c r="AR34" s="10">
        <f t="shared" si="29"/>
        <v>1.7644042246264813</v>
      </c>
      <c r="AS34" s="6">
        <f t="shared" si="30"/>
        <v>1.7291161401339515E-4</v>
      </c>
      <c r="AT34" s="6">
        <f t="shared" si="16"/>
        <v>336.40597630087586</v>
      </c>
      <c r="AU34" s="6">
        <f t="shared" si="17"/>
        <v>1.7594032560535808</v>
      </c>
      <c r="AV34" s="6">
        <f t="shared" si="18"/>
        <v>1.7242151909325094E-4</v>
      </c>
      <c r="AW34" s="6">
        <f t="shared" si="31"/>
        <v>-1.365615046884803E-3</v>
      </c>
      <c r="AX34" s="6">
        <f t="shared" si="32"/>
        <v>2.780220366446005E-4</v>
      </c>
      <c r="AY34" s="19">
        <f t="shared" si="19"/>
        <v>2.1719370752685978E-2</v>
      </c>
      <c r="AZ34" s="23"/>
      <c r="BA34" s="23">
        <f>AK34/(AL34+AW34)</f>
        <v>0</v>
      </c>
    </row>
    <row r="35" spans="1:53" ht="15" customHeight="1" x14ac:dyDescent="0.3">
      <c r="A35" t="s">
        <v>98</v>
      </c>
      <c r="B35">
        <v>1</v>
      </c>
      <c r="C35" s="2">
        <v>45068</v>
      </c>
      <c r="D35" s="11">
        <v>0.59097222222222223</v>
      </c>
      <c r="E35">
        <v>1013.1</v>
      </c>
      <c r="F35">
        <v>1074.8</v>
      </c>
      <c r="G35">
        <v>1072.5</v>
      </c>
      <c r="H35">
        <v>0</v>
      </c>
      <c r="I35">
        <v>7.08</v>
      </c>
      <c r="J35">
        <v>12.54</v>
      </c>
      <c r="K35">
        <v>92.29</v>
      </c>
      <c r="L35">
        <v>0</v>
      </c>
      <c r="M35" t="s">
        <v>101</v>
      </c>
      <c r="N35" t="s">
        <v>99</v>
      </c>
      <c r="P35" s="8">
        <f t="shared" ref="P35:P36" si="64">C35+D35</f>
        <v>45068.59097222222</v>
      </c>
      <c r="Q35" s="9">
        <f t="shared" ref="Q35:Q36" si="65">P35-$P$13</f>
        <v>34.978472222217533</v>
      </c>
      <c r="R35">
        <f t="shared" ref="R35:R36" si="66">SUM(H35:K35)</f>
        <v>111.91</v>
      </c>
      <c r="S35">
        <f t="shared" ref="S35:S36" si="67">H35 * 100/R35</f>
        <v>0</v>
      </c>
      <c r="T35">
        <f t="shared" ref="T35:T36" si="68">I35* 100/R35</f>
        <v>6.3265123760164421</v>
      </c>
      <c r="U35">
        <f t="shared" ref="U35:U36" si="69">J35* 100/R35</f>
        <v>11.205432937181664</v>
      </c>
      <c r="V35">
        <f t="shared" ref="V35:V36" si="70">K35* 100/R35</f>
        <v>82.468054686801892</v>
      </c>
      <c r="W35">
        <f t="shared" ref="W35:W36" si="71">SUM(S35:V35)</f>
        <v>100</v>
      </c>
      <c r="X35" s="6">
        <f t="shared" ref="X35:X36" si="72">F35*100*$D$3/($D$1*$D$2)</f>
        <v>4.2376492688246031E-2</v>
      </c>
      <c r="Y35" s="6">
        <f t="shared" ref="Y35:Y36" si="73">X35*T35/100</f>
        <v>2.6809540544435878E-3</v>
      </c>
      <c r="Z35" s="6">
        <f t="shared" ref="Z35:Z36" si="74">X35*S35/100</f>
        <v>0</v>
      </c>
      <c r="AA35" s="6">
        <f t="shared" ref="AA35:AA36" si="75">X35*U35/100</f>
        <v>4.7484694693111004E-3</v>
      </c>
      <c r="AB35" s="6">
        <f t="shared" ref="AB35:AB36" si="76">X35*V35/100</f>
        <v>3.4947069164491341E-2</v>
      </c>
      <c r="AC35" s="6">
        <f t="shared" ref="AC35:AC36" si="77">Y35+Z35</f>
        <v>2.6809540544435878E-3</v>
      </c>
      <c r="AD35" s="6">
        <f t="shared" si="11"/>
        <v>4.2285809832660844E-2</v>
      </c>
      <c r="AE35" s="6">
        <f t="shared" si="12"/>
        <v>2.675216992362066E-3</v>
      </c>
      <c r="AF35" s="6">
        <f t="shared" si="13"/>
        <v>0</v>
      </c>
      <c r="AG35" s="6">
        <f t="shared" si="14"/>
        <v>4.7383080627429811E-3</v>
      </c>
      <c r="AH35" s="6">
        <f t="shared" si="15"/>
        <v>3.4872284777555794E-2</v>
      </c>
      <c r="AI35" s="6">
        <f t="shared" ref="AI35:AI36" si="78">AE35+AF35</f>
        <v>2.675216992362066E-3</v>
      </c>
      <c r="AJ35" s="22">
        <f t="shared" ref="AJ35" si="79">AC35-AI34</f>
        <v>2.5483181650223343E-3</v>
      </c>
      <c r="AK35" s="6">
        <f t="shared" ref="AK35" si="80">(AA35-AG34)*-1</f>
        <v>4.6503840741604872E-3</v>
      </c>
      <c r="AL35" s="23">
        <f t="shared" ref="AL35" si="81">Y35-AE34</f>
        <v>2.5483181650223343E-3</v>
      </c>
      <c r="AM35" s="6">
        <f>AK35+AM33</f>
        <v>5.0791847588286546E-2</v>
      </c>
      <c r="AN35" s="6">
        <f>AL35+AN33</f>
        <v>1.7425791871954026E-2</v>
      </c>
      <c r="AO35" s="6">
        <f>AJ35+AO33</f>
        <v>1.7528508112129651E-2</v>
      </c>
      <c r="AP35" s="19">
        <f t="shared" si="53"/>
        <v>1.369345290119834</v>
      </c>
      <c r="AQ35">
        <f t="shared" si="4"/>
        <v>6799.7355017424725</v>
      </c>
      <c r="AR35" s="10">
        <f t="shared" si="29"/>
        <v>35.56261667411313</v>
      </c>
      <c r="AS35" s="6">
        <f t="shared" si="30"/>
        <v>3.4851364340630869E-3</v>
      </c>
      <c r="AT35" s="6">
        <f t="shared" si="16"/>
        <v>6785.1845232776341</v>
      </c>
      <c r="AU35" s="6">
        <f t="shared" si="17"/>
        <v>35.486515056742029</v>
      </c>
      <c r="AV35" s="6">
        <f t="shared" si="18"/>
        <v>3.4776784755607189E-3</v>
      </c>
      <c r="AW35" s="6">
        <f t="shared" si="31"/>
        <v>3.312714914969836E-3</v>
      </c>
      <c r="AX35" s="6">
        <f t="shared" si="32"/>
        <v>3.5907369516144363E-3</v>
      </c>
      <c r="AY35" s="19">
        <f t="shared" si="19"/>
        <v>0.28051210640967017</v>
      </c>
      <c r="AZ35" s="23">
        <f t="shared" si="54"/>
        <v>1.6498573965295042</v>
      </c>
      <c r="BA35" s="23">
        <f t="shared" si="63"/>
        <v>0.7934410215215334</v>
      </c>
    </row>
    <row r="36" spans="1:53" ht="15" customHeight="1" x14ac:dyDescent="0.3">
      <c r="A36" t="s">
        <v>98</v>
      </c>
      <c r="B36">
        <v>1</v>
      </c>
      <c r="C36" s="2">
        <v>45068</v>
      </c>
      <c r="D36" s="11">
        <v>0.63055555555555554</v>
      </c>
      <c r="E36">
        <v>1013.6</v>
      </c>
      <c r="F36">
        <v>1112</v>
      </c>
      <c r="G36">
        <v>1108.5999999999999</v>
      </c>
      <c r="H36">
        <v>0</v>
      </c>
      <c r="I36">
        <v>0.64</v>
      </c>
      <c r="J36">
        <v>20.309999999999999</v>
      </c>
      <c r="K36">
        <v>75.55</v>
      </c>
      <c r="L36">
        <v>1</v>
      </c>
      <c r="N36" t="s">
        <v>99</v>
      </c>
      <c r="O36">
        <v>792.8</v>
      </c>
      <c r="P36" s="8">
        <f t="shared" si="64"/>
        <v>45068.630555555559</v>
      </c>
      <c r="Q36" s="9">
        <f t="shared" si="65"/>
        <v>35.018055555556202</v>
      </c>
      <c r="R36">
        <f t="shared" si="66"/>
        <v>96.5</v>
      </c>
      <c r="S36">
        <f t="shared" si="67"/>
        <v>0</v>
      </c>
      <c r="T36">
        <f t="shared" si="68"/>
        <v>0.66321243523316065</v>
      </c>
      <c r="U36">
        <f t="shared" si="69"/>
        <v>21.046632124352328</v>
      </c>
      <c r="V36">
        <f t="shared" si="70"/>
        <v>78.290155440414509</v>
      </c>
      <c r="W36">
        <f t="shared" si="71"/>
        <v>100</v>
      </c>
      <c r="X36" s="6">
        <f t="shared" si="72"/>
        <v>4.3843189309015249E-2</v>
      </c>
      <c r="Y36" s="6">
        <f t="shared" si="73"/>
        <v>2.9077348350020475E-4</v>
      </c>
      <c r="Z36" s="6">
        <f t="shared" si="74"/>
        <v>0</v>
      </c>
      <c r="AA36" s="6">
        <f t="shared" si="75"/>
        <v>9.2275147654518087E-3</v>
      </c>
      <c r="AB36" s="6">
        <f t="shared" si="76"/>
        <v>3.432490106006323E-2</v>
      </c>
      <c r="AC36" s="6">
        <f t="shared" si="77"/>
        <v>2.9077348350020475E-4</v>
      </c>
      <c r="AD36" s="6">
        <f t="shared" si="11"/>
        <v>4.3709136392063218E-2</v>
      </c>
      <c r="AE36" s="6">
        <f t="shared" si="12"/>
        <v>2.8988442788518612E-4</v>
      </c>
      <c r="AF36" s="6">
        <f t="shared" si="13"/>
        <v>0</v>
      </c>
      <c r="AG36" s="6">
        <f t="shared" si="14"/>
        <v>9.1993011411689515E-3</v>
      </c>
      <c r="AH36" s="6">
        <f t="shared" si="15"/>
        <v>3.4219950823009077E-2</v>
      </c>
      <c r="AI36" s="6">
        <f t="shared" si="78"/>
        <v>2.8988442788518612E-4</v>
      </c>
      <c r="AJ36" s="22"/>
      <c r="AK36" s="6"/>
      <c r="AL36" s="23"/>
      <c r="AP36" s="21"/>
      <c r="AQ36">
        <f t="shared" ref="AQ36" si="82">F36*100*T36/100</f>
        <v>737.49222797927462</v>
      </c>
      <c r="AR36" s="10">
        <f t="shared" ref="AR36" si="83">AQ36*$D$7</f>
        <v>3.8570843523316065</v>
      </c>
      <c r="AS36" s="6">
        <f t="shared" ref="AS36" si="84">AR36*$D$5/1000</f>
        <v>3.7799426652849745E-4</v>
      </c>
      <c r="AT36" s="6">
        <f t="shared" ref="AT36" si="85">G36*100*T36/100</f>
        <v>735.23730569948179</v>
      </c>
      <c r="AU36" s="6">
        <f t="shared" ref="AU36" si="86">AT36*$D$7</f>
        <v>3.8452911088082899</v>
      </c>
      <c r="AV36" s="6">
        <f t="shared" ref="AV36" si="87">AU36*$D$5/1000</f>
        <v>3.7683852866321244E-4</v>
      </c>
      <c r="AW36" s="6">
        <f t="shared" ref="AW36" si="88">AS36-AV35</f>
        <v>-3.0996842090322213E-3</v>
      </c>
      <c r="AX36" s="6">
        <f t="shared" ref="AX36" si="89">AW36+AX35</f>
        <v>4.9105274258221497E-4</v>
      </c>
      <c r="AY36" s="19">
        <f t="shared" si="19"/>
        <v>3.836155113452417E-2</v>
      </c>
      <c r="AZ36" s="23"/>
      <c r="BA36" s="23">
        <f t="shared" ref="BA36" si="90">AK36/(AL36+AW36)</f>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6">
    <cfRule type="expression" dxfId="31" priority="1">
      <formula>$L13=0</formula>
    </cfRule>
    <cfRule type="expression" dxfId="30" priority="2">
      <formula>$L13=1</formula>
    </cfRule>
  </conditionalFormatting>
  <pageMargins left="0.75" right="0.75" top="1" bottom="1" header="0.5" footer="0.5"/>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F6AD-E064-4D41-99AB-243D6FE4F2DB}">
  <dimension ref="A1:BD36"/>
  <sheetViews>
    <sheetView topLeftCell="AI11" zoomScale="130" zoomScaleNormal="130" workbookViewId="0">
      <selection activeCell="AX22" sqref="AX22"/>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thickBot="1" x14ac:dyDescent="0.35">
      <c r="D8" s="6"/>
      <c r="E8" s="1"/>
    </row>
    <row r="9" spans="1:56"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60" t="s">
        <v>104</v>
      </c>
      <c r="AY11" s="61" t="s">
        <v>87</v>
      </c>
      <c r="AZ11" s="62"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63" t="s">
        <v>96</v>
      </c>
      <c r="AY12" s="64" t="s">
        <v>94</v>
      </c>
      <c r="AZ12" s="64" t="s">
        <v>94</v>
      </c>
      <c r="BA12" s="59"/>
    </row>
    <row r="13" spans="1:56" ht="14.4" x14ac:dyDescent="0.3">
      <c r="A13" t="s">
        <v>98</v>
      </c>
      <c r="B13">
        <v>2</v>
      </c>
      <c r="C13" s="2">
        <v>45033</v>
      </c>
      <c r="D13" s="11">
        <v>0.62638888888888888</v>
      </c>
      <c r="E13">
        <v>1025.3</v>
      </c>
      <c r="F13">
        <f>SUM(F14:F36)/ (35-14)</f>
        <v>1176.8890476190477</v>
      </c>
      <c r="M13" t="s">
        <v>4</v>
      </c>
      <c r="O13">
        <v>794.46</v>
      </c>
      <c r="P13" s="3">
        <f>C13+D13</f>
        <v>45033.626388888886</v>
      </c>
      <c r="Q13" s="4">
        <f>P13-$P$13</f>
        <v>0</v>
      </c>
      <c r="S13">
        <v>0</v>
      </c>
      <c r="T13">
        <v>0.03</v>
      </c>
      <c r="U13">
        <v>21.9</v>
      </c>
      <c r="V13">
        <v>78.069999999999993</v>
      </c>
      <c r="W13">
        <f>SUM(S13:V13)</f>
        <v>100</v>
      </c>
      <c r="X13" s="6">
        <f>F13*100*$D$3/($D$1*$D$2)</f>
        <v>4.640159110653648E-2</v>
      </c>
      <c r="Y13" s="6">
        <f t="shared" ref="Y13:Y36" si="0">X13*T13/100</f>
        <v>1.3920477331960944E-5</v>
      </c>
      <c r="Z13" s="6">
        <f>X13*S13/100</f>
        <v>0</v>
      </c>
      <c r="AA13" s="6">
        <f t="shared" ref="AA13:AA36" si="1">X13*U13/100</f>
        <v>1.0161948452331489E-2</v>
      </c>
      <c r="AB13" s="6">
        <f t="shared" ref="AB13:AB36" si="2">X13*V13/100</f>
        <v>3.6225722176873025E-2</v>
      </c>
      <c r="AC13" s="6">
        <f>Y13+Z13</f>
        <v>1.3920477331960944E-5</v>
      </c>
      <c r="AD13" s="6">
        <f>X13</f>
        <v>4.640159110653648E-2</v>
      </c>
      <c r="AE13" s="6">
        <f>Y13</f>
        <v>1.3920477331960944E-5</v>
      </c>
      <c r="AF13" s="6">
        <f t="shared" ref="AF13:AI13" si="3">Z13</f>
        <v>0</v>
      </c>
      <c r="AG13" s="6">
        <f t="shared" si="3"/>
        <v>1.0161948452331489E-2</v>
      </c>
      <c r="AH13" s="6">
        <f t="shared" si="3"/>
        <v>3.6225722176873025E-2</v>
      </c>
      <c r="AI13" s="6">
        <f t="shared" si="3"/>
        <v>1.3920477331960944E-5</v>
      </c>
      <c r="AJ13" s="22">
        <f>AC13-AI13</f>
        <v>0</v>
      </c>
      <c r="AK13" s="6">
        <f>AA13-AG13</f>
        <v>0</v>
      </c>
      <c r="AL13" s="23">
        <f>Y13-AE13</f>
        <v>0</v>
      </c>
      <c r="AM13" s="6">
        <f>AK13</f>
        <v>0</v>
      </c>
      <c r="AN13" s="6">
        <f>AL13</f>
        <v>0</v>
      </c>
      <c r="AO13" s="6">
        <f>AJ13</f>
        <v>0</v>
      </c>
      <c r="AP13" s="19">
        <f>AO13*$D$4*1000/$D$6</f>
        <v>0</v>
      </c>
      <c r="AQ13">
        <f t="shared" ref="AQ13:AQ33" si="4">F13*100*T13/100</f>
        <v>35.306671428571427</v>
      </c>
      <c r="AR13" s="6">
        <f>AQ13*$D$7</f>
        <v>0.18465389157142859</v>
      </c>
      <c r="AS13" s="6">
        <f>AR13*$D$5/1000</f>
        <v>1.8096081374000001E-5</v>
      </c>
      <c r="AT13" s="6">
        <f>G13*100*T13/100</f>
        <v>0</v>
      </c>
      <c r="AU13" s="6">
        <f>AT13*$D$7</f>
        <v>0</v>
      </c>
      <c r="AV13" s="6">
        <f>AU13*$D$5/1000</f>
        <v>0</v>
      </c>
      <c r="AW13" s="6">
        <f>AS13-AV13</f>
        <v>1.8096081374000001E-5</v>
      </c>
      <c r="AX13" s="6">
        <f>AW13</f>
        <v>1.8096081374000001E-5</v>
      </c>
      <c r="AY13" s="19">
        <f>(AX13*$D$4*1000/$D$6)</f>
        <v>1.4136847038319627E-3</v>
      </c>
      <c r="AZ13" s="23">
        <f>AP13</f>
        <v>0</v>
      </c>
      <c r="BA13" s="23">
        <v>0</v>
      </c>
    </row>
    <row r="14" spans="1:56" ht="14.4" x14ac:dyDescent="0.3">
      <c r="A14" t="s">
        <v>98</v>
      </c>
      <c r="B14">
        <v>2</v>
      </c>
      <c r="C14" s="2">
        <v>45035</v>
      </c>
      <c r="D14" s="11">
        <v>0.6166666666666667</v>
      </c>
      <c r="E14">
        <v>1023.1</v>
      </c>
      <c r="F14">
        <v>942</v>
      </c>
      <c r="G14">
        <v>940.7</v>
      </c>
      <c r="H14">
        <v>0.1</v>
      </c>
      <c r="I14">
        <v>0.49</v>
      </c>
      <c r="J14">
        <v>2.29</v>
      </c>
      <c r="K14">
        <v>97.43</v>
      </c>
      <c r="L14">
        <v>0</v>
      </c>
      <c r="N14" t="s">
        <v>99</v>
      </c>
      <c r="P14" s="3">
        <f t="shared" ref="P14:P36" si="5">C14+D14</f>
        <v>45035.616666666669</v>
      </c>
      <c r="Q14" s="4">
        <f t="shared" ref="Q14:Q36" si="6">P14-$P$13</f>
        <v>1.9902777777824667</v>
      </c>
      <c r="R14">
        <f>SUM(H14:K14)</f>
        <v>100.31</v>
      </c>
      <c r="S14">
        <f>H14 * 100/R14</f>
        <v>9.9690958030106663E-2</v>
      </c>
      <c r="T14">
        <f>I14* 100/R14</f>
        <v>0.48848569434752265</v>
      </c>
      <c r="U14">
        <f>J14* 100/R14</f>
        <v>2.2829229388894428</v>
      </c>
      <c r="V14">
        <f>K14* 100/R14</f>
        <v>97.128900408732932</v>
      </c>
      <c r="W14">
        <f>SUM(S14:V14)</f>
        <v>100</v>
      </c>
      <c r="X14" s="6">
        <f>F14*100*$D$3/($D$1*$D$2)</f>
        <v>3.7140543461413995E-2</v>
      </c>
      <c r="Y14" s="6">
        <f t="shared" si="0"/>
        <v>1.814262416119316E-4</v>
      </c>
      <c r="Z14" s="6">
        <f t="shared" ref="Z14:Z36" si="7">X14*S14/100</f>
        <v>3.7025763594271749E-5</v>
      </c>
      <c r="AA14" s="6">
        <f t="shared" si="1"/>
        <v>8.4788998630882313E-4</v>
      </c>
      <c r="AB14" s="6">
        <f t="shared" si="2"/>
        <v>3.6074201469898967E-2</v>
      </c>
      <c r="AC14" s="6">
        <f>Y14+Z14</f>
        <v>2.1845200520620336E-4</v>
      </c>
      <c r="AD14" s="6">
        <f t="shared" ref="AD14:AD36" si="8">G14*100*$D$3/($D$1*$D$2)</f>
        <v>3.7089287934344101E-2</v>
      </c>
      <c r="AE14" s="6">
        <f t="shared" ref="AE14:AE36" si="9">AD14*T14/100</f>
        <v>1.8117586569463273E-4</v>
      </c>
      <c r="AF14" s="6">
        <f t="shared" ref="AF14:AF36" si="10">AD14*S14/100</f>
        <v>3.6974666468292387E-5</v>
      </c>
      <c r="AG14" s="6">
        <f t="shared" ref="AG14:AG36" si="11">AD14*U14/100</f>
        <v>8.4671986212389583E-4</v>
      </c>
      <c r="AH14" s="6">
        <f t="shared" ref="AH14:AH36" si="12">AD14*V14/100</f>
        <v>3.602441754005728E-2</v>
      </c>
      <c r="AI14" s="6">
        <f>AE14+AF14</f>
        <v>2.1815053216292513E-4</v>
      </c>
      <c r="AJ14" s="22">
        <f>AC14-AI13</f>
        <v>2.0453152787424243E-4</v>
      </c>
      <c r="AK14">
        <f>(AA14-AG13)*-1</f>
        <v>9.314058466022665E-3</v>
      </c>
      <c r="AL14" s="25">
        <f>Y14-AE13</f>
        <v>1.6750576427997067E-4</v>
      </c>
      <c r="AM14" s="6">
        <f>AK14+AM13</f>
        <v>9.314058466022665E-3</v>
      </c>
      <c r="AN14" s="6">
        <f>AL14+AN13</f>
        <v>1.6750576427997067E-4</v>
      </c>
      <c r="AO14" s="6">
        <f>AJ14+AO13</f>
        <v>2.0453152787424243E-4</v>
      </c>
      <c r="AP14" s="19">
        <f>AO14*$D$4*1000/$D$6</f>
        <v>1.5978215749108574E-2</v>
      </c>
      <c r="AQ14">
        <f t="shared" si="4"/>
        <v>460.15352407536636</v>
      </c>
      <c r="AR14" s="6">
        <f>AQ14*$D$7</f>
        <v>2.4066029309141661</v>
      </c>
      <c r="AS14" s="6">
        <f>AR14*$D$5/1000</f>
        <v>2.3584708722958827E-4</v>
      </c>
      <c r="AT14" s="6">
        <f t="shared" ref="AT14:AT33" si="13">G14*100*T14/100</f>
        <v>459.51849267271456</v>
      </c>
      <c r="AU14" s="6">
        <f t="shared" ref="AU14:AU33" si="14">AT14*$D$7</f>
        <v>2.4032817166782974</v>
      </c>
      <c r="AV14" s="6">
        <f t="shared" ref="AV14:AV33" si="15">AU14*$D$5/1000</f>
        <v>2.3552160823447316E-4</v>
      </c>
      <c r="AW14" s="6">
        <f>AS14-AV13</f>
        <v>2.3584708722958827E-4</v>
      </c>
      <c r="AX14" s="6">
        <f>AW14+AX13</f>
        <v>2.5394316860358825E-4</v>
      </c>
      <c r="AY14" s="19">
        <f t="shared" ref="AY14:AY36" si="16">(AX14*$D$4*1000/$D$6)</f>
        <v>1.9838304530024366E-2</v>
      </c>
      <c r="AZ14" s="23">
        <f>AY14+AP14</f>
        <v>3.5816520279132943E-2</v>
      </c>
      <c r="BA14" s="23">
        <f t="shared" ref="BA14:BA32" si="17">AK14/(AL14+AW14)</f>
        <v>23.091589488371163</v>
      </c>
    </row>
    <row r="15" spans="1:56" ht="14.4" x14ac:dyDescent="0.3">
      <c r="A15" t="s">
        <v>98</v>
      </c>
      <c r="B15">
        <v>2</v>
      </c>
      <c r="C15" s="2">
        <v>45040</v>
      </c>
      <c r="D15" s="11">
        <v>0.43194444444444446</v>
      </c>
      <c r="E15">
        <v>1002.4</v>
      </c>
      <c r="F15">
        <v>944.7</v>
      </c>
      <c r="G15">
        <v>941.8</v>
      </c>
      <c r="H15">
        <v>0.23</v>
      </c>
      <c r="I15">
        <v>0.92</v>
      </c>
      <c r="J15">
        <v>1.93</v>
      </c>
      <c r="K15">
        <v>99.2</v>
      </c>
      <c r="L15">
        <v>0</v>
      </c>
      <c r="N15" t="s">
        <v>99</v>
      </c>
      <c r="P15" s="3">
        <f t="shared" si="5"/>
        <v>45040.431944444441</v>
      </c>
      <c r="Q15" s="4">
        <f t="shared" si="6"/>
        <v>6.8055555555547471</v>
      </c>
      <c r="R15">
        <f t="shared" ref="R15:R31" si="18">SUM(H15:K15)</f>
        <v>102.28</v>
      </c>
      <c r="S15">
        <f t="shared" ref="S15:S36" si="19">H15 * 100/R15</f>
        <v>0.22487289792725851</v>
      </c>
      <c r="T15">
        <f t="shared" ref="T15:T36" si="20">I15* 100/R15</f>
        <v>0.89949159170903403</v>
      </c>
      <c r="U15">
        <f t="shared" ref="U15:U36" si="21">J15* 100/R15</f>
        <v>1.8869769260852562</v>
      </c>
      <c r="V15">
        <f t="shared" ref="V15:V36" si="22">K15* 100/R15</f>
        <v>96.988658584278454</v>
      </c>
      <c r="W15">
        <f t="shared" ref="W15:W36" si="23">SUM(S15:V15)</f>
        <v>100</v>
      </c>
      <c r="X15" s="6">
        <f t="shared" ref="X15:X36" si="24">F15*100*$D$3/($D$1*$D$2)</f>
        <v>3.7246997248405314E-2</v>
      </c>
      <c r="Y15" s="6">
        <f t="shared" si="0"/>
        <v>3.3503360841350105E-4</v>
      </c>
      <c r="Z15" s="6">
        <f t="shared" si="7"/>
        <v>8.3758402103375262E-5</v>
      </c>
      <c r="AA15" s="6">
        <f t="shared" si="1"/>
        <v>7.0284224373701849E-4</v>
      </c>
      <c r="AB15" s="6">
        <f t="shared" si="2"/>
        <v>3.6125362994151422E-2</v>
      </c>
      <c r="AC15" s="6">
        <f t="shared" ref="AC15:AC28" si="25">Y15+Z15</f>
        <v>4.1879201051687629E-4</v>
      </c>
      <c r="AD15" s="6">
        <f t="shared" si="8"/>
        <v>3.7132657995710937E-2</v>
      </c>
      <c r="AE15" s="6">
        <f t="shared" si="9"/>
        <v>3.3400513644949218E-4</v>
      </c>
      <c r="AF15" s="6">
        <f t="shared" si="10"/>
        <v>8.3501284112373045E-5</v>
      </c>
      <c r="AG15" s="6">
        <f t="shared" si="11"/>
        <v>7.0068468842121741E-4</v>
      </c>
      <c r="AH15" s="6">
        <f t="shared" si="12"/>
        <v>3.6014466886727853E-2</v>
      </c>
      <c r="AI15" s="6">
        <f t="shared" ref="AI15:AI28" si="26">AE15+AF15</f>
        <v>4.1750642056186522E-4</v>
      </c>
      <c r="AJ15" s="22">
        <f>AC15-AI14</f>
        <v>2.0064147835395117E-4</v>
      </c>
      <c r="AK15">
        <f>(AA15-AG14)*-1</f>
        <v>1.4387761838687734E-4</v>
      </c>
      <c r="AL15" s="25">
        <f>Y15-AE14</f>
        <v>1.5385774271886831E-4</v>
      </c>
      <c r="AM15" s="6">
        <f>AK15+AM14</f>
        <v>9.457936084409542E-3</v>
      </c>
      <c r="AN15" s="6">
        <f>AL15+AN14</f>
        <v>3.2136350699883898E-4</v>
      </c>
      <c r="AO15" s="6">
        <f>AJ15+AO14</f>
        <v>4.0517300622819363E-4</v>
      </c>
      <c r="AP15" s="19">
        <f>AO15*$D$4*1000/$D$6</f>
        <v>3.1652536782542089E-2</v>
      </c>
      <c r="AQ15">
        <f t="shared" si="4"/>
        <v>849.74970668752439</v>
      </c>
      <c r="AR15" s="6">
        <f t="shared" ref="AR15:AR33" si="27">AQ15*$D$7</f>
        <v>4.4441909659757526</v>
      </c>
      <c r="AS15" s="6">
        <f t="shared" ref="AS15:AS33" si="28">AR15*$D$5/1000</f>
        <v>4.3553071466562377E-4</v>
      </c>
      <c r="AT15" s="6">
        <f t="shared" si="13"/>
        <v>847.14118107156833</v>
      </c>
      <c r="AU15" s="6">
        <f t="shared" si="14"/>
        <v>4.4305483770043024</v>
      </c>
      <c r="AV15" s="6">
        <f t="shared" si="15"/>
        <v>4.3419374094642166E-4</v>
      </c>
      <c r="AW15" s="6">
        <f t="shared" ref="AW15:AW33" si="29">AS15-AV14</f>
        <v>2.0000910643115061E-4</v>
      </c>
      <c r="AX15" s="6">
        <f t="shared" ref="AX15:AX33" si="30">AW15+AX14</f>
        <v>4.5395227503473889E-4</v>
      </c>
      <c r="AY15" s="19">
        <f t="shared" si="16"/>
        <v>3.5463224010938307E-2</v>
      </c>
      <c r="AZ15" s="23">
        <f>AY15+AP15</f>
        <v>6.7115760793480389E-2</v>
      </c>
      <c r="BA15" s="23">
        <f t="shared" si="17"/>
        <v>0.40658688072213739</v>
      </c>
    </row>
    <row r="16" spans="1:56" s="7" customFormat="1" ht="14.4" x14ac:dyDescent="0.3">
      <c r="A16" t="s">
        <v>98</v>
      </c>
      <c r="B16">
        <v>2</v>
      </c>
      <c r="C16" s="2">
        <v>45040</v>
      </c>
      <c r="D16" s="11">
        <v>0.4777777777777778</v>
      </c>
      <c r="E16">
        <v>1003.3</v>
      </c>
      <c r="F16">
        <v>1103.2</v>
      </c>
      <c r="G16">
        <v>1099.4000000000001</v>
      </c>
      <c r="H16">
        <v>0</v>
      </c>
      <c r="I16">
        <v>0.42</v>
      </c>
      <c r="J16">
        <v>19.82</v>
      </c>
      <c r="K16">
        <v>77.16</v>
      </c>
      <c r="L16">
        <v>1</v>
      </c>
      <c r="M16"/>
      <c r="N16" t="s">
        <v>99</v>
      </c>
      <c r="O16">
        <v>794.61</v>
      </c>
      <c r="P16" s="8">
        <f t="shared" si="5"/>
        <v>45040.477777777778</v>
      </c>
      <c r="Q16" s="9">
        <f t="shared" si="6"/>
        <v>6.851388888891961</v>
      </c>
      <c r="R16">
        <f t="shared" si="18"/>
        <v>97.4</v>
      </c>
      <c r="S16">
        <f t="shared" si="19"/>
        <v>0</v>
      </c>
      <c r="T16">
        <f t="shared" si="20"/>
        <v>0.43121149897330591</v>
      </c>
      <c r="U16">
        <f t="shared" si="21"/>
        <v>20.349075975359341</v>
      </c>
      <c r="V16">
        <f t="shared" si="22"/>
        <v>79.219712525667347</v>
      </c>
      <c r="W16">
        <f t="shared" si="23"/>
        <v>100</v>
      </c>
      <c r="X16" s="10">
        <f t="shared" si="24"/>
        <v>4.3496228818080594E-2</v>
      </c>
      <c r="Y16" s="10">
        <f t="shared" si="0"/>
        <v>1.8756074028330441E-4</v>
      </c>
      <c r="Z16" s="10">
        <f t="shared" si="7"/>
        <v>0</v>
      </c>
      <c r="AA16" s="10">
        <f t="shared" si="1"/>
        <v>8.8510806486073648E-3</v>
      </c>
      <c r="AB16" s="10">
        <f t="shared" si="2"/>
        <v>3.4457587429189925E-2</v>
      </c>
      <c r="AC16" s="10">
        <f t="shared" si="25"/>
        <v>1.8756074028330441E-4</v>
      </c>
      <c r="AD16" s="10">
        <f t="shared" si="8"/>
        <v>4.3346404969722453E-2</v>
      </c>
      <c r="AE16" s="10">
        <f t="shared" si="9"/>
        <v>1.8691468262097975E-4</v>
      </c>
      <c r="AF16" s="10">
        <f t="shared" si="10"/>
        <v>0</v>
      </c>
      <c r="AG16" s="10">
        <f t="shared" si="11"/>
        <v>8.8205928798757594E-3</v>
      </c>
      <c r="AH16" s="10">
        <f t="shared" si="12"/>
        <v>3.4338897407225712E-2</v>
      </c>
      <c r="AI16" s="10">
        <f t="shared" si="26"/>
        <v>1.8691468262097975E-4</v>
      </c>
      <c r="AJ16" s="26"/>
      <c r="AK16"/>
      <c r="AL16" s="24"/>
      <c r="AP16" s="20"/>
      <c r="AQ16" s="7">
        <f t="shared" si="4"/>
        <v>475.71252566735109</v>
      </c>
      <c r="AR16" s="10">
        <f t="shared" si="27"/>
        <v>2.4879765092402462</v>
      </c>
      <c r="AS16" s="6">
        <f t="shared" si="28"/>
        <v>2.4382169790554414E-4</v>
      </c>
      <c r="AT16" s="6">
        <f t="shared" si="13"/>
        <v>474.07392197125256</v>
      </c>
      <c r="AU16" s="6">
        <f t="shared" si="14"/>
        <v>2.4794066119096509</v>
      </c>
      <c r="AV16" s="6">
        <f t="shared" si="15"/>
        <v>2.429818479671458E-4</v>
      </c>
      <c r="AW16" s="6">
        <f t="shared" si="29"/>
        <v>-1.9037204304087752E-4</v>
      </c>
      <c r="AX16" s="6">
        <f t="shared" si="30"/>
        <v>2.6358023199386137E-4</v>
      </c>
      <c r="AY16" s="19">
        <f t="shared" si="16"/>
        <v>2.0591161948330539E-2</v>
      </c>
      <c r="AZ16" s="23"/>
      <c r="BA16" s="23">
        <f t="shared" si="17"/>
        <v>0</v>
      </c>
      <c r="BB16"/>
      <c r="BC16"/>
      <c r="BD16"/>
    </row>
    <row r="17" spans="1:56" ht="14.4" x14ac:dyDescent="0.3">
      <c r="A17" t="s">
        <v>98</v>
      </c>
      <c r="B17">
        <v>2</v>
      </c>
      <c r="C17" s="2">
        <v>45042</v>
      </c>
      <c r="D17" s="11">
        <v>0.37152777777777773</v>
      </c>
      <c r="E17">
        <v>1017</v>
      </c>
      <c r="F17">
        <v>972.3</v>
      </c>
      <c r="G17">
        <v>969.3</v>
      </c>
      <c r="H17">
        <v>0.03</v>
      </c>
      <c r="I17">
        <v>1.49</v>
      </c>
      <c r="J17">
        <v>9.61</v>
      </c>
      <c r="K17">
        <v>91.13</v>
      </c>
      <c r="L17">
        <v>0</v>
      </c>
      <c r="N17" t="s">
        <v>99</v>
      </c>
      <c r="P17" s="3">
        <f t="shared" si="5"/>
        <v>45042.371527777781</v>
      </c>
      <c r="Q17" s="4">
        <f t="shared" si="6"/>
        <v>8.7451388888948713</v>
      </c>
      <c r="R17">
        <f t="shared" si="18"/>
        <v>102.25999999999999</v>
      </c>
      <c r="S17">
        <f t="shared" si="19"/>
        <v>2.9336984158028559E-2</v>
      </c>
      <c r="T17">
        <f t="shared" si="20"/>
        <v>1.457070213182085</v>
      </c>
      <c r="U17">
        <f t="shared" si="21"/>
        <v>9.3976139252884821</v>
      </c>
      <c r="V17">
        <f t="shared" si="22"/>
        <v>89.115978877371418</v>
      </c>
      <c r="W17">
        <f t="shared" si="23"/>
        <v>100.00000000000001</v>
      </c>
      <c r="X17" s="6">
        <f t="shared" si="24"/>
        <v>3.8335191515427629E-2</v>
      </c>
      <c r="Y17" s="6">
        <f t="shared" si="0"/>
        <v>5.585706567376019E-4</v>
      </c>
      <c r="Z17" s="6">
        <f t="shared" si="7"/>
        <v>1.1246389061830911E-5</v>
      </c>
      <c r="AA17" s="6">
        <f t="shared" si="1"/>
        <v>3.6025932961398356E-3</v>
      </c>
      <c r="AB17" s="6">
        <f t="shared" si="2"/>
        <v>3.4162781173488366E-2</v>
      </c>
      <c r="AC17" s="6">
        <f t="shared" si="25"/>
        <v>5.6981704579943285E-4</v>
      </c>
      <c r="AD17" s="6">
        <f t="shared" si="8"/>
        <v>3.8216909529881729E-2</v>
      </c>
      <c r="AE17" s="6">
        <f t="shared" si="9"/>
        <v>5.5684720515865229E-4</v>
      </c>
      <c r="AF17" s="6">
        <f t="shared" si="10"/>
        <v>1.121168869446951E-5</v>
      </c>
      <c r="AG17" s="6">
        <f t="shared" si="11"/>
        <v>3.5914776117950665E-3</v>
      </c>
      <c r="AH17" s="6">
        <f t="shared" si="12"/>
        <v>3.4057373024233548E-2</v>
      </c>
      <c r="AI17" s="6">
        <f t="shared" si="26"/>
        <v>5.6805889385312181E-4</v>
      </c>
      <c r="AJ17" s="22">
        <f t="shared" ref="AJ17:AJ27" si="31">AC17-AI16</f>
        <v>3.8290236317845309E-4</v>
      </c>
      <c r="AK17">
        <f>(AA17-AG16)*-1</f>
        <v>5.2179995837359234E-3</v>
      </c>
      <c r="AL17" s="25">
        <f>Y17-AE16</f>
        <v>3.7165597411662214E-4</v>
      </c>
      <c r="AM17">
        <f>AK17+AM15</f>
        <v>1.4675935668145465E-2</v>
      </c>
      <c r="AN17" s="6">
        <f>AL17+AN15</f>
        <v>6.9301948111546107E-4</v>
      </c>
      <c r="AO17">
        <f>AJ17+AO15</f>
        <v>7.8807536940664672E-4</v>
      </c>
      <c r="AP17" s="19">
        <f>AO17*$D$4*1000/$D$6</f>
        <v>6.1565267759991216E-2</v>
      </c>
      <c r="AQ17">
        <f t="shared" si="4"/>
        <v>1416.7093682769412</v>
      </c>
      <c r="AR17" s="6">
        <f t="shared" si="27"/>
        <v>7.4093899960884029</v>
      </c>
      <c r="AS17" s="6">
        <f t="shared" si="28"/>
        <v>7.2612021961666353E-4</v>
      </c>
      <c r="AT17" s="6">
        <f t="shared" si="13"/>
        <v>1412.3381576373949</v>
      </c>
      <c r="AU17" s="6">
        <f t="shared" si="14"/>
        <v>7.3865285644435756</v>
      </c>
      <c r="AV17" s="6">
        <f t="shared" si="15"/>
        <v>7.2387979931547045E-4</v>
      </c>
      <c r="AW17" s="6">
        <f t="shared" si="29"/>
        <v>4.8313837164951773E-4</v>
      </c>
      <c r="AX17" s="6">
        <f t="shared" si="30"/>
        <v>7.4671860364337915E-4</v>
      </c>
      <c r="AY17" s="19">
        <f t="shared" si="16"/>
        <v>5.8334434191598089E-2</v>
      </c>
      <c r="AZ17" s="23">
        <f t="shared" ref="AZ17:AZ35" si="32">AY17+AP17</f>
        <v>0.1198997019515893</v>
      </c>
      <c r="BA17" s="23">
        <f t="shared" si="17"/>
        <v>6.1043917868444781</v>
      </c>
    </row>
    <row r="18" spans="1:56" s="7" customFormat="1" ht="14.4" x14ac:dyDescent="0.3">
      <c r="A18" t="s">
        <v>98</v>
      </c>
      <c r="B18">
        <v>2</v>
      </c>
      <c r="C18" s="2">
        <v>45042</v>
      </c>
      <c r="D18" s="11">
        <v>0.41666666666666669</v>
      </c>
      <c r="E18">
        <v>1017.2</v>
      </c>
      <c r="F18">
        <v>1119.3</v>
      </c>
      <c r="G18">
        <v>1116.4000000000001</v>
      </c>
      <c r="H18">
        <v>0</v>
      </c>
      <c r="I18">
        <v>0.47</v>
      </c>
      <c r="J18">
        <v>20.5</v>
      </c>
      <c r="K18">
        <v>76.38</v>
      </c>
      <c r="L18">
        <v>1</v>
      </c>
      <c r="M18"/>
      <c r="N18" t="s">
        <v>99</v>
      </c>
      <c r="O18">
        <v>794.6</v>
      </c>
      <c r="P18" s="8">
        <f t="shared" si="5"/>
        <v>45042.416666666664</v>
      </c>
      <c r="Q18" s="9">
        <f t="shared" si="6"/>
        <v>8.7902777777781012</v>
      </c>
      <c r="R18">
        <f t="shared" si="18"/>
        <v>97.35</v>
      </c>
      <c r="S18">
        <f t="shared" si="19"/>
        <v>0</v>
      </c>
      <c r="T18">
        <f t="shared" si="20"/>
        <v>0.48279404211607602</v>
      </c>
      <c r="U18">
        <f t="shared" si="21"/>
        <v>21.05803800719055</v>
      </c>
      <c r="V18">
        <f t="shared" si="22"/>
        <v>78.459167950693384</v>
      </c>
      <c r="W18">
        <f t="shared" si="23"/>
        <v>100.00000000000001</v>
      </c>
      <c r="X18" s="10">
        <f t="shared" si="24"/>
        <v>4.413100880717695E-2</v>
      </c>
      <c r="Y18" s="10">
        <f t="shared" si="0"/>
        <v>2.130618812467711E-4</v>
      </c>
      <c r="Z18" s="10">
        <f t="shared" si="7"/>
        <v>0</v>
      </c>
      <c r="AA18" s="10">
        <f t="shared" si="1"/>
        <v>9.2931246075719301E-3</v>
      </c>
      <c r="AB18" s="10">
        <f t="shared" si="2"/>
        <v>3.4624822318358256E-2</v>
      </c>
      <c r="AC18" s="10">
        <f t="shared" si="25"/>
        <v>2.130618812467711E-4</v>
      </c>
      <c r="AD18" s="10">
        <f t="shared" si="8"/>
        <v>4.4016669554482579E-2</v>
      </c>
      <c r="AE18" s="10">
        <f t="shared" si="9"/>
        <v>2.1250985814696261E-4</v>
      </c>
      <c r="AF18" s="10">
        <f t="shared" si="10"/>
        <v>0</v>
      </c>
      <c r="AG18" s="10">
        <f t="shared" si="11"/>
        <v>9.269047004282412E-3</v>
      </c>
      <c r="AH18" s="10">
        <f t="shared" si="12"/>
        <v>3.4535112692053206E-2</v>
      </c>
      <c r="AI18" s="10">
        <f t="shared" si="26"/>
        <v>2.1250985814696261E-4</v>
      </c>
      <c r="AJ18" s="26"/>
      <c r="AL18" s="24"/>
      <c r="AP18" s="20"/>
      <c r="AQ18" s="7">
        <f t="shared" si="4"/>
        <v>540.39137134052396</v>
      </c>
      <c r="AR18" s="10">
        <f t="shared" si="27"/>
        <v>2.8262468721109406</v>
      </c>
      <c r="AS18" s="6">
        <f t="shared" si="28"/>
        <v>2.7697219346687219E-4</v>
      </c>
      <c r="AT18" s="6">
        <f t="shared" si="13"/>
        <v>538.99126861838738</v>
      </c>
      <c r="AU18" s="6">
        <f t="shared" si="14"/>
        <v>2.8189243348741662</v>
      </c>
      <c r="AV18" s="6">
        <f t="shared" si="15"/>
        <v>2.7625458481766828E-4</v>
      </c>
      <c r="AW18" s="6">
        <f t="shared" si="29"/>
        <v>-4.4690760584859825E-4</v>
      </c>
      <c r="AX18" s="6">
        <f t="shared" si="30"/>
        <v>2.998109977947809E-4</v>
      </c>
      <c r="AY18" s="19">
        <f t="shared" si="16"/>
        <v>2.3421547066650585E-2</v>
      </c>
      <c r="AZ18" s="23"/>
      <c r="BA18" s="23">
        <f t="shared" si="17"/>
        <v>0</v>
      </c>
      <c r="BB18"/>
      <c r="BC18"/>
      <c r="BD18"/>
    </row>
    <row r="19" spans="1:56" ht="14.4" x14ac:dyDescent="0.3">
      <c r="A19" t="s">
        <v>98</v>
      </c>
      <c r="B19">
        <v>2</v>
      </c>
      <c r="C19" s="2">
        <v>45044</v>
      </c>
      <c r="D19" s="11">
        <v>0.40763888888888888</v>
      </c>
      <c r="E19">
        <v>1006.9</v>
      </c>
      <c r="F19">
        <v>1031.5999999999999</v>
      </c>
      <c r="G19">
        <v>1028.2</v>
      </c>
      <c r="H19">
        <v>0</v>
      </c>
      <c r="I19">
        <v>3.63</v>
      </c>
      <c r="J19">
        <v>11.41</v>
      </c>
      <c r="K19">
        <v>89.72</v>
      </c>
      <c r="L19">
        <v>0</v>
      </c>
      <c r="N19" t="s">
        <v>99</v>
      </c>
      <c r="P19" s="3">
        <f t="shared" si="5"/>
        <v>45044.407638888886</v>
      </c>
      <c r="Q19" s="4">
        <f t="shared" si="6"/>
        <v>10.78125</v>
      </c>
      <c r="R19">
        <f t="shared" si="18"/>
        <v>104.75999999999999</v>
      </c>
      <c r="S19">
        <f t="shared" si="19"/>
        <v>0</v>
      </c>
      <c r="T19">
        <f t="shared" si="20"/>
        <v>3.4650630011454755</v>
      </c>
      <c r="U19">
        <f t="shared" si="21"/>
        <v>10.891561664757543</v>
      </c>
      <c r="V19">
        <f t="shared" si="22"/>
        <v>85.643375334096987</v>
      </c>
      <c r="W19">
        <f t="shared" si="23"/>
        <v>100</v>
      </c>
      <c r="X19" s="6">
        <f t="shared" si="24"/>
        <v>4.0673232096385001E-2</v>
      </c>
      <c r="Y19" s="6">
        <f t="shared" si="0"/>
        <v>1.409353116741863E-3</v>
      </c>
      <c r="Z19" s="6">
        <f t="shared" si="7"/>
        <v>0</v>
      </c>
      <c r="AA19" s="6">
        <f t="shared" si="1"/>
        <v>4.429950154827729E-3</v>
      </c>
      <c r="AB19" s="6">
        <f t="shared" si="2"/>
        <v>3.4833928824815411E-2</v>
      </c>
      <c r="AC19" s="6">
        <f t="shared" si="25"/>
        <v>1.409353116741863E-3</v>
      </c>
      <c r="AD19" s="6">
        <f t="shared" si="8"/>
        <v>4.0539179179432984E-2</v>
      </c>
      <c r="AE19" s="6">
        <f t="shared" si="9"/>
        <v>1.4047080987146024E-3</v>
      </c>
      <c r="AF19" s="6">
        <f t="shared" si="10"/>
        <v>0</v>
      </c>
      <c r="AG19" s="6">
        <f t="shared" si="11"/>
        <v>4.4153496987144941E-3</v>
      </c>
      <c r="AH19" s="6">
        <f t="shared" si="12"/>
        <v>3.4719121382003892E-2</v>
      </c>
      <c r="AI19" s="6">
        <f t="shared" si="26"/>
        <v>1.4047080987146024E-3</v>
      </c>
      <c r="AJ19" s="22">
        <f t="shared" si="31"/>
        <v>1.1968432585949004E-3</v>
      </c>
      <c r="AK19">
        <f>(AA19-AG18)*-1</f>
        <v>4.839096849454683E-3</v>
      </c>
      <c r="AL19" s="25">
        <f>Y19-AE18</f>
        <v>1.1968432585949004E-3</v>
      </c>
      <c r="AM19">
        <f>AK19+AM17</f>
        <v>1.9515032517600148E-2</v>
      </c>
      <c r="AN19">
        <f>AL19+AN17</f>
        <v>1.8898627397103615E-3</v>
      </c>
      <c r="AO19">
        <f>AJ19+AO17</f>
        <v>1.984918628001547E-3</v>
      </c>
      <c r="AP19" s="19">
        <f>AO19*$D$4*1000/$D$6</f>
        <v>0.15506390829942743</v>
      </c>
      <c r="AQ19">
        <f t="shared" si="4"/>
        <v>3574.5589919816721</v>
      </c>
      <c r="AR19" s="6">
        <f t="shared" si="27"/>
        <v>18.694943528064147</v>
      </c>
      <c r="AS19" s="6">
        <f t="shared" si="28"/>
        <v>1.8321044657502864E-3</v>
      </c>
      <c r="AT19" s="6">
        <f t="shared" si="13"/>
        <v>3562.7777777777783</v>
      </c>
      <c r="AU19" s="6">
        <f t="shared" si="14"/>
        <v>18.633327777777783</v>
      </c>
      <c r="AV19" s="6">
        <f t="shared" si="15"/>
        <v>1.8260661222222227E-3</v>
      </c>
      <c r="AW19" s="6">
        <f t="shared" si="29"/>
        <v>1.5558498809326181E-3</v>
      </c>
      <c r="AX19" s="6">
        <f t="shared" si="30"/>
        <v>1.8556608787273989E-3</v>
      </c>
      <c r="AY19" s="19">
        <f t="shared" si="16"/>
        <v>0.14496615844828276</v>
      </c>
      <c r="AZ19" s="23">
        <f t="shared" si="32"/>
        <v>0.30003006674771016</v>
      </c>
      <c r="BA19" s="23">
        <f t="shared" si="17"/>
        <v>1.7579499799550058</v>
      </c>
    </row>
    <row r="20" spans="1:56" ht="14.4" x14ac:dyDescent="0.3">
      <c r="A20" t="s">
        <v>98</v>
      </c>
      <c r="B20">
        <v>2</v>
      </c>
      <c r="C20" s="2">
        <v>45044</v>
      </c>
      <c r="D20" s="11">
        <v>0.40833333333333338</v>
      </c>
      <c r="E20">
        <v>1006.9</v>
      </c>
      <c r="F20">
        <v>1116.67</v>
      </c>
      <c r="G20">
        <v>1113.3</v>
      </c>
      <c r="H20">
        <v>0</v>
      </c>
      <c r="I20">
        <v>0.58199999999999996</v>
      </c>
      <c r="J20">
        <v>20.254999999999999</v>
      </c>
      <c r="K20">
        <v>75.926000000000002</v>
      </c>
      <c r="L20">
        <v>1</v>
      </c>
      <c r="M20" t="s">
        <v>129</v>
      </c>
      <c r="N20" t="s">
        <v>99</v>
      </c>
      <c r="O20">
        <v>794.58</v>
      </c>
      <c r="P20" s="3">
        <f t="shared" si="5"/>
        <v>45044.408333333333</v>
      </c>
      <c r="Q20" s="4">
        <f t="shared" si="6"/>
        <v>10.781944444446708</v>
      </c>
      <c r="R20">
        <f t="shared" si="18"/>
        <v>96.763000000000005</v>
      </c>
      <c r="S20">
        <f t="shared" si="19"/>
        <v>0</v>
      </c>
      <c r="T20">
        <f t="shared" si="20"/>
        <v>0.60146956998026102</v>
      </c>
      <c r="U20">
        <f t="shared" si="21"/>
        <v>20.932587869330217</v>
      </c>
      <c r="V20">
        <f t="shared" si="22"/>
        <v>78.465942560689513</v>
      </c>
      <c r="W20">
        <f t="shared" si="23"/>
        <v>99.999999999999986</v>
      </c>
      <c r="X20" s="6">
        <f t="shared" si="24"/>
        <v>4.4027314933181703E-2</v>
      </c>
      <c r="Y20" s="6">
        <f t="shared" si="0"/>
        <v>2.6481090180246325E-4</v>
      </c>
      <c r="Z20" s="6">
        <f t="shared" si="7"/>
        <v>0</v>
      </c>
      <c r="AA20" s="6">
        <f t="shared" si="1"/>
        <v>9.2160563848950033E-3</v>
      </c>
      <c r="AB20" s="6">
        <f t="shared" si="2"/>
        <v>3.4546447646484235E-2</v>
      </c>
      <c r="AC20" s="6">
        <f t="shared" si="25"/>
        <v>2.6481090180246325E-4</v>
      </c>
      <c r="AD20" s="6">
        <f t="shared" si="8"/>
        <v>4.3894444836085136E-2</v>
      </c>
      <c r="AE20" s="6">
        <f t="shared" si="9"/>
        <v>2.6401172860082418E-4</v>
      </c>
      <c r="AF20" s="6">
        <f t="shared" si="10"/>
        <v>0</v>
      </c>
      <c r="AG20" s="6">
        <f t="shared" si="11"/>
        <v>9.1882432350682015E-3</v>
      </c>
      <c r="AH20" s="6">
        <f t="shared" si="12"/>
        <v>3.444218987241611E-2</v>
      </c>
      <c r="AI20" s="6">
        <f t="shared" si="26"/>
        <v>2.6401172860082418E-4</v>
      </c>
      <c r="AJ20" s="22"/>
      <c r="AL20" s="25"/>
      <c r="AP20" s="19"/>
      <c r="AQ20" s="7">
        <f t="shared" si="4"/>
        <v>671.6430247098582</v>
      </c>
      <c r="AR20" s="6">
        <f t="shared" si="27"/>
        <v>3.5126930192325587</v>
      </c>
      <c r="AS20" s="6">
        <f t="shared" si="28"/>
        <v>3.4424391588479074E-4</v>
      </c>
      <c r="AT20" s="6">
        <f t="shared" si="13"/>
        <v>669.61607225902469</v>
      </c>
      <c r="AU20" s="6">
        <f t="shared" si="14"/>
        <v>3.5020920579146995</v>
      </c>
      <c r="AV20" s="6">
        <f t="shared" si="15"/>
        <v>3.4320502167564052E-4</v>
      </c>
      <c r="AW20" s="6">
        <f t="shared" ref="AW20" si="33">AS20-AV19</f>
        <v>-1.481822206337432E-3</v>
      </c>
      <c r="AX20" s="6">
        <f t="shared" ref="AX20" si="34">AW20+AX19</f>
        <v>3.7383867238996687E-4</v>
      </c>
      <c r="AY20" s="19">
        <f t="shared" ref="AY20" si="35">(AX20*$D$4*1000/$D$6)</f>
        <v>2.920466602332291E-2</v>
      </c>
      <c r="AZ20" s="23"/>
      <c r="BA20" s="23">
        <f t="shared" si="17"/>
        <v>0</v>
      </c>
    </row>
    <row r="21" spans="1:56" ht="14.4" x14ac:dyDescent="0.3">
      <c r="A21" t="s">
        <v>98</v>
      </c>
      <c r="B21">
        <v>2</v>
      </c>
      <c r="C21" s="2">
        <v>45047</v>
      </c>
      <c r="D21" s="11">
        <v>0.57777777777777783</v>
      </c>
      <c r="E21">
        <v>1013.1</v>
      </c>
      <c r="F21">
        <v>1040.7</v>
      </c>
      <c r="G21">
        <v>1037.3</v>
      </c>
      <c r="H21">
        <v>0.01</v>
      </c>
      <c r="I21">
        <v>4.6399999999999997</v>
      </c>
      <c r="J21">
        <v>10.56</v>
      </c>
      <c r="K21">
        <v>83.62</v>
      </c>
      <c r="L21">
        <v>0</v>
      </c>
      <c r="N21" t="s">
        <v>99</v>
      </c>
      <c r="P21" s="3">
        <f t="shared" si="5"/>
        <v>45047.577777777777</v>
      </c>
      <c r="Q21" s="4">
        <f t="shared" si="6"/>
        <v>13.951388888890506</v>
      </c>
      <c r="R21">
        <f t="shared" si="18"/>
        <v>98.830000000000013</v>
      </c>
      <c r="S21">
        <f t="shared" si="19"/>
        <v>1.0118385105737123E-2</v>
      </c>
      <c r="T21">
        <f t="shared" si="20"/>
        <v>4.6949306890620246</v>
      </c>
      <c r="U21">
        <f t="shared" si="21"/>
        <v>10.685014671658402</v>
      </c>
      <c r="V21">
        <f t="shared" si="22"/>
        <v>84.609936254173817</v>
      </c>
      <c r="W21">
        <f t="shared" si="23"/>
        <v>99.999999999999986</v>
      </c>
      <c r="X21" s="6">
        <f t="shared" si="24"/>
        <v>4.103202078587425E-2</v>
      </c>
      <c r="Y21" s="6">
        <f t="shared" si="0"/>
        <v>1.9264249362183192E-3</v>
      </c>
      <c r="Z21" s="6">
        <f t="shared" si="7"/>
        <v>4.1517778797808599E-6</v>
      </c>
      <c r="AA21" s="6">
        <f t="shared" si="1"/>
        <v>4.3842774410485889E-3</v>
      </c>
      <c r="AB21" s="6">
        <f t="shared" si="2"/>
        <v>3.4717166630727554E-2</v>
      </c>
      <c r="AC21" s="6">
        <f t="shared" si="25"/>
        <v>1.9305767140980999E-3</v>
      </c>
      <c r="AD21" s="6">
        <f t="shared" si="8"/>
        <v>4.0897967868922226E-2</v>
      </c>
      <c r="AE21" s="6">
        <f t="shared" si="9"/>
        <v>1.9201312446807555E-3</v>
      </c>
      <c r="AF21" s="6">
        <f t="shared" si="10"/>
        <v>4.1382138893981804E-6</v>
      </c>
      <c r="AG21" s="6">
        <f t="shared" si="11"/>
        <v>4.3699538672044794E-3</v>
      </c>
      <c r="AH21" s="6">
        <f t="shared" si="12"/>
        <v>3.4603744543147588E-2</v>
      </c>
      <c r="AI21" s="6">
        <f t="shared" si="26"/>
        <v>1.9242694585701538E-3</v>
      </c>
      <c r="AJ21" s="22">
        <f t="shared" ref="AJ21" si="36">AC21-AI20</f>
        <v>1.6665649854972757E-3</v>
      </c>
      <c r="AK21">
        <f>(AA21-AG20)*-1</f>
        <v>4.8039657940196125E-3</v>
      </c>
      <c r="AL21" s="25">
        <f>Y21-AE20</f>
        <v>1.662413207617495E-3</v>
      </c>
      <c r="AM21">
        <f>AK21+AM19</f>
        <v>2.4318998311619759E-2</v>
      </c>
      <c r="AN21">
        <f>AL21+AN19</f>
        <v>3.5522759473278565E-3</v>
      </c>
      <c r="AO21">
        <f>AJ21+AO19</f>
        <v>3.6514836134988226E-3</v>
      </c>
      <c r="AP21" s="19">
        <f>AO21*$D$4*1000/$D$6</f>
        <v>0.28525769883600588</v>
      </c>
      <c r="AQ21">
        <f t="shared" si="4"/>
        <v>4886.0143681068494</v>
      </c>
      <c r="AR21" s="6">
        <f t="shared" si="27"/>
        <v>25.553855145198824</v>
      </c>
      <c r="AS21" s="6">
        <f t="shared" si="28"/>
        <v>2.5042778042294847E-3</v>
      </c>
      <c r="AT21" s="6">
        <f t="shared" si="13"/>
        <v>4870.0516037640382</v>
      </c>
      <c r="AU21" s="6">
        <f t="shared" si="14"/>
        <v>25.470369887685923</v>
      </c>
      <c r="AV21" s="6">
        <f t="shared" si="15"/>
        <v>2.4960962489932203E-3</v>
      </c>
      <c r="AW21" s="6">
        <f>AS21-AV20</f>
        <v>2.1610727825538442E-3</v>
      </c>
      <c r="AX21" s="6">
        <f>AW21+AX20</f>
        <v>2.5349114549438109E-3</v>
      </c>
      <c r="AY21" s="19">
        <f t="shared" si="16"/>
        <v>0.19802992014454954</v>
      </c>
      <c r="AZ21" s="23">
        <f t="shared" si="32"/>
        <v>0.48328761898055539</v>
      </c>
      <c r="BA21" s="23">
        <f t="shared" si="17"/>
        <v>1.2564360916631307</v>
      </c>
    </row>
    <row r="22" spans="1:56" s="7" customFormat="1" ht="14.4" x14ac:dyDescent="0.3">
      <c r="A22" t="s">
        <v>98</v>
      </c>
      <c r="B22">
        <v>2</v>
      </c>
      <c r="C22" s="2">
        <v>45047</v>
      </c>
      <c r="D22" s="11">
        <v>0.61875000000000002</v>
      </c>
      <c r="E22">
        <v>1013.3</v>
      </c>
      <c r="F22">
        <v>1115.3</v>
      </c>
      <c r="G22">
        <v>1111.4000000000001</v>
      </c>
      <c r="H22">
        <v>0</v>
      </c>
      <c r="I22">
        <v>1.07</v>
      </c>
      <c r="J22">
        <v>20.149999999999999</v>
      </c>
      <c r="K22">
        <v>76.36</v>
      </c>
      <c r="L22">
        <v>1</v>
      </c>
      <c r="M22"/>
      <c r="N22" t="s">
        <v>99</v>
      </c>
      <c r="O22">
        <v>794.53</v>
      </c>
      <c r="P22" s="8">
        <f t="shared" si="5"/>
        <v>45047.618750000001</v>
      </c>
      <c r="Q22" s="9">
        <f t="shared" si="6"/>
        <v>13.992361111115315</v>
      </c>
      <c r="R22">
        <f t="shared" si="18"/>
        <v>97.58</v>
      </c>
      <c r="S22">
        <f t="shared" si="19"/>
        <v>0</v>
      </c>
      <c r="T22">
        <f t="shared" si="20"/>
        <v>1.0965361754457881</v>
      </c>
      <c r="U22">
        <f t="shared" si="21"/>
        <v>20.649723303955728</v>
      </c>
      <c r="V22">
        <f t="shared" si="22"/>
        <v>78.253740520598484</v>
      </c>
      <c r="W22">
        <f t="shared" si="23"/>
        <v>100</v>
      </c>
      <c r="X22" s="10">
        <f t="shared" si="24"/>
        <v>4.3973299493115743E-2</v>
      </c>
      <c r="Y22" s="10">
        <f t="shared" si="0"/>
        <v>4.8218313647913346E-4</v>
      </c>
      <c r="Z22" s="10">
        <f t="shared" si="7"/>
        <v>0</v>
      </c>
      <c r="AA22" s="10">
        <f t="shared" si="1"/>
        <v>9.0803646729481682E-3</v>
      </c>
      <c r="AB22" s="10">
        <f t="shared" si="2"/>
        <v>3.4410751683688443E-2</v>
      </c>
      <c r="AC22" s="10">
        <f t="shared" si="25"/>
        <v>4.8218313647913346E-4</v>
      </c>
      <c r="AD22" s="10">
        <f t="shared" si="8"/>
        <v>4.3819532911906073E-2</v>
      </c>
      <c r="AE22" s="10">
        <f t="shared" si="9"/>
        <v>4.8049703029042325E-4</v>
      </c>
      <c r="AF22" s="10">
        <f t="shared" si="10"/>
        <v>0</v>
      </c>
      <c r="AG22" s="10">
        <f t="shared" si="11"/>
        <v>9.0486122993944183E-3</v>
      </c>
      <c r="AH22" s="10">
        <f t="shared" si="12"/>
        <v>3.429042358222123E-2</v>
      </c>
      <c r="AI22" s="10">
        <f t="shared" si="26"/>
        <v>4.8049703029042325E-4</v>
      </c>
      <c r="AJ22" s="26"/>
      <c r="AL22" s="24"/>
      <c r="AP22" s="20"/>
      <c r="AQ22" s="7">
        <f t="shared" si="4"/>
        <v>1222.9667964746875</v>
      </c>
      <c r="AR22" s="10">
        <f t="shared" si="27"/>
        <v>6.396116345562616</v>
      </c>
      <c r="AS22" s="6">
        <f t="shared" si="28"/>
        <v>6.2681940186513636E-4</v>
      </c>
      <c r="AT22" s="6">
        <f t="shared" si="13"/>
        <v>1218.6903053904491</v>
      </c>
      <c r="AU22" s="6">
        <f t="shared" si="14"/>
        <v>6.373750297192049</v>
      </c>
      <c r="AV22" s="6">
        <f t="shared" si="15"/>
        <v>6.2462752912482078E-4</v>
      </c>
      <c r="AW22" s="6">
        <f t="shared" si="29"/>
        <v>-1.8692768471280838E-3</v>
      </c>
      <c r="AX22" s="6">
        <f t="shared" si="30"/>
        <v>6.6563460781572702E-4</v>
      </c>
      <c r="AY22" s="19">
        <f t="shared" si="16"/>
        <v>5.2000068078953396E-2</v>
      </c>
      <c r="AZ22" s="23"/>
      <c r="BA22" s="23">
        <f t="shared" si="17"/>
        <v>0</v>
      </c>
      <c r="BB22"/>
      <c r="BC22"/>
      <c r="BD22"/>
    </row>
    <row r="23" spans="1:56" ht="14.4" x14ac:dyDescent="0.3">
      <c r="A23" t="s">
        <v>98</v>
      </c>
      <c r="B23">
        <v>2</v>
      </c>
      <c r="C23" s="2">
        <v>45050</v>
      </c>
      <c r="D23" s="11">
        <v>0.40972222222222227</v>
      </c>
      <c r="E23">
        <v>1017.8</v>
      </c>
      <c r="F23">
        <v>1058.7</v>
      </c>
      <c r="G23">
        <v>1055.5999999999999</v>
      </c>
      <c r="H23">
        <v>0.01</v>
      </c>
      <c r="I23">
        <v>4.03</v>
      </c>
      <c r="J23">
        <v>13.79</v>
      </c>
      <c r="K23">
        <v>81.05</v>
      </c>
      <c r="L23">
        <v>0</v>
      </c>
      <c r="N23" t="s">
        <v>99</v>
      </c>
      <c r="P23" s="3">
        <f t="shared" si="5"/>
        <v>45050.409722222219</v>
      </c>
      <c r="Q23" s="4">
        <f t="shared" si="6"/>
        <v>16.783333333332848</v>
      </c>
      <c r="R23">
        <f t="shared" si="18"/>
        <v>98.88</v>
      </c>
      <c r="S23">
        <f t="shared" si="19"/>
        <v>1.0113268608414241E-2</v>
      </c>
      <c r="T23">
        <f t="shared" si="20"/>
        <v>4.075647249190939</v>
      </c>
      <c r="U23">
        <f t="shared" si="21"/>
        <v>13.946197411003237</v>
      </c>
      <c r="V23">
        <f t="shared" si="22"/>
        <v>81.968042071197416</v>
      </c>
      <c r="W23">
        <f t="shared" si="23"/>
        <v>100</v>
      </c>
      <c r="X23" s="6">
        <f t="shared" si="24"/>
        <v>4.1741712699149676E-2</v>
      </c>
      <c r="Y23" s="6">
        <f t="shared" si="0"/>
        <v>1.7012449653880787E-3</v>
      </c>
      <c r="Z23" s="6">
        <f t="shared" si="7"/>
        <v>4.2214515270175651E-6</v>
      </c>
      <c r="AA23" s="6">
        <f t="shared" si="1"/>
        <v>5.8213816557572216E-3</v>
      </c>
      <c r="AB23" s="6">
        <f t="shared" si="2"/>
        <v>3.4214864626477361E-2</v>
      </c>
      <c r="AC23" s="6">
        <f t="shared" si="25"/>
        <v>1.7054664169150963E-3</v>
      </c>
      <c r="AD23" s="6">
        <f t="shared" si="8"/>
        <v>4.161948798075224E-2</v>
      </c>
      <c r="AE23" s="6">
        <f t="shared" si="9"/>
        <v>1.696263517014882E-3</v>
      </c>
      <c r="AF23" s="6">
        <f t="shared" si="10"/>
        <v>4.2090906129401544E-6</v>
      </c>
      <c r="AG23" s="6">
        <f t="shared" si="11"/>
        <v>5.8043359552444719E-3</v>
      </c>
      <c r="AH23" s="6">
        <f t="shared" si="12"/>
        <v>3.4114679417879948E-2</v>
      </c>
      <c r="AI23" s="6">
        <f t="shared" si="26"/>
        <v>1.7004726076278222E-3</v>
      </c>
      <c r="AJ23" s="22">
        <f t="shared" si="31"/>
        <v>1.224969386624673E-3</v>
      </c>
      <c r="AK23">
        <f>(AA23-AG22)*-1</f>
        <v>3.2272306436371967E-3</v>
      </c>
      <c r="AL23" s="25">
        <f>Y23-AE22</f>
        <v>1.2207479350976554E-3</v>
      </c>
      <c r="AM23">
        <f>AK23+AM21</f>
        <v>2.7546228955256956E-2</v>
      </c>
      <c r="AN23">
        <f>AL23+AN21</f>
        <v>4.7730238824255124E-3</v>
      </c>
      <c r="AO23">
        <f>AJ23+AO21</f>
        <v>4.876453000123496E-3</v>
      </c>
      <c r="AP23" s="19">
        <f>AO23*$D$4*1000/$D$6</f>
        <v>0.38095358175913502</v>
      </c>
      <c r="AQ23">
        <f t="shared" si="4"/>
        <v>4314.887742718447</v>
      </c>
      <c r="AR23" s="6">
        <f>AQ23*$D$7</f>
        <v>22.566862894417479</v>
      </c>
      <c r="AS23" s="6">
        <f t="shared" si="28"/>
        <v>2.2115525636529128E-3</v>
      </c>
      <c r="AT23" s="6">
        <f t="shared" si="13"/>
        <v>4302.2532362459551</v>
      </c>
      <c r="AU23" s="6">
        <f t="shared" si="14"/>
        <v>22.500784425566348</v>
      </c>
      <c r="AV23" s="6">
        <f t="shared" si="15"/>
        <v>2.2050768737055023E-3</v>
      </c>
      <c r="AW23" s="6">
        <f t="shared" si="29"/>
        <v>1.5869250345280921E-3</v>
      </c>
      <c r="AX23" s="6">
        <f t="shared" si="30"/>
        <v>2.2525596423438191E-3</v>
      </c>
      <c r="AY23" s="19">
        <f t="shared" si="16"/>
        <v>0.17597230278959361</v>
      </c>
      <c r="AZ23" s="23">
        <f t="shared" si="32"/>
        <v>0.5569258845487286</v>
      </c>
      <c r="BA23" s="23">
        <f t="shared" si="17"/>
        <v>1.1494325295539582</v>
      </c>
    </row>
    <row r="24" spans="1:56" s="7" customFormat="1" ht="14.4" x14ac:dyDescent="0.3">
      <c r="A24" t="s">
        <v>98</v>
      </c>
      <c r="B24">
        <v>2</v>
      </c>
      <c r="C24" s="2">
        <v>45050</v>
      </c>
      <c r="D24" s="11">
        <v>0.45</v>
      </c>
      <c r="E24">
        <v>1017.2</v>
      </c>
      <c r="F24">
        <v>1120.7</v>
      </c>
      <c r="G24">
        <v>1117.3</v>
      </c>
      <c r="H24">
        <v>0</v>
      </c>
      <c r="I24">
        <v>0.52</v>
      </c>
      <c r="J24">
        <v>20.38</v>
      </c>
      <c r="K24">
        <v>75.72</v>
      </c>
      <c r="L24">
        <v>1</v>
      </c>
      <c r="M24"/>
      <c r="N24" t="s">
        <v>99</v>
      </c>
      <c r="O24">
        <v>794.43</v>
      </c>
      <c r="P24" s="8">
        <f t="shared" si="5"/>
        <v>45050.45</v>
      </c>
      <c r="Q24" s="9">
        <f t="shared" si="6"/>
        <v>16.823611111110949</v>
      </c>
      <c r="R24">
        <f t="shared" si="18"/>
        <v>96.62</v>
      </c>
      <c r="S24">
        <f t="shared" si="19"/>
        <v>0</v>
      </c>
      <c r="T24">
        <f t="shared" si="20"/>
        <v>0.53819085075553708</v>
      </c>
      <c r="U24">
        <f t="shared" si="21"/>
        <v>21.09294141999586</v>
      </c>
      <c r="V24">
        <f t="shared" si="22"/>
        <v>78.368867729248592</v>
      </c>
      <c r="W24">
        <f t="shared" si="23"/>
        <v>99.999999999999986</v>
      </c>
      <c r="X24" s="10">
        <f t="shared" si="24"/>
        <v>4.4186207067098367E-2</v>
      </c>
      <c r="Y24" s="10">
        <f t="shared" si="0"/>
        <v>2.3780612373101994E-4</v>
      </c>
      <c r="Z24" s="10">
        <f t="shared" si="7"/>
        <v>0</v>
      </c>
      <c r="AA24" s="10">
        <f t="shared" si="1"/>
        <v>9.3201707723811287E-3</v>
      </c>
      <c r="AB24" s="10">
        <f t="shared" si="2"/>
        <v>3.4628230170986214E-2</v>
      </c>
      <c r="AC24" s="10">
        <f t="shared" si="25"/>
        <v>2.3780612373101994E-4</v>
      </c>
      <c r="AD24" s="10">
        <f t="shared" si="8"/>
        <v>4.405215415014635E-2</v>
      </c>
      <c r="AE24" s="10">
        <f t="shared" si="9"/>
        <v>2.3708466319681328E-4</v>
      </c>
      <c r="AF24" s="10">
        <f t="shared" si="10"/>
        <v>0</v>
      </c>
      <c r="AG24" s="10">
        <f t="shared" si="11"/>
        <v>9.291895069136644E-3</v>
      </c>
      <c r="AH24" s="10">
        <f t="shared" si="12"/>
        <v>3.4523174417812885E-2</v>
      </c>
      <c r="AI24" s="10">
        <f t="shared" si="26"/>
        <v>2.3708466319681328E-4</v>
      </c>
      <c r="AJ24" s="26"/>
      <c r="AL24" s="24"/>
      <c r="AP24" s="20"/>
      <c r="AQ24" s="7">
        <f t="shared" si="4"/>
        <v>603.15048644173044</v>
      </c>
      <c r="AR24" s="10">
        <f t="shared" si="27"/>
        <v>3.1544770440902505</v>
      </c>
      <c r="AS24" s="6">
        <f t="shared" si="28"/>
        <v>3.0913875032084461E-4</v>
      </c>
      <c r="AT24" s="6">
        <f t="shared" si="13"/>
        <v>601.32063754916157</v>
      </c>
      <c r="AU24" s="6">
        <f t="shared" si="14"/>
        <v>3.144906934382115</v>
      </c>
      <c r="AV24" s="6">
        <f t="shared" si="15"/>
        <v>3.0820087956944729E-4</v>
      </c>
      <c r="AW24" s="6">
        <f t="shared" si="29"/>
        <v>-1.8959381233846577E-3</v>
      </c>
      <c r="AX24" s="6">
        <f t="shared" si="30"/>
        <v>3.5662151895916134E-4</v>
      </c>
      <c r="AY24" s="19">
        <f t="shared" si="16"/>
        <v>2.7859644084836918E-2</v>
      </c>
      <c r="AZ24" s="23"/>
      <c r="BA24" s="23">
        <f t="shared" si="17"/>
        <v>0</v>
      </c>
      <c r="BB24"/>
      <c r="BC24"/>
      <c r="BD24"/>
    </row>
    <row r="25" spans="1:56" ht="14.4" x14ac:dyDescent="0.3">
      <c r="A25" t="s">
        <v>98</v>
      </c>
      <c r="B25">
        <v>2</v>
      </c>
      <c r="C25" s="2">
        <v>45054</v>
      </c>
      <c r="D25" s="11">
        <v>0.36249999999999999</v>
      </c>
      <c r="E25">
        <v>1018.7</v>
      </c>
      <c r="F25">
        <v>1064</v>
      </c>
      <c r="G25">
        <v>1060</v>
      </c>
      <c r="H25">
        <v>0.1</v>
      </c>
      <c r="I25">
        <v>4.1100000000000003</v>
      </c>
      <c r="J25">
        <v>13.12</v>
      </c>
      <c r="K25">
        <v>82.42</v>
      </c>
      <c r="L25">
        <v>0</v>
      </c>
      <c r="N25" t="s">
        <v>99</v>
      </c>
      <c r="P25" s="3">
        <f t="shared" si="5"/>
        <v>45054.362500000003</v>
      </c>
      <c r="Q25" s="4">
        <f t="shared" si="6"/>
        <v>20.73611111111677</v>
      </c>
      <c r="R25">
        <f t="shared" si="18"/>
        <v>99.75</v>
      </c>
      <c r="S25">
        <f t="shared" si="19"/>
        <v>0.10025062656641603</v>
      </c>
      <c r="T25">
        <f t="shared" si="20"/>
        <v>4.1203007518797001</v>
      </c>
      <c r="U25">
        <f t="shared" si="21"/>
        <v>13.152882205513784</v>
      </c>
      <c r="V25">
        <f t="shared" si="22"/>
        <v>82.626566416040106</v>
      </c>
      <c r="W25">
        <f t="shared" si="23"/>
        <v>100</v>
      </c>
      <c r="X25" s="6">
        <f t="shared" si="24"/>
        <v>4.1950677540280777E-2</v>
      </c>
      <c r="Y25" s="6">
        <f t="shared" si="0"/>
        <v>1.7284940821108174E-3</v>
      </c>
      <c r="Z25" s="6">
        <f t="shared" si="7"/>
        <v>4.2055817082988247E-5</v>
      </c>
      <c r="AA25" s="6">
        <f t="shared" si="1"/>
        <v>5.517723201288057E-3</v>
      </c>
      <c r="AB25" s="6">
        <f t="shared" si="2"/>
        <v>3.4662404439798913E-2</v>
      </c>
      <c r="AC25" s="6">
        <f t="shared" si="25"/>
        <v>1.7705498991938057E-3</v>
      </c>
      <c r="AD25" s="6">
        <f t="shared" si="8"/>
        <v>4.1792968226219571E-2</v>
      </c>
      <c r="AE25" s="6">
        <f t="shared" si="9"/>
        <v>1.7219959840577691E-3</v>
      </c>
      <c r="AF25" s="6">
        <f t="shared" si="10"/>
        <v>4.1897712507488287E-5</v>
      </c>
      <c r="AG25" s="6">
        <f t="shared" si="11"/>
        <v>5.4969798809824631E-3</v>
      </c>
      <c r="AH25" s="6">
        <f t="shared" si="12"/>
        <v>3.4532094648671852E-2</v>
      </c>
      <c r="AI25" s="6">
        <f t="shared" si="26"/>
        <v>1.7638936965652574E-3</v>
      </c>
      <c r="AJ25" s="22">
        <f t="shared" si="31"/>
        <v>1.5334652359969925E-3</v>
      </c>
      <c r="AK25">
        <f>(AA25-AG24)*-1</f>
        <v>3.774171867848587E-3</v>
      </c>
      <c r="AL25" s="25">
        <f>Y25-AE24</f>
        <v>1.4914094189140041E-3</v>
      </c>
      <c r="AM25">
        <f>AK25+AM23</f>
        <v>3.132040082310554E-2</v>
      </c>
      <c r="AN25">
        <f>AL25+AN23</f>
        <v>6.2644333013395165E-3</v>
      </c>
      <c r="AO25">
        <f>AJ25+AO23</f>
        <v>6.4099182361204883E-3</v>
      </c>
      <c r="AP25" s="19">
        <f>AO25*$D$4*1000/$D$6</f>
        <v>0.50074948138974296</v>
      </c>
      <c r="AQ25">
        <f t="shared" si="4"/>
        <v>4384.0000000000009</v>
      </c>
      <c r="AR25" s="6">
        <f t="shared" si="27"/>
        <v>22.928320000000006</v>
      </c>
      <c r="AS25" s="6">
        <f t="shared" si="28"/>
        <v>2.2469753600000007E-3</v>
      </c>
      <c r="AT25" s="6">
        <f t="shared" si="13"/>
        <v>4367.5187969924827</v>
      </c>
      <c r="AU25" s="6">
        <f t="shared" si="14"/>
        <v>22.842123308270686</v>
      </c>
      <c r="AV25" s="6">
        <f t="shared" si="15"/>
        <v>2.2385280842105275E-3</v>
      </c>
      <c r="AW25" s="6">
        <f t="shared" si="29"/>
        <v>1.9387744804305535E-3</v>
      </c>
      <c r="AX25" s="6">
        <f t="shared" si="30"/>
        <v>2.2953959993897146E-3</v>
      </c>
      <c r="AY25" s="19">
        <f t="shared" si="16"/>
        <v>0.17931872356833051</v>
      </c>
      <c r="AZ25" s="23">
        <f t="shared" si="32"/>
        <v>0.68006820495807352</v>
      </c>
      <c r="BA25" s="23">
        <f t="shared" si="17"/>
        <v>1.1002826608129548</v>
      </c>
    </row>
    <row r="26" spans="1:56" s="7" customFormat="1" ht="14.4" x14ac:dyDescent="0.3">
      <c r="A26" t="s">
        <v>98</v>
      </c>
      <c r="B26">
        <v>2</v>
      </c>
      <c r="C26" s="2">
        <v>45054</v>
      </c>
      <c r="D26" s="11">
        <v>0.40972222222222227</v>
      </c>
      <c r="E26">
        <v>1018.7</v>
      </c>
      <c r="F26">
        <v>1122.3</v>
      </c>
      <c r="G26">
        <v>1119</v>
      </c>
      <c r="H26">
        <v>0</v>
      </c>
      <c r="I26">
        <v>0.7</v>
      </c>
      <c r="J26">
        <v>20.079999999999998</v>
      </c>
      <c r="K26">
        <v>74.88</v>
      </c>
      <c r="L26">
        <v>1</v>
      </c>
      <c r="M26"/>
      <c r="N26" t="s">
        <v>99</v>
      </c>
      <c r="O26">
        <v>794.37</v>
      </c>
      <c r="P26" s="8">
        <f t="shared" si="5"/>
        <v>45054.409722222219</v>
      </c>
      <c r="Q26" s="9">
        <f t="shared" si="6"/>
        <v>20.783333333332848</v>
      </c>
      <c r="R26">
        <f t="shared" si="18"/>
        <v>95.66</v>
      </c>
      <c r="S26">
        <f t="shared" si="19"/>
        <v>0</v>
      </c>
      <c r="T26">
        <f t="shared" si="20"/>
        <v>0.73175831068367136</v>
      </c>
      <c r="U26">
        <f t="shared" si="21"/>
        <v>20.991009826468741</v>
      </c>
      <c r="V26">
        <f t="shared" si="22"/>
        <v>78.277231862847586</v>
      </c>
      <c r="W26">
        <f t="shared" si="23"/>
        <v>100</v>
      </c>
      <c r="X26" s="10">
        <f t="shared" si="24"/>
        <v>4.4249290792722856E-2</v>
      </c>
      <c r="Y26" s="10">
        <f t="shared" si="0"/>
        <v>3.237978627943341E-4</v>
      </c>
      <c r="Z26" s="10">
        <f t="shared" si="7"/>
        <v>0</v>
      </c>
      <c r="AA26" s="10">
        <f t="shared" si="1"/>
        <v>9.288372978443182E-3</v>
      </c>
      <c r="AB26" s="10">
        <f t="shared" si="2"/>
        <v>3.4637119951485336E-2</v>
      </c>
      <c r="AC26" s="10">
        <f t="shared" si="25"/>
        <v>3.237978627943341E-4</v>
      </c>
      <c r="AD26" s="10">
        <f t="shared" si="8"/>
        <v>4.4119180608622355E-2</v>
      </c>
      <c r="AE26" s="10">
        <f t="shared" si="9"/>
        <v>3.2284577070913284E-4</v>
      </c>
      <c r="AF26" s="10">
        <f t="shared" si="10"/>
        <v>0</v>
      </c>
      <c r="AG26" s="10">
        <f t="shared" si="11"/>
        <v>9.2610615369134106E-3</v>
      </c>
      <c r="AH26" s="10">
        <f t="shared" si="12"/>
        <v>3.4535273300999807E-2</v>
      </c>
      <c r="AI26" s="10">
        <f t="shared" si="26"/>
        <v>3.2284577070913284E-4</v>
      </c>
      <c r="AJ26" s="26"/>
      <c r="AL26" s="24"/>
      <c r="AP26" s="20"/>
      <c r="AQ26" s="7">
        <f t="shared" si="4"/>
        <v>821.25235208028437</v>
      </c>
      <c r="AR26" s="10">
        <f>AQ26*$D$7</f>
        <v>4.2951498013798872</v>
      </c>
      <c r="AS26" s="6">
        <f t="shared" si="28"/>
        <v>4.2092468053522896E-4</v>
      </c>
      <c r="AT26" s="6">
        <f t="shared" si="13"/>
        <v>818.83754965502828</v>
      </c>
      <c r="AU26" s="6">
        <f t="shared" si="14"/>
        <v>4.2825203846957978</v>
      </c>
      <c r="AV26" s="6">
        <f t="shared" si="15"/>
        <v>4.1968699770018821E-4</v>
      </c>
      <c r="AW26" s="6">
        <f t="shared" si="29"/>
        <v>-1.8176034036752986E-3</v>
      </c>
      <c r="AX26" s="6">
        <f t="shared" si="30"/>
        <v>4.7779259571441605E-4</v>
      </c>
      <c r="AY26" s="19">
        <f t="shared" si="16"/>
        <v>3.7325654665551287E-2</v>
      </c>
      <c r="AZ26" s="23"/>
      <c r="BA26" s="23">
        <f t="shared" si="17"/>
        <v>0</v>
      </c>
      <c r="BB26"/>
      <c r="BC26"/>
      <c r="BD26"/>
    </row>
    <row r="27" spans="1:56" ht="14.4" x14ac:dyDescent="0.3">
      <c r="A27" t="s">
        <v>98</v>
      </c>
      <c r="B27">
        <v>2</v>
      </c>
      <c r="C27" s="2">
        <v>45056</v>
      </c>
      <c r="D27" s="11">
        <v>0.39999999999999997</v>
      </c>
      <c r="E27">
        <v>1007.5</v>
      </c>
      <c r="F27">
        <v>1089</v>
      </c>
      <c r="G27">
        <v>1087.5</v>
      </c>
      <c r="H27">
        <v>0</v>
      </c>
      <c r="I27">
        <v>2.77</v>
      </c>
      <c r="J27">
        <v>17.61</v>
      </c>
      <c r="K27">
        <v>83.27</v>
      </c>
      <c r="L27">
        <v>0</v>
      </c>
      <c r="N27" t="s">
        <v>99</v>
      </c>
      <c r="P27" s="3">
        <f t="shared" si="5"/>
        <v>45056.4</v>
      </c>
      <c r="Q27" s="4">
        <f t="shared" si="6"/>
        <v>22.773611111115315</v>
      </c>
      <c r="R27">
        <f t="shared" si="18"/>
        <v>103.64999999999999</v>
      </c>
      <c r="S27">
        <f t="shared" si="19"/>
        <v>0</v>
      </c>
      <c r="T27">
        <f t="shared" si="20"/>
        <v>2.6724553786782441</v>
      </c>
      <c r="U27">
        <f t="shared" si="21"/>
        <v>16.98986975397974</v>
      </c>
      <c r="V27">
        <f t="shared" si="22"/>
        <v>80.337674867342017</v>
      </c>
      <c r="W27">
        <f t="shared" si="23"/>
        <v>100</v>
      </c>
      <c r="X27" s="6">
        <f t="shared" si="24"/>
        <v>4.2936360753163316E-2</v>
      </c>
      <c r="Y27" s="6">
        <f t="shared" si="0"/>
        <v>1.1474550823566076E-3</v>
      </c>
      <c r="Z27" s="6">
        <f t="shared" si="7"/>
        <v>0</v>
      </c>
      <c r="AA27" s="6">
        <f t="shared" si="1"/>
        <v>7.2948317690613215E-3</v>
      </c>
      <c r="AB27" s="6">
        <f t="shared" si="2"/>
        <v>3.4494073901745387E-2</v>
      </c>
      <c r="AC27" s="6">
        <f t="shared" si="25"/>
        <v>1.1474550823566076E-3</v>
      </c>
      <c r="AD27" s="6">
        <f t="shared" si="8"/>
        <v>4.2877219760390363E-2</v>
      </c>
      <c r="AE27" s="6">
        <f t="shared" si="9"/>
        <v>1.1458745657142431E-3</v>
      </c>
      <c r="AF27" s="6">
        <f t="shared" si="10"/>
        <v>0</v>
      </c>
      <c r="AG27" s="6">
        <f t="shared" si="11"/>
        <v>7.2847837914179871E-3</v>
      </c>
      <c r="AH27" s="6">
        <f t="shared" si="12"/>
        <v>3.4446561403258136E-2</v>
      </c>
      <c r="AI27" s="6">
        <f t="shared" si="26"/>
        <v>1.1458745657142431E-3</v>
      </c>
      <c r="AJ27" s="22">
        <f t="shared" si="31"/>
        <v>8.2460931164747477E-4</v>
      </c>
      <c r="AK27">
        <f>(AA27-AG26)*-1</f>
        <v>1.9662297678520891E-3</v>
      </c>
      <c r="AL27" s="25">
        <f>Y27-AE26</f>
        <v>8.2460931164747477E-4</v>
      </c>
      <c r="AM27">
        <f>AK27+AM25</f>
        <v>3.3286630590957628E-2</v>
      </c>
      <c r="AN27">
        <f>AL27+AN25</f>
        <v>7.0890426129869913E-3</v>
      </c>
      <c r="AO27">
        <f>AJ27+AO25</f>
        <v>7.2345275477679631E-3</v>
      </c>
      <c r="AP27" s="19">
        <f>AO27*$D$4*1000/$D$6</f>
        <v>0.56516881872696023</v>
      </c>
      <c r="AQ27">
        <f t="shared" si="4"/>
        <v>2910.3039073806076</v>
      </c>
      <c r="AR27" s="6">
        <f t="shared" si="27"/>
        <v>15.220889435600579</v>
      </c>
      <c r="AS27" s="6">
        <f t="shared" si="28"/>
        <v>1.4916471646888568E-3</v>
      </c>
      <c r="AT27" s="6">
        <f t="shared" si="13"/>
        <v>2906.2952243125906</v>
      </c>
      <c r="AU27" s="6">
        <f t="shared" si="14"/>
        <v>15.19992402315485</v>
      </c>
      <c r="AV27" s="6">
        <f t="shared" si="15"/>
        <v>1.4895925542691753E-3</v>
      </c>
      <c r="AW27" s="6">
        <f t="shared" si="29"/>
        <v>1.0719601669886686E-3</v>
      </c>
      <c r="AX27" s="6">
        <f t="shared" si="30"/>
        <v>1.5497527627030847E-3</v>
      </c>
      <c r="AY27" s="19">
        <f t="shared" si="16"/>
        <v>0.1210682981621895</v>
      </c>
      <c r="AZ27" s="23">
        <f t="shared" si="32"/>
        <v>0.68623711688914968</v>
      </c>
      <c r="BA27" s="23">
        <f t="shared" si="17"/>
        <v>1.0367296268344672</v>
      </c>
    </row>
    <row r="28" spans="1:56" s="7" customFormat="1" ht="14.4" x14ac:dyDescent="0.3">
      <c r="A28" t="s">
        <v>98</v>
      </c>
      <c r="B28">
        <v>2</v>
      </c>
      <c r="C28" s="2">
        <v>45056</v>
      </c>
      <c r="D28" s="11">
        <v>0.4458333333333333</v>
      </c>
      <c r="E28">
        <v>1008</v>
      </c>
      <c r="F28">
        <v>1108.5</v>
      </c>
      <c r="G28">
        <v>1105.7</v>
      </c>
      <c r="H28">
        <v>0</v>
      </c>
      <c r="I28">
        <v>0.47</v>
      </c>
      <c r="J28">
        <v>20.260000000000002</v>
      </c>
      <c r="K28">
        <v>75.180000000000007</v>
      </c>
      <c r="L28">
        <v>1</v>
      </c>
      <c r="M28"/>
      <c r="N28" t="s">
        <v>99</v>
      </c>
      <c r="O28">
        <v>794.29</v>
      </c>
      <c r="P28" s="8">
        <f t="shared" si="5"/>
        <v>45056.445833333331</v>
      </c>
      <c r="Q28" s="9">
        <f t="shared" si="6"/>
        <v>22.819444444445253</v>
      </c>
      <c r="R28">
        <f t="shared" si="18"/>
        <v>95.910000000000011</v>
      </c>
      <c r="S28">
        <f t="shared" si="19"/>
        <v>0</v>
      </c>
      <c r="T28">
        <f t="shared" si="20"/>
        <v>0.49004274840996764</v>
      </c>
      <c r="U28">
        <f t="shared" si="21"/>
        <v>21.123970388906265</v>
      </c>
      <c r="V28">
        <f t="shared" si="22"/>
        <v>78.385986862683765</v>
      </c>
      <c r="W28">
        <f t="shared" si="23"/>
        <v>100</v>
      </c>
      <c r="X28" s="10">
        <f t="shared" si="24"/>
        <v>4.3705193659211689E-2</v>
      </c>
      <c r="Y28" s="10">
        <f t="shared" si="0"/>
        <v>2.1417413220549988E-4</v>
      </c>
      <c r="Z28" s="10">
        <f t="shared" si="7"/>
        <v>0</v>
      </c>
      <c r="AA28" s="10">
        <f t="shared" si="1"/>
        <v>9.232272166986015E-3</v>
      </c>
      <c r="AB28" s="10">
        <f t="shared" si="2"/>
        <v>3.4258747360020173E-2</v>
      </c>
      <c r="AC28" s="10">
        <f t="shared" si="25"/>
        <v>2.1417413220549988E-4</v>
      </c>
      <c r="AD28" s="10">
        <f t="shared" si="8"/>
        <v>4.3594797139368847E-2</v>
      </c>
      <c r="AE28" s="10">
        <f t="shared" si="9"/>
        <v>2.1363314206551305E-4</v>
      </c>
      <c r="AF28" s="10">
        <f t="shared" si="10"/>
        <v>0</v>
      </c>
      <c r="AG28" s="10">
        <f t="shared" si="11"/>
        <v>9.2089520388240302E-3</v>
      </c>
      <c r="AH28" s="10">
        <f t="shared" si="12"/>
        <v>3.4172211958479304E-2</v>
      </c>
      <c r="AI28" s="10">
        <f t="shared" si="26"/>
        <v>2.1363314206551305E-4</v>
      </c>
      <c r="AJ28" s="22"/>
      <c r="AK28"/>
      <c r="AL28" s="25"/>
      <c r="AM28"/>
      <c r="AN28"/>
      <c r="AO28"/>
      <c r="AP28" s="19"/>
      <c r="AQ28" s="7">
        <f t="shared" si="4"/>
        <v>543.21238661244911</v>
      </c>
      <c r="AR28" s="10">
        <f t="shared" si="27"/>
        <v>2.8410007819831091</v>
      </c>
      <c r="AS28" s="6">
        <f t="shared" si="28"/>
        <v>2.7841807663434471E-4</v>
      </c>
      <c r="AT28" s="6">
        <f t="shared" si="13"/>
        <v>541.84026691690121</v>
      </c>
      <c r="AU28" s="6">
        <f t="shared" si="14"/>
        <v>2.8338245959753934</v>
      </c>
      <c r="AV28" s="6">
        <f t="shared" si="15"/>
        <v>2.7771481040558853E-4</v>
      </c>
      <c r="AW28" s="6">
        <f t="shared" si="29"/>
        <v>-1.2111744776348307E-3</v>
      </c>
      <c r="AX28" s="6">
        <f t="shared" si="30"/>
        <v>3.3857828506825391E-4</v>
      </c>
      <c r="AY28" s="19">
        <f t="shared" si="16"/>
        <v>2.6450087881365887E-2</v>
      </c>
      <c r="AZ28" s="23"/>
      <c r="BA28" s="23">
        <f t="shared" si="17"/>
        <v>0</v>
      </c>
      <c r="BB28"/>
      <c r="BC28"/>
      <c r="BD28"/>
    </row>
    <row r="29" spans="1:56" ht="15" customHeight="1" x14ac:dyDescent="0.3">
      <c r="A29" t="s">
        <v>98</v>
      </c>
      <c r="B29">
        <v>2</v>
      </c>
      <c r="C29" s="2">
        <v>45058</v>
      </c>
      <c r="D29" s="11">
        <v>0.38194444444444442</v>
      </c>
      <c r="E29">
        <v>1014.4</v>
      </c>
      <c r="F29">
        <v>1075.5</v>
      </c>
      <c r="G29">
        <v>1072.5</v>
      </c>
      <c r="H29">
        <v>0</v>
      </c>
      <c r="I29">
        <v>2.37</v>
      </c>
      <c r="J29">
        <v>17.18</v>
      </c>
      <c r="K29">
        <v>81.459999999999994</v>
      </c>
      <c r="L29">
        <v>0</v>
      </c>
      <c r="N29" t="s">
        <v>99</v>
      </c>
      <c r="P29" s="3">
        <f t="shared" si="5"/>
        <v>45058.381944444445</v>
      </c>
      <c r="Q29" s="4">
        <f t="shared" si="6"/>
        <v>24.755555555559113</v>
      </c>
      <c r="R29">
        <f t="shared" si="18"/>
        <v>101.00999999999999</v>
      </c>
      <c r="S29">
        <f t="shared" si="19"/>
        <v>0</v>
      </c>
      <c r="T29">
        <f t="shared" si="20"/>
        <v>2.3463023463023465</v>
      </c>
      <c r="U29">
        <f t="shared" si="21"/>
        <v>17.008217008217009</v>
      </c>
      <c r="V29">
        <f t="shared" si="22"/>
        <v>80.645480645480646</v>
      </c>
      <c r="W29">
        <f t="shared" si="23"/>
        <v>100</v>
      </c>
      <c r="X29" s="6">
        <f t="shared" si="24"/>
        <v>4.2404091818206743E-2</v>
      </c>
      <c r="Y29" s="6">
        <f t="shared" si="0"/>
        <v>9.9492820125878607E-4</v>
      </c>
      <c r="Z29" s="6">
        <f t="shared" si="7"/>
        <v>0</v>
      </c>
      <c r="AA29" s="6">
        <f t="shared" si="1"/>
        <v>7.2121799568041966E-3</v>
      </c>
      <c r="AB29" s="6">
        <f t="shared" si="2"/>
        <v>3.4196983660143759E-2</v>
      </c>
      <c r="AC29" s="6">
        <f>Y29+Z29</f>
        <v>9.9492820125878607E-4</v>
      </c>
      <c r="AD29" s="6">
        <f t="shared" si="8"/>
        <v>4.2285809832660844E-2</v>
      </c>
      <c r="AE29" s="6">
        <f t="shared" si="9"/>
        <v>9.9215294825666985E-4</v>
      </c>
      <c r="AF29" s="6">
        <f t="shared" si="10"/>
        <v>0</v>
      </c>
      <c r="AG29" s="6">
        <f t="shared" si="11"/>
        <v>7.1920623000209212E-3</v>
      </c>
      <c r="AH29" s="6">
        <f t="shared" si="12"/>
        <v>3.4101594584383249E-2</v>
      </c>
      <c r="AI29" s="6">
        <f>AE29+AF29</f>
        <v>9.9215294825666985E-4</v>
      </c>
      <c r="AJ29" s="22">
        <f t="shared" ref="AJ29:AJ33" si="37">AC29-AI28</f>
        <v>7.81295059193273E-4</v>
      </c>
      <c r="AK29">
        <f t="shared" ref="AK29:AK33" si="38">(AA29-AG28)*-1</f>
        <v>1.9967720820198336E-3</v>
      </c>
      <c r="AL29" s="25">
        <f t="shared" ref="AL29:AL33" si="39">Y29-AE28</f>
        <v>7.81295059193273E-4</v>
      </c>
      <c r="AM29">
        <f>AK29+AM27</f>
        <v>3.5283402672977464E-2</v>
      </c>
      <c r="AN29">
        <f>AL29+AN27</f>
        <v>7.8703376721802644E-3</v>
      </c>
      <c r="AO29">
        <f>AJ29+AO27</f>
        <v>8.0158226069612353E-3</v>
      </c>
      <c r="AP29" s="19">
        <f t="shared" ref="AP29:AP35" si="40">AO29*$D$4*1000/$D$6</f>
        <v>0.62620440159894819</v>
      </c>
      <c r="AQ29">
        <f t="shared" si="4"/>
        <v>2523.4481734481737</v>
      </c>
      <c r="AR29" s="6">
        <f t="shared" si="27"/>
        <v>13.19763394713395</v>
      </c>
      <c r="AS29" s="6">
        <f t="shared" si="28"/>
        <v>1.2933681268191271E-3</v>
      </c>
      <c r="AT29" s="6">
        <f t="shared" si="13"/>
        <v>2516.4092664092664</v>
      </c>
      <c r="AU29" s="6">
        <f t="shared" si="14"/>
        <v>13.160820463320464</v>
      </c>
      <c r="AV29" s="6">
        <f t="shared" si="15"/>
        <v>1.2897604054054055E-3</v>
      </c>
      <c r="AW29" s="6">
        <f t="shared" si="29"/>
        <v>1.0156533164135386E-3</v>
      </c>
      <c r="AX29" s="6">
        <f t="shared" si="30"/>
        <v>1.3542316014817926E-3</v>
      </c>
      <c r="AY29" s="19">
        <f t="shared" si="16"/>
        <v>0.10579398163026144</v>
      </c>
      <c r="AZ29" s="23">
        <f t="shared" si="32"/>
        <v>0.73199838322920963</v>
      </c>
      <c r="BA29" s="23">
        <f t="shared" si="17"/>
        <v>1.1112016956778423</v>
      </c>
    </row>
    <row r="30" spans="1:56" ht="15" customHeight="1" x14ac:dyDescent="0.3">
      <c r="A30" t="s">
        <v>98</v>
      </c>
      <c r="B30">
        <v>2</v>
      </c>
      <c r="C30" s="2">
        <v>45058</v>
      </c>
      <c r="D30" s="11">
        <v>0.44375000000000003</v>
      </c>
      <c r="E30">
        <v>1015.1</v>
      </c>
      <c r="F30">
        <v>1117.2</v>
      </c>
      <c r="G30">
        <v>1114.4000000000001</v>
      </c>
      <c r="H30">
        <v>0</v>
      </c>
      <c r="I30">
        <v>0.45</v>
      </c>
      <c r="J30">
        <v>20.329999999999998</v>
      </c>
      <c r="K30">
        <v>75.53</v>
      </c>
      <c r="L30">
        <v>1</v>
      </c>
      <c r="N30" t="s">
        <v>99</v>
      </c>
      <c r="O30">
        <v>794.22</v>
      </c>
      <c r="P30" s="8">
        <f t="shared" si="5"/>
        <v>45058.443749999999</v>
      </c>
      <c r="Q30" s="9">
        <f t="shared" si="6"/>
        <v>24.817361111112405</v>
      </c>
      <c r="R30">
        <f t="shared" si="18"/>
        <v>96.31</v>
      </c>
      <c r="S30">
        <f t="shared" si="19"/>
        <v>0</v>
      </c>
      <c r="T30">
        <f t="shared" si="20"/>
        <v>0.46724120029072785</v>
      </c>
      <c r="U30">
        <f t="shared" si="21"/>
        <v>21.10891911535666</v>
      </c>
      <c r="V30">
        <f t="shared" si="22"/>
        <v>78.423839684352615</v>
      </c>
      <c r="W30">
        <f t="shared" si="23"/>
        <v>100</v>
      </c>
      <c r="X30" s="6">
        <f t="shared" si="24"/>
        <v>4.4048211417294814E-2</v>
      </c>
      <c r="Y30" s="6">
        <f t="shared" si="0"/>
        <v>2.0581139173276572E-4</v>
      </c>
      <c r="Z30" s="6">
        <f t="shared" si="7"/>
        <v>0</v>
      </c>
      <c r="AA30" s="6">
        <f t="shared" si="1"/>
        <v>9.2981013198380584E-3</v>
      </c>
      <c r="AB30" s="6">
        <f t="shared" si="2"/>
        <v>3.4544298705723987E-2</v>
      </c>
      <c r="AC30" s="6">
        <f t="shared" ref="AC30:AC36" si="41">Y30+Z30</f>
        <v>2.0581139173276572E-4</v>
      </c>
      <c r="AD30" s="6">
        <f t="shared" si="8"/>
        <v>4.3937814897451979E-2</v>
      </c>
      <c r="AE30" s="6">
        <f t="shared" si="9"/>
        <v>2.0529557370837286E-4</v>
      </c>
      <c r="AF30" s="6">
        <f t="shared" si="10"/>
        <v>0</v>
      </c>
      <c r="AG30" s="6">
        <f t="shared" si="11"/>
        <v>9.2747978077582678E-3</v>
      </c>
      <c r="AH30" s="6">
        <f t="shared" si="12"/>
        <v>3.4457721515985341E-2</v>
      </c>
      <c r="AI30" s="6">
        <f t="shared" ref="AI30:AI36" si="42">AE30+AF30</f>
        <v>2.0529557370837286E-4</v>
      </c>
      <c r="AJ30" s="22"/>
      <c r="AL30" s="25"/>
      <c r="AP30" s="19"/>
      <c r="AQ30">
        <f t="shared" si="4"/>
        <v>522.00186896480113</v>
      </c>
      <c r="AR30" s="6">
        <f t="shared" si="27"/>
        <v>2.7300697746859099</v>
      </c>
      <c r="AS30" s="6">
        <f t="shared" si="28"/>
        <v>2.6754683791921916E-4</v>
      </c>
      <c r="AT30" s="6">
        <f t="shared" si="13"/>
        <v>520.69359360398721</v>
      </c>
      <c r="AU30" s="6">
        <f t="shared" si="14"/>
        <v>2.723227494548853</v>
      </c>
      <c r="AV30" s="6">
        <f t="shared" si="15"/>
        <v>2.6687629446578757E-4</v>
      </c>
      <c r="AW30" s="6">
        <f t="shared" si="29"/>
        <v>-1.0222135674861862E-3</v>
      </c>
      <c r="AX30" s="6">
        <f t="shared" si="30"/>
        <v>3.3201803399560636E-4</v>
      </c>
      <c r="AY30" s="19">
        <f t="shared" si="16"/>
        <v>2.5937594242382591E-2</v>
      </c>
      <c r="AZ30" s="23"/>
      <c r="BA30" s="23">
        <f t="shared" si="17"/>
        <v>0</v>
      </c>
    </row>
    <row r="31" spans="1:56" ht="15" customHeight="1" x14ac:dyDescent="0.3">
      <c r="A31" t="s">
        <v>98</v>
      </c>
      <c r="B31">
        <v>2</v>
      </c>
      <c r="C31" s="2">
        <v>45061</v>
      </c>
      <c r="D31" s="11">
        <v>0.41041666666666665</v>
      </c>
      <c r="E31">
        <v>1012.7</v>
      </c>
      <c r="F31">
        <v>1066.8</v>
      </c>
      <c r="G31">
        <v>1063.9000000000001</v>
      </c>
      <c r="H31">
        <v>0.23</v>
      </c>
      <c r="I31">
        <v>3.7</v>
      </c>
      <c r="J31">
        <v>15.46</v>
      </c>
      <c r="K31">
        <v>87.61</v>
      </c>
      <c r="L31">
        <v>0</v>
      </c>
      <c r="N31" t="s">
        <v>99</v>
      </c>
      <c r="P31" s="3">
        <f t="shared" si="5"/>
        <v>45061.410416666666</v>
      </c>
      <c r="Q31" s="4">
        <f t="shared" si="6"/>
        <v>27.784027777779556</v>
      </c>
      <c r="R31">
        <f t="shared" si="18"/>
        <v>107</v>
      </c>
      <c r="S31">
        <f t="shared" si="19"/>
        <v>0.21495327102803738</v>
      </c>
      <c r="T31">
        <f t="shared" si="20"/>
        <v>3.457943925233645</v>
      </c>
      <c r="U31">
        <f t="shared" si="21"/>
        <v>14.448598130841122</v>
      </c>
      <c r="V31">
        <f t="shared" si="22"/>
        <v>81.878504672897193</v>
      </c>
      <c r="W31">
        <f t="shared" si="23"/>
        <v>100</v>
      </c>
      <c r="X31" s="10">
        <f t="shared" si="24"/>
        <v>4.2061074060123618E-2</v>
      </c>
      <c r="Y31" s="10">
        <f t="shared" si="0"/>
        <v>1.4544483553500691E-3</v>
      </c>
      <c r="Z31" s="10">
        <f t="shared" si="7"/>
        <v>9.0411654521761048E-5</v>
      </c>
      <c r="AA31" s="10">
        <f t="shared" si="1"/>
        <v>6.0772355604627208E-3</v>
      </c>
      <c r="AB31" s="10">
        <f t="shared" si="2"/>
        <v>3.4438978489789066E-2</v>
      </c>
      <c r="AC31" s="10">
        <f t="shared" si="41"/>
        <v>1.5448600098718302E-3</v>
      </c>
      <c r="AD31" s="10">
        <f t="shared" si="8"/>
        <v>4.1946734807429255E-2</v>
      </c>
      <c r="AE31" s="10">
        <f t="shared" si="9"/>
        <v>1.450494568107367E-3</v>
      </c>
      <c r="AF31" s="10">
        <f t="shared" si="10"/>
        <v>9.0165878558025499E-5</v>
      </c>
      <c r="AG31" s="10">
        <f t="shared" si="11"/>
        <v>6.0607151413351055E-3</v>
      </c>
      <c r="AH31" s="10">
        <f t="shared" si="12"/>
        <v>3.4345359219428759E-2</v>
      </c>
      <c r="AI31" s="10">
        <f t="shared" si="42"/>
        <v>1.5406604466653925E-3</v>
      </c>
      <c r="AJ31" s="22">
        <f t="shared" si="37"/>
        <v>1.3395644361634575E-3</v>
      </c>
      <c r="AK31">
        <f t="shared" si="38"/>
        <v>3.197562247295547E-3</v>
      </c>
      <c r="AL31" s="25">
        <f t="shared" si="39"/>
        <v>1.2491527816416964E-3</v>
      </c>
      <c r="AM31">
        <f>AK31+AM29</f>
        <v>3.848096492027301E-2</v>
      </c>
      <c r="AN31">
        <f>AL31+AN29</f>
        <v>9.1194904538219601E-3</v>
      </c>
      <c r="AO31">
        <f>AJ31+AO29</f>
        <v>9.3553870431246928E-3</v>
      </c>
      <c r="AP31" s="19">
        <f t="shared" si="40"/>
        <v>0.73085256901503981</v>
      </c>
      <c r="AQ31" s="7">
        <f t="shared" si="4"/>
        <v>3688.934579439252</v>
      </c>
      <c r="AR31" s="10">
        <f t="shared" si="27"/>
        <v>19.29312785046729</v>
      </c>
      <c r="AS31" s="6">
        <f t="shared" si="28"/>
        <v>1.8907265293457945E-3</v>
      </c>
      <c r="AT31" s="6">
        <f t="shared" si="13"/>
        <v>3678.9065420560755</v>
      </c>
      <c r="AU31" s="6">
        <f t="shared" si="14"/>
        <v>19.240681214953277</v>
      </c>
      <c r="AV31" s="6">
        <f t="shared" si="15"/>
        <v>1.8855867590654213E-3</v>
      </c>
      <c r="AW31" s="6">
        <f t="shared" si="29"/>
        <v>1.623850234880007E-3</v>
      </c>
      <c r="AX31" s="6">
        <f t="shared" si="30"/>
        <v>1.9558682688756131E-3</v>
      </c>
      <c r="AY31" s="19">
        <f t="shared" si="16"/>
        <v>0.15279446402094601</v>
      </c>
      <c r="AZ31" s="23">
        <f t="shared" si="32"/>
        <v>0.8836470330359858</v>
      </c>
      <c r="BA31" s="23">
        <f t="shared" si="17"/>
        <v>1.1129686355730954</v>
      </c>
    </row>
    <row r="32" spans="1:56" ht="15" customHeight="1" x14ac:dyDescent="0.3">
      <c r="A32" t="s">
        <v>98</v>
      </c>
      <c r="B32">
        <v>2</v>
      </c>
      <c r="C32" s="2">
        <v>45061</v>
      </c>
      <c r="D32" s="11">
        <v>0.44444444444444442</v>
      </c>
      <c r="E32">
        <v>1012.8</v>
      </c>
      <c r="F32">
        <v>1115.4000000000001</v>
      </c>
      <c r="G32">
        <v>1111.5999999999999</v>
      </c>
      <c r="H32">
        <v>0</v>
      </c>
      <c r="I32">
        <v>0.79</v>
      </c>
      <c r="J32">
        <v>20.18</v>
      </c>
      <c r="K32">
        <v>76.27</v>
      </c>
      <c r="L32">
        <v>1</v>
      </c>
      <c r="N32" t="s">
        <v>99</v>
      </c>
      <c r="O32">
        <v>794.17</v>
      </c>
      <c r="P32" s="8">
        <f t="shared" si="5"/>
        <v>45061.444444444445</v>
      </c>
      <c r="Q32" s="9">
        <f t="shared" si="6"/>
        <v>27.818055555559113</v>
      </c>
      <c r="R32">
        <f t="shared" ref="R32:R36" si="43">SUM(H32:K32)</f>
        <v>97.24</v>
      </c>
      <c r="S32">
        <f t="shared" si="19"/>
        <v>0</v>
      </c>
      <c r="T32">
        <f t="shared" si="20"/>
        <v>0.81242287124640067</v>
      </c>
      <c r="U32">
        <f t="shared" si="21"/>
        <v>20.752776635129578</v>
      </c>
      <c r="V32">
        <f t="shared" si="22"/>
        <v>78.434800493624024</v>
      </c>
      <c r="W32">
        <f t="shared" si="23"/>
        <v>100</v>
      </c>
      <c r="X32" s="6">
        <f t="shared" si="24"/>
        <v>4.3977242225967279E-2</v>
      </c>
      <c r="Y32" s="6">
        <f t="shared" si="0"/>
        <v>3.5728117398718792E-4</v>
      </c>
      <c r="Z32" s="6">
        <f t="shared" si="7"/>
        <v>0</v>
      </c>
      <c r="AA32" s="6">
        <f t="shared" si="1"/>
        <v>9.1264988494448758E-3</v>
      </c>
      <c r="AB32" s="6">
        <f t="shared" si="2"/>
        <v>3.4493462202535213E-2</v>
      </c>
      <c r="AC32" s="6">
        <f t="shared" si="41"/>
        <v>3.5728117398718792E-4</v>
      </c>
      <c r="AD32" s="6">
        <f t="shared" si="8"/>
        <v>4.3827418377609124E-2</v>
      </c>
      <c r="AE32" s="6">
        <f t="shared" si="9"/>
        <v>3.560639707765447E-4</v>
      </c>
      <c r="AF32" s="6">
        <f t="shared" si="10"/>
        <v>0</v>
      </c>
      <c r="AG32" s="6">
        <f t="shared" si="11"/>
        <v>9.095406240848954E-3</v>
      </c>
      <c r="AH32" s="6">
        <f t="shared" si="12"/>
        <v>3.4375948165983633E-2</v>
      </c>
      <c r="AI32" s="6">
        <f t="shared" si="42"/>
        <v>3.560639707765447E-4</v>
      </c>
      <c r="AJ32" s="22"/>
      <c r="AL32" s="25"/>
      <c r="AP32" s="19"/>
      <c r="AQ32">
        <f t="shared" si="4"/>
        <v>906.17647058823536</v>
      </c>
      <c r="AR32" s="6">
        <f t="shared" si="27"/>
        <v>4.7393029411764713</v>
      </c>
      <c r="AS32" s="6">
        <f t="shared" si="28"/>
        <v>4.6445168823529422E-4</v>
      </c>
      <c r="AT32" s="6">
        <f t="shared" si="13"/>
        <v>903.08926367749882</v>
      </c>
      <c r="AU32" s="6">
        <f t="shared" si="14"/>
        <v>4.7231568490333187</v>
      </c>
      <c r="AV32" s="6">
        <f t="shared" si="15"/>
        <v>4.6286937120526523E-4</v>
      </c>
      <c r="AW32" s="6">
        <f t="shared" si="29"/>
        <v>-1.4211350708301269E-3</v>
      </c>
      <c r="AX32" s="6">
        <f t="shared" si="30"/>
        <v>5.3473319804548617E-4</v>
      </c>
      <c r="AY32" s="19">
        <f t="shared" si="16"/>
        <v>4.177391375981393E-2</v>
      </c>
      <c r="AZ32" s="23"/>
      <c r="BA32" s="23">
        <f t="shared" si="17"/>
        <v>0</v>
      </c>
    </row>
    <row r="33" spans="1:53" ht="15" customHeight="1" x14ac:dyDescent="0.3">
      <c r="A33" t="s">
        <v>98</v>
      </c>
      <c r="B33">
        <v>2</v>
      </c>
      <c r="C33" s="2">
        <v>45063</v>
      </c>
      <c r="D33" s="11">
        <v>0.37083333333333335</v>
      </c>
      <c r="E33">
        <v>1025</v>
      </c>
      <c r="F33">
        <v>1084.5999999999999</v>
      </c>
      <c r="G33">
        <v>1082.0999999999999</v>
      </c>
      <c r="H33">
        <v>0</v>
      </c>
      <c r="I33">
        <v>3.08</v>
      </c>
      <c r="J33">
        <v>17.420000000000002</v>
      </c>
      <c r="K33">
        <v>84.46</v>
      </c>
      <c r="L33">
        <v>0</v>
      </c>
      <c r="N33" t="s">
        <v>99</v>
      </c>
      <c r="P33" s="3">
        <f t="shared" si="5"/>
        <v>45063.370833333334</v>
      </c>
      <c r="Q33" s="4">
        <f t="shared" si="6"/>
        <v>29.744444444448163</v>
      </c>
      <c r="R33">
        <f t="shared" si="43"/>
        <v>104.96</v>
      </c>
      <c r="S33">
        <f t="shared" si="19"/>
        <v>0</v>
      </c>
      <c r="T33">
        <f t="shared" si="20"/>
        <v>2.9344512195121952</v>
      </c>
      <c r="U33">
        <f t="shared" si="21"/>
        <v>16.596798780487809</v>
      </c>
      <c r="V33">
        <f t="shared" si="22"/>
        <v>80.46875</v>
      </c>
      <c r="W33">
        <f t="shared" si="23"/>
        <v>100</v>
      </c>
      <c r="X33" s="10">
        <f t="shared" si="24"/>
        <v>4.2762880507695986E-2</v>
      </c>
      <c r="Y33" s="10">
        <f t="shared" si="0"/>
        <v>1.2548558685566277E-3</v>
      </c>
      <c r="Z33" s="10">
        <f t="shared" si="7"/>
        <v>0</v>
      </c>
      <c r="AA33" s="10">
        <f t="shared" si="1"/>
        <v>7.0972692306027459E-3</v>
      </c>
      <c r="AB33" s="10">
        <f t="shared" si="2"/>
        <v>3.4410755408536615E-2</v>
      </c>
      <c r="AC33" s="10">
        <f t="shared" si="41"/>
        <v>1.2548558685566277E-3</v>
      </c>
      <c r="AD33" s="10">
        <f t="shared" si="8"/>
        <v>4.2664312186407725E-2</v>
      </c>
      <c r="AE33" s="10">
        <f t="shared" si="9"/>
        <v>1.2519634292505316E-3</v>
      </c>
      <c r="AF33" s="10">
        <f t="shared" si="10"/>
        <v>0</v>
      </c>
      <c r="AG33" s="10">
        <f t="shared" si="11"/>
        <v>7.0809100446572295E-3</v>
      </c>
      <c r="AH33" s="10">
        <f t="shared" si="12"/>
        <v>3.4331438712499968E-2</v>
      </c>
      <c r="AI33" s="10">
        <f t="shared" si="42"/>
        <v>1.2519634292505316E-3</v>
      </c>
      <c r="AJ33" s="22">
        <f t="shared" si="37"/>
        <v>8.9879189778008304E-4</v>
      </c>
      <c r="AK33">
        <f t="shared" si="38"/>
        <v>1.9981370102462081E-3</v>
      </c>
      <c r="AL33" s="25">
        <f t="shared" si="39"/>
        <v>8.9879189778008304E-4</v>
      </c>
      <c r="AM33">
        <f>AK33+AM31</f>
        <v>4.0479101930519221E-2</v>
      </c>
      <c r="AN33">
        <f>AL33+AN31</f>
        <v>1.0018282351602043E-2</v>
      </c>
      <c r="AO33">
        <f>AJ33+AO31</f>
        <v>1.0254178940904775E-2</v>
      </c>
      <c r="AP33" s="19">
        <f t="shared" si="40"/>
        <v>0.80106712715940043</v>
      </c>
      <c r="AQ33" s="7">
        <f t="shared" si="4"/>
        <v>3182.7057926829266</v>
      </c>
      <c r="AR33" s="10">
        <f t="shared" si="27"/>
        <v>16.645551295731707</v>
      </c>
      <c r="AS33" s="6">
        <f t="shared" si="28"/>
        <v>1.6312640269817073E-3</v>
      </c>
      <c r="AT33" s="6">
        <f t="shared" si="13"/>
        <v>3175.3696646341459</v>
      </c>
      <c r="AU33" s="6">
        <f t="shared" si="14"/>
        <v>16.607183346036585</v>
      </c>
      <c r="AV33" s="6">
        <f t="shared" si="15"/>
        <v>1.6275039679115855E-3</v>
      </c>
      <c r="AW33" s="6">
        <f t="shared" si="29"/>
        <v>1.1683946557764422E-3</v>
      </c>
      <c r="AX33" s="6">
        <f t="shared" si="30"/>
        <v>1.7031278538219283E-3</v>
      </c>
      <c r="AY33" s="19">
        <f t="shared" si="16"/>
        <v>0.13305011984956708</v>
      </c>
      <c r="AZ33" s="23">
        <f t="shared" si="32"/>
        <v>0.93411724700896748</v>
      </c>
      <c r="BA33" s="23">
        <f t="shared" ref="BA33" si="44">AK33/(AL33+AW33)</f>
        <v>0.96659733337007259</v>
      </c>
    </row>
    <row r="34" spans="1:53" ht="15" customHeight="1" x14ac:dyDescent="0.3">
      <c r="A34" t="s">
        <v>98</v>
      </c>
      <c r="B34">
        <v>2</v>
      </c>
      <c r="C34" s="2">
        <v>45063</v>
      </c>
      <c r="D34" s="11">
        <v>0.41597222222222219</v>
      </c>
      <c r="E34">
        <v>1025.7</v>
      </c>
      <c r="F34">
        <v>1131</v>
      </c>
      <c r="G34">
        <v>1127.3</v>
      </c>
      <c r="H34">
        <v>0</v>
      </c>
      <c r="I34">
        <v>0.33</v>
      </c>
      <c r="J34">
        <v>20.58</v>
      </c>
      <c r="K34">
        <v>76.34</v>
      </c>
      <c r="L34">
        <v>1</v>
      </c>
      <c r="N34" t="s">
        <v>99</v>
      </c>
      <c r="O34">
        <v>794.05</v>
      </c>
      <c r="P34" s="8">
        <f t="shared" si="5"/>
        <v>45063.415972222225</v>
      </c>
      <c r="Q34" s="9">
        <f t="shared" si="6"/>
        <v>29.789583333338669</v>
      </c>
      <c r="R34">
        <f t="shared" si="43"/>
        <v>97.25</v>
      </c>
      <c r="S34">
        <f t="shared" si="19"/>
        <v>0</v>
      </c>
      <c r="T34">
        <f t="shared" si="20"/>
        <v>0.33933161953727509</v>
      </c>
      <c r="U34">
        <f t="shared" si="21"/>
        <v>21.161953727506425</v>
      </c>
      <c r="V34">
        <f t="shared" si="22"/>
        <v>78.498714652956295</v>
      </c>
      <c r="W34">
        <f t="shared" si="23"/>
        <v>100</v>
      </c>
      <c r="X34" s="6">
        <f t="shared" si="24"/>
        <v>4.4592308550805974E-2</v>
      </c>
      <c r="Y34" s="6">
        <f t="shared" si="0"/>
        <v>1.513158027945087E-4</v>
      </c>
      <c r="Z34" s="6">
        <f t="shared" si="7"/>
        <v>0</v>
      </c>
      <c r="AA34" s="6">
        <f t="shared" si="1"/>
        <v>9.4366037015484513E-3</v>
      </c>
      <c r="AB34" s="6">
        <f t="shared" si="2"/>
        <v>3.5004389046463011E-2</v>
      </c>
      <c r="AC34" s="6">
        <f t="shared" si="41"/>
        <v>1.513158027945087E-4</v>
      </c>
      <c r="AD34" s="6">
        <f t="shared" si="8"/>
        <v>4.4446427435299363E-2</v>
      </c>
      <c r="AE34" s="6">
        <f t="shared" si="9"/>
        <v>1.5082078204266107E-4</v>
      </c>
      <c r="AF34" s="6">
        <f t="shared" si="10"/>
        <v>0</v>
      </c>
      <c r="AG34" s="6">
        <f t="shared" si="11"/>
        <v>9.4057324073877728E-3</v>
      </c>
      <c r="AH34" s="6">
        <f t="shared" si="12"/>
        <v>3.4889874245868924E-2</v>
      </c>
      <c r="AI34" s="6">
        <f t="shared" si="42"/>
        <v>1.5082078204266107E-4</v>
      </c>
      <c r="AJ34" s="22"/>
      <c r="AL34" s="25"/>
      <c r="AP34" s="19"/>
      <c r="AQ34" s="7">
        <f t="shared" ref="AQ34:AQ36" si="45">F34*100*T34/100</f>
        <v>383.78406169665811</v>
      </c>
      <c r="AR34" s="10">
        <f t="shared" ref="AR34:AR36" si="46">AQ34*$D$7</f>
        <v>2.007190642673522</v>
      </c>
      <c r="AS34" s="6">
        <f t="shared" ref="AS34:AS36" si="47">AR34*$D$5/1000</f>
        <v>1.9670468298200517E-4</v>
      </c>
      <c r="AT34" s="6">
        <f t="shared" ref="AT34:AT36" si="48">G34*100*T34/100</f>
        <v>382.5285347043702</v>
      </c>
      <c r="AU34" s="6">
        <f t="shared" ref="AU34:AU36" si="49">AT34*$D$7</f>
        <v>2.0006242365038562</v>
      </c>
      <c r="AV34" s="6">
        <f t="shared" ref="AV34:AV36" si="50">AU34*$D$5/1000</f>
        <v>1.9606117517737793E-4</v>
      </c>
      <c r="AW34" s="6">
        <f t="shared" ref="AW34:AW36" si="51">AS34-AV33</f>
        <v>-1.4307992849295803E-3</v>
      </c>
      <c r="AX34" s="6">
        <f t="shared" ref="AX34:AX36" si="52">AW34+AX33</f>
        <v>2.7232856889234801E-4</v>
      </c>
      <c r="AY34" s="19">
        <f t="shared" si="16"/>
        <v>2.1274591128480475E-2</v>
      </c>
      <c r="AZ34" s="23"/>
      <c r="BA34" s="23">
        <f t="shared" ref="BA34:BA36" si="53">AK34/(AL34+AW34)</f>
        <v>0</v>
      </c>
    </row>
    <row r="35" spans="1:53" ht="15" customHeight="1" x14ac:dyDescent="0.3">
      <c r="A35" t="s">
        <v>98</v>
      </c>
      <c r="B35">
        <v>2</v>
      </c>
      <c r="C35" s="2">
        <v>45068</v>
      </c>
      <c r="D35" s="11">
        <v>0.59236111111111112</v>
      </c>
      <c r="E35">
        <v>1013.2</v>
      </c>
      <c r="F35">
        <v>1061.4000000000001</v>
      </c>
      <c r="G35">
        <v>1058.4000000000001</v>
      </c>
      <c r="H35">
        <v>0</v>
      </c>
      <c r="I35">
        <v>5.35</v>
      </c>
      <c r="J35">
        <v>12.14</v>
      </c>
      <c r="K35">
        <v>89.61</v>
      </c>
      <c r="L35">
        <v>0</v>
      </c>
      <c r="N35" t="s">
        <v>99</v>
      </c>
      <c r="P35" s="8">
        <f t="shared" si="5"/>
        <v>45068.592361111114</v>
      </c>
      <c r="Q35" s="9">
        <f t="shared" si="6"/>
        <v>34.96597222222772</v>
      </c>
      <c r="R35">
        <f t="shared" si="43"/>
        <v>107.1</v>
      </c>
      <c r="S35">
        <f t="shared" si="19"/>
        <v>0</v>
      </c>
      <c r="T35">
        <f t="shared" si="20"/>
        <v>4.9953314659197012</v>
      </c>
      <c r="U35">
        <f t="shared" si="21"/>
        <v>11.335200746965453</v>
      </c>
      <c r="V35">
        <f t="shared" si="22"/>
        <v>83.669467787114854</v>
      </c>
      <c r="W35">
        <f t="shared" si="23"/>
        <v>100</v>
      </c>
      <c r="X35" s="6">
        <f t="shared" si="24"/>
        <v>4.1848166486140995E-2</v>
      </c>
      <c r="Y35" s="6">
        <f t="shared" si="0"/>
        <v>2.0904546283926641E-3</v>
      </c>
      <c r="Z35" s="6">
        <f t="shared" si="7"/>
        <v>0</v>
      </c>
      <c r="AA35" s="6">
        <f t="shared" si="1"/>
        <v>4.7435736801284007E-3</v>
      </c>
      <c r="AB35" s="6">
        <f t="shared" si="2"/>
        <v>3.5014138177619933E-2</v>
      </c>
      <c r="AC35" s="6">
        <f t="shared" si="41"/>
        <v>2.0904546283926641E-3</v>
      </c>
      <c r="AD35" s="6">
        <f t="shared" si="8"/>
        <v>4.1729884500595095E-2</v>
      </c>
      <c r="AE35" s="6">
        <f t="shared" si="9"/>
        <v>2.0845460511501753E-3</v>
      </c>
      <c r="AF35" s="6">
        <f t="shared" si="10"/>
        <v>0</v>
      </c>
      <c r="AG35" s="6">
        <f t="shared" si="11"/>
        <v>4.7301661796192761E-3</v>
      </c>
      <c r="AH35" s="6">
        <f t="shared" si="12"/>
        <v>3.4915172269825649E-2</v>
      </c>
      <c r="AI35" s="6">
        <f t="shared" si="42"/>
        <v>2.0845460511501753E-3</v>
      </c>
      <c r="AJ35" s="22">
        <f t="shared" ref="AJ35" si="54">AC35-AI34</f>
        <v>1.9396338463500032E-3</v>
      </c>
      <c r="AK35">
        <f t="shared" ref="AK35" si="55">(AA35-AG34)*-1</f>
        <v>4.6621587272593721E-3</v>
      </c>
      <c r="AL35" s="25">
        <f t="shared" ref="AL35" si="56">Y35-AE34</f>
        <v>1.9396338463500032E-3</v>
      </c>
      <c r="AM35">
        <f>AK35+AM33</f>
        <v>4.5141260657778591E-2</v>
      </c>
      <c r="AN35">
        <f>AL35+AN33</f>
        <v>1.1957916197952046E-2</v>
      </c>
      <c r="AO35">
        <f>AJ35+AO33</f>
        <v>1.2193812787254779E-2</v>
      </c>
      <c r="AP35" s="19">
        <f t="shared" si="40"/>
        <v>0.95259334120259287</v>
      </c>
      <c r="AQ35" s="7">
        <f t="shared" si="45"/>
        <v>5302.0448179271716</v>
      </c>
      <c r="AR35" s="10">
        <f t="shared" si="46"/>
        <v>27.729694397759108</v>
      </c>
      <c r="AS35" s="6">
        <f t="shared" si="47"/>
        <v>2.7175100509803925E-3</v>
      </c>
      <c r="AT35" s="6">
        <f t="shared" si="48"/>
        <v>5287.0588235294117</v>
      </c>
      <c r="AU35" s="6">
        <f t="shared" si="49"/>
        <v>27.651317647058825</v>
      </c>
      <c r="AV35" s="6">
        <f t="shared" si="50"/>
        <v>2.7098291294117647E-3</v>
      </c>
      <c r="AW35" s="6">
        <f t="shared" si="51"/>
        <v>2.5214488758030147E-3</v>
      </c>
      <c r="AX35" s="6">
        <f t="shared" si="52"/>
        <v>2.7937774446953629E-3</v>
      </c>
      <c r="AY35" s="19">
        <f t="shared" si="16"/>
        <v>0.21825280058428306</v>
      </c>
      <c r="AZ35" s="23">
        <f t="shared" si="32"/>
        <v>1.1708461417868758</v>
      </c>
      <c r="BA35" s="23">
        <f t="shared" si="53"/>
        <v>1.0450733639409651</v>
      </c>
    </row>
    <row r="36" spans="1:53" ht="15" customHeight="1" x14ac:dyDescent="0.3">
      <c r="A36" t="s">
        <v>98</v>
      </c>
      <c r="B36">
        <v>2</v>
      </c>
      <c r="C36" s="2">
        <v>45068</v>
      </c>
      <c r="D36" s="11">
        <v>0.63124999999999998</v>
      </c>
      <c r="E36">
        <v>1013.6</v>
      </c>
      <c r="F36">
        <v>1113.8</v>
      </c>
      <c r="G36">
        <v>1110.5</v>
      </c>
      <c r="H36">
        <v>0</v>
      </c>
      <c r="I36">
        <v>0.6</v>
      </c>
      <c r="J36">
        <v>20.27</v>
      </c>
      <c r="K36">
        <v>75.44</v>
      </c>
      <c r="L36">
        <v>1</v>
      </c>
      <c r="N36" t="s">
        <v>99</v>
      </c>
      <c r="O36">
        <v>793.99</v>
      </c>
      <c r="P36" s="8">
        <f t="shared" si="5"/>
        <v>45068.631249999999</v>
      </c>
      <c r="Q36" s="9">
        <f t="shared" si="6"/>
        <v>35.004861111112405</v>
      </c>
      <c r="R36">
        <f t="shared" si="43"/>
        <v>96.31</v>
      </c>
      <c r="S36">
        <f t="shared" si="19"/>
        <v>0</v>
      </c>
      <c r="T36">
        <f t="shared" si="20"/>
        <v>0.62298826705430377</v>
      </c>
      <c r="U36">
        <f t="shared" si="21"/>
        <v>21.04662028865123</v>
      </c>
      <c r="V36">
        <f t="shared" si="22"/>
        <v>78.330391444294463</v>
      </c>
      <c r="W36">
        <f t="shared" si="23"/>
        <v>100</v>
      </c>
      <c r="X36" s="6">
        <f t="shared" si="24"/>
        <v>4.391415850034279E-2</v>
      </c>
      <c r="Y36" s="6">
        <f t="shared" si="0"/>
        <v>2.7358005503276577E-4</v>
      </c>
      <c r="Z36" s="6">
        <f t="shared" si="7"/>
        <v>0</v>
      </c>
      <c r="AA36" s="6">
        <f t="shared" si="1"/>
        <v>9.2424461925236043E-3</v>
      </c>
      <c r="AB36" s="6">
        <f t="shared" si="2"/>
        <v>3.4398132252786422E-2</v>
      </c>
      <c r="AC36" s="6">
        <f t="shared" si="41"/>
        <v>2.7358005503276577E-4</v>
      </c>
      <c r="AD36" s="6">
        <f t="shared" si="8"/>
        <v>4.3784048316242295E-2</v>
      </c>
      <c r="AE36" s="6">
        <f t="shared" si="9"/>
        <v>2.7276948385157693E-4</v>
      </c>
      <c r="AF36" s="6">
        <f t="shared" si="10"/>
        <v>0</v>
      </c>
      <c r="AG36" s="6">
        <f t="shared" si="11"/>
        <v>9.2150623961191076E-3</v>
      </c>
      <c r="AH36" s="6">
        <f t="shared" si="12"/>
        <v>3.4296216436271607E-2</v>
      </c>
      <c r="AI36" s="6">
        <f t="shared" si="42"/>
        <v>2.7276948385157693E-4</v>
      </c>
      <c r="AJ36" s="22"/>
      <c r="AL36" s="25"/>
      <c r="AP36" s="21"/>
      <c r="AQ36" s="7">
        <f t="shared" si="45"/>
        <v>693.88433184508347</v>
      </c>
      <c r="AR36" s="10">
        <f t="shared" si="46"/>
        <v>3.6290150555497869</v>
      </c>
      <c r="AS36" s="6">
        <f t="shared" si="47"/>
        <v>3.5564347544387914E-4</v>
      </c>
      <c r="AT36" s="6">
        <f t="shared" si="48"/>
        <v>691.82847056380433</v>
      </c>
      <c r="AU36" s="6">
        <f t="shared" si="49"/>
        <v>3.6182629010486966</v>
      </c>
      <c r="AV36" s="6">
        <f t="shared" si="50"/>
        <v>3.5458976430277227E-4</v>
      </c>
      <c r="AW36" s="6">
        <f t="shared" si="51"/>
        <v>-2.3541856539678854E-3</v>
      </c>
      <c r="AX36" s="6">
        <f t="shared" si="52"/>
        <v>4.3959179072747745E-4</v>
      </c>
      <c r="AY36" s="19">
        <f t="shared" si="16"/>
        <v>3.4341368036419836E-2</v>
      </c>
      <c r="AZ36" s="23"/>
      <c r="BA36" s="23">
        <f t="shared" si="53"/>
        <v>0</v>
      </c>
    </row>
  </sheetData>
  <mergeCells count="12">
    <mergeCell ref="AZ10:BA10"/>
    <mergeCell ref="A9:O9"/>
    <mergeCell ref="X9:AP9"/>
    <mergeCell ref="AQ9:AY9"/>
    <mergeCell ref="AM10:AP10"/>
    <mergeCell ref="AQ10:AS10"/>
    <mergeCell ref="AT10:AV10"/>
    <mergeCell ref="P10:Q10"/>
    <mergeCell ref="R10:W10"/>
    <mergeCell ref="X10:AC10"/>
    <mergeCell ref="AD10:AI10"/>
    <mergeCell ref="AJ10:AL10"/>
  </mergeCells>
  <conditionalFormatting sqref="P13:BA36">
    <cfRule type="expression" dxfId="29" priority="1">
      <formula>$L13=0</formula>
    </cfRule>
    <cfRule type="expression" dxfId="28" priority="2">
      <formula>$L13=1</formula>
    </cfRule>
  </conditionalFormatting>
  <pageMargins left="0.75" right="0.75" top="1" bottom="1" header="0.5" footer="0.5"/>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735A-83DD-416D-A086-00F3074082B6}">
  <dimension ref="A1:BH35"/>
  <sheetViews>
    <sheetView topLeftCell="AI11" zoomScale="115" zoomScaleNormal="115" workbookViewId="0">
      <selection activeCell="AW22" sqref="AW22"/>
    </sheetView>
  </sheetViews>
  <sheetFormatPr defaultRowHeight="15" customHeight="1" x14ac:dyDescent="0.3"/>
  <cols>
    <col min="3" max="3" width="24.109375" customWidth="1"/>
    <col min="6" max="6" width="12.6640625" bestFit="1"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52" max="52" width="9.44140625" customWidth="1"/>
    <col min="53" max="53" width="9.33203125" customWidth="1"/>
  </cols>
  <sheetData>
    <row r="1" spans="1:60" ht="15" customHeight="1" x14ac:dyDescent="0.3">
      <c r="B1" t="s">
        <v>15</v>
      </c>
      <c r="C1" s="1" t="s">
        <v>16</v>
      </c>
      <c r="D1" s="1">
        <v>8314.5</v>
      </c>
      <c r="E1" s="1" t="s">
        <v>17</v>
      </c>
    </row>
    <row r="2" spans="1:60" ht="15" customHeight="1" x14ac:dyDescent="0.3">
      <c r="B2" t="s">
        <v>15</v>
      </c>
      <c r="C2" s="1" t="s">
        <v>18</v>
      </c>
      <c r="D2" s="1">
        <v>293.14999999999998</v>
      </c>
      <c r="E2" s="1" t="s">
        <v>19</v>
      </c>
    </row>
    <row r="3" spans="1:60" ht="15" customHeight="1" x14ac:dyDescent="0.3">
      <c r="C3" s="12" t="s">
        <v>131</v>
      </c>
      <c r="D3" s="12">
        <v>0.96099999999999997</v>
      </c>
      <c r="E3" s="13" t="s">
        <v>21</v>
      </c>
    </row>
    <row r="4" spans="1:60" ht="15" customHeight="1" x14ac:dyDescent="0.3">
      <c r="B4" t="s">
        <v>15</v>
      </c>
      <c r="C4" t="s">
        <v>24</v>
      </c>
      <c r="D4" s="1">
        <v>12</v>
      </c>
      <c r="E4" s="1" t="s">
        <v>25</v>
      </c>
    </row>
    <row r="5" spans="1:60" ht="15" customHeight="1" x14ac:dyDescent="0.3">
      <c r="C5" s="12" t="s">
        <v>132</v>
      </c>
      <c r="D5" s="12">
        <v>9.8000000000000004E-2</v>
      </c>
      <c r="E5" s="12" t="s">
        <v>21</v>
      </c>
    </row>
    <row r="6" spans="1:60" ht="15" customHeight="1" x14ac:dyDescent="0.3">
      <c r="C6" t="s">
        <v>133</v>
      </c>
      <c r="D6" s="14">
        <v>153.60778531406666</v>
      </c>
      <c r="E6" s="12" t="s">
        <v>32</v>
      </c>
    </row>
    <row r="7" spans="1:60" ht="15" customHeight="1" x14ac:dyDescent="0.3">
      <c r="B7" t="s">
        <v>15</v>
      </c>
      <c r="C7" t="s">
        <v>134</v>
      </c>
      <c r="D7" s="6">
        <v>5.2300000000000003E-3</v>
      </c>
      <c r="E7" s="1"/>
      <c r="AB7" t="s">
        <v>36</v>
      </c>
    </row>
    <row r="8" spans="1:60" ht="15" customHeight="1" thickBot="1" x14ac:dyDescent="0.35">
      <c r="E8" s="1"/>
      <c r="F8" s="1"/>
    </row>
    <row r="9" spans="1:60" ht="15" customHeight="1" thickBot="1" x14ac:dyDescent="0.35">
      <c r="A9" s="77"/>
      <c r="B9" s="78"/>
      <c r="C9" s="78"/>
      <c r="D9" s="78"/>
      <c r="E9" s="78"/>
      <c r="F9" s="78"/>
      <c r="G9" s="78"/>
      <c r="H9" s="78"/>
      <c r="I9" s="78"/>
      <c r="J9" s="78"/>
      <c r="K9" s="78"/>
      <c r="L9" s="78"/>
      <c r="M9" s="78"/>
      <c r="N9" s="78"/>
      <c r="O9" s="78"/>
      <c r="P9" s="87" t="s">
        <v>38</v>
      </c>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row>
    <row r="10" spans="1:60"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88" t="s">
        <v>45</v>
      </c>
      <c r="AR10" s="88"/>
      <c r="AS10" s="88"/>
      <c r="AT10" s="88"/>
      <c r="AU10" s="88"/>
      <c r="AV10" s="88"/>
      <c r="AW10" s="88"/>
      <c r="AX10" s="88"/>
      <c r="AY10" s="88"/>
      <c r="AZ10" s="88"/>
      <c r="BA10" s="88"/>
    </row>
    <row r="11" spans="1:60"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60" t="s">
        <v>104</v>
      </c>
      <c r="AY11" s="61" t="s">
        <v>87</v>
      </c>
      <c r="AZ11" s="62" t="s">
        <v>88</v>
      </c>
      <c r="BA11" s="58" t="s">
        <v>89</v>
      </c>
    </row>
    <row r="12" spans="1:60"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63" t="s">
        <v>96</v>
      </c>
      <c r="AY12" s="64" t="s">
        <v>94</v>
      </c>
      <c r="AZ12" s="64" t="s">
        <v>94</v>
      </c>
      <c r="BA12" s="59"/>
    </row>
    <row r="13" spans="1:60" ht="14.4" x14ac:dyDescent="0.3">
      <c r="A13" t="s">
        <v>105</v>
      </c>
      <c r="B13">
        <v>1</v>
      </c>
      <c r="C13" s="2">
        <v>45033</v>
      </c>
      <c r="D13" s="11">
        <v>0.62916666666666665</v>
      </c>
      <c r="E13">
        <v>1025.3</v>
      </c>
      <c r="F13">
        <f>SUM(F14:F35)/(34-14)</f>
        <v>1182.6566664999998</v>
      </c>
      <c r="M13" t="s">
        <v>4</v>
      </c>
      <c r="O13">
        <v>876.79</v>
      </c>
      <c r="P13" s="3">
        <f>C13+D13</f>
        <v>45033.629166666666</v>
      </c>
      <c r="Q13" s="4">
        <f t="shared" ref="Q13:Q35" si="0">P13-$P$13</f>
        <v>0</v>
      </c>
      <c r="S13">
        <v>0</v>
      </c>
      <c r="T13">
        <v>0.03</v>
      </c>
      <c r="U13">
        <v>21.9</v>
      </c>
      <c r="V13">
        <v>78.069999999999993</v>
      </c>
      <c r="W13">
        <f>SUM(S13:V13)</f>
        <v>100</v>
      </c>
      <c r="X13" s="6">
        <f>F13*100*$D$3/($D$1*$D$2)</f>
        <v>4.6628992910906844E-2</v>
      </c>
      <c r="Y13" s="6">
        <f t="shared" ref="Y13:Y35" si="1">X13*T13/100</f>
        <v>1.3988697873272052E-5</v>
      </c>
      <c r="Z13" s="6">
        <f>X13*S13/100</f>
        <v>0</v>
      </c>
      <c r="AA13" s="6">
        <f t="shared" ref="AA13:AA35" si="2">X13*U13/100</f>
        <v>1.0211749447488599E-2</v>
      </c>
      <c r="AB13" s="6">
        <f t="shared" ref="AB13:AB35" si="3">X13*V13/100</f>
        <v>3.6403254765544971E-2</v>
      </c>
      <c r="AC13" s="6">
        <f>Y13+Z13</f>
        <v>1.3988697873272052E-5</v>
      </c>
      <c r="AD13" s="6">
        <f>X13</f>
        <v>4.6628992910906844E-2</v>
      </c>
      <c r="AE13" s="6">
        <f>Y13</f>
        <v>1.3988697873272052E-5</v>
      </c>
      <c r="AF13" s="6">
        <f t="shared" ref="AF13:AI13" si="4">Z13</f>
        <v>0</v>
      </c>
      <c r="AG13" s="6">
        <f t="shared" si="4"/>
        <v>1.0211749447488599E-2</v>
      </c>
      <c r="AH13" s="6">
        <f t="shared" si="4"/>
        <v>3.6403254765544971E-2</v>
      </c>
      <c r="AI13" s="6">
        <f t="shared" si="4"/>
        <v>1.3988697873272052E-5</v>
      </c>
      <c r="AJ13" s="22">
        <f>AC13-AI13</f>
        <v>0</v>
      </c>
      <c r="AK13" s="6">
        <f>AA13-AG13</f>
        <v>0</v>
      </c>
      <c r="AL13" s="23">
        <f>Y13-AE13</f>
        <v>0</v>
      </c>
      <c r="AM13" s="6">
        <f>AK13</f>
        <v>0</v>
      </c>
      <c r="AN13" s="6">
        <f>AL13</f>
        <v>0</v>
      </c>
      <c r="AO13" s="6">
        <f>AJ13</f>
        <v>0</v>
      </c>
      <c r="AP13" s="19">
        <f>AO13*$D$4*1000/$D$6</f>
        <v>0</v>
      </c>
      <c r="AQ13">
        <f t="shared" ref="AQ13:AQ29" si="5">F13*100*T13/100</f>
        <v>35.479699994999997</v>
      </c>
      <c r="AR13" s="6">
        <f>AQ13*$D$7</f>
        <v>0.18555883097385001</v>
      </c>
      <c r="AS13" s="6">
        <f>AR13*$D$5/1000</f>
        <v>1.8184765435437304E-5</v>
      </c>
      <c r="AT13" s="6">
        <f>G13*100*T13/100</f>
        <v>0</v>
      </c>
      <c r="AU13" s="6">
        <f>AT13*$D$7</f>
        <v>0</v>
      </c>
      <c r="AV13" s="6">
        <f>AU13*$D$5/1000</f>
        <v>0</v>
      </c>
      <c r="AW13" s="6">
        <f>AS13-AV13</f>
        <v>1.8184765435437304E-5</v>
      </c>
      <c r="AX13" s="6">
        <f>AW13</f>
        <v>1.8184765435437304E-5</v>
      </c>
      <c r="AY13" s="19">
        <f>(AX13*$D$4*1000/$D$6)</f>
        <v>1.4206127949770288E-3</v>
      </c>
      <c r="AZ13" s="23">
        <f>AP13</f>
        <v>0</v>
      </c>
      <c r="BA13" s="23">
        <v>0</v>
      </c>
    </row>
    <row r="14" spans="1:60" ht="14.4" x14ac:dyDescent="0.3">
      <c r="A14" t="s">
        <v>105</v>
      </c>
      <c r="B14">
        <v>1</v>
      </c>
      <c r="C14" s="2">
        <v>45035</v>
      </c>
      <c r="D14" s="11">
        <v>0.62013888888888891</v>
      </c>
      <c r="E14">
        <v>1023.1</v>
      </c>
      <c r="F14">
        <v>939.8</v>
      </c>
      <c r="G14">
        <v>937.4</v>
      </c>
      <c r="H14">
        <v>0.1</v>
      </c>
      <c r="I14">
        <v>0.55000000000000004</v>
      </c>
      <c r="J14">
        <v>2.27</v>
      </c>
      <c r="K14">
        <v>97.49</v>
      </c>
      <c r="L14">
        <v>0</v>
      </c>
      <c r="N14" t="s">
        <v>99</v>
      </c>
      <c r="P14" s="3">
        <f t="shared" ref="P14:P35" si="6">C14+D14</f>
        <v>45035.620138888888</v>
      </c>
      <c r="Q14" s="4">
        <f t="shared" si="0"/>
        <v>1.9909722222218988</v>
      </c>
      <c r="R14">
        <f>SUM(H14:K14)</f>
        <v>100.41</v>
      </c>
      <c r="S14">
        <f>H14 * 100/R14</f>
        <v>9.9591674136042224E-2</v>
      </c>
      <c r="T14">
        <f>I14* 100/R14</f>
        <v>0.54775420774823236</v>
      </c>
      <c r="U14">
        <f>J14* 100/R14</f>
        <v>2.2607310028881584</v>
      </c>
      <c r="V14">
        <f>K14* 100/R14</f>
        <v>97.091923115227573</v>
      </c>
      <c r="W14">
        <f>SUM(S14:V14)</f>
        <v>100</v>
      </c>
      <c r="X14" s="6">
        <f>F14*100*$D$3/($D$1*$D$2)</f>
        <v>3.7053803338680337E-2</v>
      </c>
      <c r="Y14" s="6">
        <f t="shared" si="1"/>
        <v>2.0296376691837656E-4</v>
      </c>
      <c r="Z14" s="6">
        <f t="shared" ref="Z14:Z35" si="7">X14*S14/100</f>
        <v>3.6902503076068454E-5</v>
      </c>
      <c r="AA14" s="6">
        <f t="shared" si="2"/>
        <v>8.3768681982675393E-4</v>
      </c>
      <c r="AB14" s="6">
        <f t="shared" si="3"/>
        <v>3.5976250248859143E-2</v>
      </c>
      <c r="AC14" s="6">
        <f>Y14+Z14</f>
        <v>2.3986626999444502E-4</v>
      </c>
      <c r="AD14" s="6">
        <f t="shared" ref="AD14:AD35" si="8">G14*100*$D$3/($D$1*$D$2)</f>
        <v>3.6959177750243613E-2</v>
      </c>
      <c r="AE14" s="6">
        <f t="shared" ref="AE14:AE35" si="9">AD14*T14/100</f>
        <v>2.0244545127610786E-4</v>
      </c>
      <c r="AF14" s="6">
        <f t="shared" ref="AF14:AF35" si="10">AD14*S14/100</f>
        <v>3.6808263868383243E-5</v>
      </c>
      <c r="AG14" s="6">
        <f t="shared" ref="AG14:AG35" si="11">AD14*U14/100</f>
        <v>8.3554758981229955E-4</v>
      </c>
      <c r="AH14" s="6">
        <f t="shared" ref="AH14:AH35" si="12">AD14*V14/100</f>
        <v>3.5884376445286824E-2</v>
      </c>
      <c r="AI14" s="6">
        <f>AE14+AF14</f>
        <v>2.3925371514449111E-4</v>
      </c>
      <c r="AJ14" s="22">
        <f>AC14-AI13</f>
        <v>2.2587757212117298E-4</v>
      </c>
      <c r="AK14">
        <f>(AA14-AG13)*-1</f>
        <v>9.3740626276618451E-3</v>
      </c>
      <c r="AL14" s="25">
        <f>Y14-AE13</f>
        <v>1.8897506904510451E-4</v>
      </c>
      <c r="AM14" s="6">
        <f>AK14+AM13</f>
        <v>9.3740626276618451E-3</v>
      </c>
      <c r="AN14" s="6">
        <f>AL14+AN13</f>
        <v>1.8897506904510451E-4</v>
      </c>
      <c r="AO14" s="6">
        <f>AJ14+AO13</f>
        <v>2.2587757212117298E-4</v>
      </c>
      <c r="AP14" s="19">
        <f>AO14*$D$4*1000/$D$6</f>
        <v>1.7645790933787122E-2</v>
      </c>
      <c r="AQ14">
        <f t="shared" si="5"/>
        <v>514.77940444178876</v>
      </c>
      <c r="AR14" s="6">
        <f>AQ14*$D$7</f>
        <v>2.6922962852305554</v>
      </c>
      <c r="AS14" s="6">
        <f>AR14*$D$5/1000</f>
        <v>2.6384503595259444E-4</v>
      </c>
      <c r="AT14" s="6">
        <f t="shared" ref="AT14:AT33" si="13">G14*100*T14/100</f>
        <v>513.46479434319303</v>
      </c>
      <c r="AU14" s="6">
        <f t="shared" ref="AU14:AU33" si="14">AT14*$D$7</f>
        <v>2.6854208744148997</v>
      </c>
      <c r="AV14" s="6">
        <f t="shared" ref="AV14:AV33" si="15">AU14*$D$5/1000</f>
        <v>2.6317124569266021E-4</v>
      </c>
      <c r="AW14" s="6">
        <f>AS14-AV13</f>
        <v>2.6384503595259444E-4</v>
      </c>
      <c r="AX14" s="6">
        <f>AW14+AX13</f>
        <v>2.8202980138803172E-4</v>
      </c>
      <c r="AY14" s="19">
        <f t="shared" ref="AY14:AY35" si="16">(AX14*$D$4*1000/$D$6)</f>
        <v>2.2032461504061913E-2</v>
      </c>
      <c r="AZ14" s="23">
        <f>AY14+AP14</f>
        <v>3.9678252437849032E-2</v>
      </c>
      <c r="BA14" s="23">
        <f t="shared" ref="BA14:BA32" si="17">AK14/(AL14+AW14)</f>
        <v>20.701515953470043</v>
      </c>
    </row>
    <row r="15" spans="1:60" ht="14.4" x14ac:dyDescent="0.3">
      <c r="A15" t="s">
        <v>105</v>
      </c>
      <c r="B15">
        <v>1</v>
      </c>
      <c r="C15" s="2">
        <v>45040</v>
      </c>
      <c r="D15" s="11">
        <v>0.43472222222222223</v>
      </c>
      <c r="E15">
        <v>1002.4</v>
      </c>
      <c r="F15">
        <v>938.6</v>
      </c>
      <c r="G15">
        <v>934.4</v>
      </c>
      <c r="H15">
        <v>0.2</v>
      </c>
      <c r="I15">
        <v>1.03</v>
      </c>
      <c r="J15">
        <v>2.0299999999999998</v>
      </c>
      <c r="K15">
        <v>97.75</v>
      </c>
      <c r="L15">
        <v>0</v>
      </c>
      <c r="N15" t="s">
        <v>99</v>
      </c>
      <c r="P15" s="3">
        <f t="shared" si="6"/>
        <v>45040.43472222222</v>
      </c>
      <c r="Q15" s="4">
        <f t="shared" si="0"/>
        <v>6.8055555555547471</v>
      </c>
      <c r="R15">
        <f t="shared" ref="R15:R31" si="18">SUM(H15:K15)</f>
        <v>101.01</v>
      </c>
      <c r="S15">
        <f t="shared" ref="S15:S35" si="19">H15 * 100/R15</f>
        <v>0.198000198000198</v>
      </c>
      <c r="T15">
        <f t="shared" ref="T15:T35" si="20">I15* 100/R15</f>
        <v>1.0197010197010197</v>
      </c>
      <c r="U15">
        <f t="shared" ref="U15:U35" si="21">J15* 100/R15</f>
        <v>2.0097020097020093</v>
      </c>
      <c r="V15">
        <f t="shared" ref="V15:V35" si="22">K15* 100/R15</f>
        <v>96.772596772596771</v>
      </c>
      <c r="W15">
        <f t="shared" ref="W15:W35" si="23">SUM(S15:V15)</f>
        <v>100</v>
      </c>
      <c r="X15" s="6">
        <f t="shared" ref="X15:X35" si="24">F15*100*$D$3/($D$1*$D$2)</f>
        <v>3.7006490544461972E-2</v>
      </c>
      <c r="Y15" s="6">
        <f t="shared" si="1"/>
        <v>3.7735556143744011E-4</v>
      </c>
      <c r="Z15" s="6">
        <f t="shared" si="7"/>
        <v>7.3272924550959255E-5</v>
      </c>
      <c r="AA15" s="6">
        <f t="shared" si="2"/>
        <v>7.4372018419223624E-4</v>
      </c>
      <c r="AB15" s="6">
        <f t="shared" si="3"/>
        <v>3.5812141874281334E-2</v>
      </c>
      <c r="AC15" s="6">
        <f t="shared" ref="AC15:AC28" si="25">Y15+Z15</f>
        <v>4.5062848598839938E-4</v>
      </c>
      <c r="AD15" s="6">
        <f t="shared" si="8"/>
        <v>3.6840895764697706E-2</v>
      </c>
      <c r="AE15" s="6">
        <f t="shared" si="9"/>
        <v>3.7566698977961231E-4</v>
      </c>
      <c r="AF15" s="6">
        <f t="shared" si="10"/>
        <v>7.2945046559148017E-5</v>
      </c>
      <c r="AG15" s="6">
        <f t="shared" si="11"/>
        <v>7.4039222257535212E-4</v>
      </c>
      <c r="AH15" s="6">
        <f t="shared" si="12"/>
        <v>3.5651891505783594E-2</v>
      </c>
      <c r="AI15" s="6">
        <f t="shared" ref="AI15:AI28" si="26">AE15+AF15</f>
        <v>4.4861203633876032E-4</v>
      </c>
      <c r="AJ15" s="22">
        <f>AC15-AI14</f>
        <v>2.1137477084390828E-4</v>
      </c>
      <c r="AK15">
        <f>(AA15-AG14)*-1</f>
        <v>9.1827405620063308E-5</v>
      </c>
      <c r="AL15" s="25">
        <f>Y15-AE14</f>
        <v>1.7491011016133225E-4</v>
      </c>
      <c r="AM15" s="6">
        <f>AK15+AM14</f>
        <v>9.4658900332819079E-3</v>
      </c>
      <c r="AN15" s="6">
        <f>AL15+AN14</f>
        <v>3.6388517920643679E-4</v>
      </c>
      <c r="AO15" s="6">
        <f>AJ15+AO14</f>
        <v>4.3725234296508126E-4</v>
      </c>
      <c r="AP15" s="19">
        <f>AO15*$D$4*1000/$D$6</f>
        <v>3.4158607943294637E-2</v>
      </c>
      <c r="AQ15">
        <f t="shared" si="5"/>
        <v>957.09137709137713</v>
      </c>
      <c r="AR15" s="6">
        <f t="shared" ref="AR15:AR33" si="27">AQ15*$D$7</f>
        <v>5.0055879021879024</v>
      </c>
      <c r="AS15" s="6">
        <f t="shared" ref="AS15:AS33" si="28">AR15*$D$5/1000</f>
        <v>4.9054761441441445E-4</v>
      </c>
      <c r="AT15" s="6">
        <f t="shared" si="13"/>
        <v>952.80863280863286</v>
      </c>
      <c r="AU15" s="6">
        <f t="shared" si="14"/>
        <v>4.9831891495891503</v>
      </c>
      <c r="AV15" s="6">
        <f t="shared" si="15"/>
        <v>4.8835253665973678E-4</v>
      </c>
      <c r="AW15" s="6">
        <f t="shared" ref="AW15:AW33" si="29">AS15-AV14</f>
        <v>2.2737636872175425E-4</v>
      </c>
      <c r="AX15" s="6">
        <f t="shared" ref="AX15:AX35" si="30">AW15+AX14</f>
        <v>5.0940617010978597E-4</v>
      </c>
      <c r="AY15" s="19">
        <f t="shared" si="16"/>
        <v>3.9795339987612227E-2</v>
      </c>
      <c r="AZ15" s="23">
        <f>AY15+AP15</f>
        <v>7.3953947930906871E-2</v>
      </c>
      <c r="BA15" s="23">
        <f t="shared" si="17"/>
        <v>0.22826371364758302</v>
      </c>
    </row>
    <row r="16" spans="1:60" s="7" customFormat="1" ht="14.4" x14ac:dyDescent="0.3">
      <c r="A16" t="s">
        <v>105</v>
      </c>
      <c r="B16">
        <v>1</v>
      </c>
      <c r="C16" s="2">
        <v>45040</v>
      </c>
      <c r="D16" s="11">
        <v>0.47916666666666669</v>
      </c>
      <c r="E16">
        <v>1003.3</v>
      </c>
      <c r="F16">
        <v>1104.5</v>
      </c>
      <c r="G16">
        <v>1098.4000000000001</v>
      </c>
      <c r="H16">
        <v>0</v>
      </c>
      <c r="I16">
        <v>0.41</v>
      </c>
      <c r="J16">
        <v>19.940000000000001</v>
      </c>
      <c r="K16">
        <v>77.03</v>
      </c>
      <c r="L16">
        <v>1</v>
      </c>
      <c r="M16"/>
      <c r="N16" t="s">
        <v>99</v>
      </c>
      <c r="O16">
        <v>876.95</v>
      </c>
      <c r="P16" s="8">
        <f t="shared" si="6"/>
        <v>45040.479166666664</v>
      </c>
      <c r="Q16" s="9">
        <f t="shared" si="0"/>
        <v>6.8499999999985448</v>
      </c>
      <c r="R16">
        <f t="shared" si="18"/>
        <v>97.38</v>
      </c>
      <c r="S16">
        <f t="shared" si="19"/>
        <v>0</v>
      </c>
      <c r="T16">
        <f t="shared" si="20"/>
        <v>0.42103101252823988</v>
      </c>
      <c r="U16">
        <f t="shared" si="21"/>
        <v>20.476483877592937</v>
      </c>
      <c r="V16">
        <f t="shared" si="22"/>
        <v>79.102485109878828</v>
      </c>
      <c r="W16">
        <f t="shared" si="23"/>
        <v>100</v>
      </c>
      <c r="X16" s="10">
        <f t="shared" si="24"/>
        <v>4.3547484345150489E-2</v>
      </c>
      <c r="Y16" s="10">
        <f t="shared" si="1"/>
        <v>1.8334841426896384E-4</v>
      </c>
      <c r="Z16" s="10">
        <f t="shared" si="7"/>
        <v>0</v>
      </c>
      <c r="AA16" s="10">
        <f t="shared" si="2"/>
        <v>8.9169936110320477E-3</v>
      </c>
      <c r="AB16" s="10">
        <f t="shared" si="3"/>
        <v>3.444714231984948E-2</v>
      </c>
      <c r="AC16" s="10">
        <f t="shared" si="25"/>
        <v>1.8334841426896384E-4</v>
      </c>
      <c r="AD16" s="10">
        <f t="shared" si="8"/>
        <v>4.3306977641207153E-2</v>
      </c>
      <c r="AE16" s="10">
        <f t="shared" si="9"/>
        <v>1.8233580645815294E-4</v>
      </c>
      <c r="AF16" s="10">
        <f t="shared" si="10"/>
        <v>0</v>
      </c>
      <c r="AG16" s="10">
        <f t="shared" si="11"/>
        <v>8.8677462945745619E-3</v>
      </c>
      <c r="AH16" s="10">
        <f t="shared" si="12"/>
        <v>3.4256895540174442E-2</v>
      </c>
      <c r="AI16" s="10">
        <f t="shared" si="26"/>
        <v>1.8233580645815294E-4</v>
      </c>
      <c r="AJ16" s="26"/>
      <c r="AK16"/>
      <c r="AL16" s="24"/>
      <c r="AP16" s="20"/>
      <c r="AQ16" s="7">
        <f t="shared" si="5"/>
        <v>465.02875333744095</v>
      </c>
      <c r="AR16" s="10">
        <f t="shared" si="27"/>
        <v>2.4321003799548162</v>
      </c>
      <c r="AS16" s="6">
        <f t="shared" si="28"/>
        <v>2.3834583723557199E-4</v>
      </c>
      <c r="AT16" s="6">
        <f t="shared" si="13"/>
        <v>462.46046416101876</v>
      </c>
      <c r="AU16" s="6">
        <f t="shared" si="14"/>
        <v>2.4186682275621281</v>
      </c>
      <c r="AV16" s="6">
        <f t="shared" si="15"/>
        <v>2.3702948630108855E-4</v>
      </c>
      <c r="AW16" s="6">
        <f t="shared" si="29"/>
        <v>-2.5000669942416479E-4</v>
      </c>
      <c r="AX16" s="6">
        <f t="shared" si="30"/>
        <v>2.5939947068562118E-4</v>
      </c>
      <c r="AY16" s="19">
        <f t="shared" si="16"/>
        <v>2.0264556525328666E-2</v>
      </c>
      <c r="AZ16" s="24"/>
      <c r="BA16" s="23">
        <f t="shared" si="17"/>
        <v>0</v>
      </c>
      <c r="BB16"/>
      <c r="BC16"/>
      <c r="BD16"/>
      <c r="BE16"/>
      <c r="BF16"/>
      <c r="BG16"/>
      <c r="BH16"/>
    </row>
    <row r="17" spans="1:60" ht="14.4" x14ac:dyDescent="0.3">
      <c r="A17" t="s">
        <v>105</v>
      </c>
      <c r="B17">
        <v>1</v>
      </c>
      <c r="C17" s="2">
        <v>45042</v>
      </c>
      <c r="D17" s="11">
        <v>0.37361111111111112</v>
      </c>
      <c r="E17">
        <v>1017.1</v>
      </c>
      <c r="F17">
        <v>977</v>
      </c>
      <c r="G17">
        <v>974.3</v>
      </c>
      <c r="H17">
        <v>0.03</v>
      </c>
      <c r="I17">
        <v>1.72</v>
      </c>
      <c r="J17">
        <v>9.83</v>
      </c>
      <c r="K17">
        <v>89.69</v>
      </c>
      <c r="L17">
        <v>0</v>
      </c>
      <c r="N17" t="s">
        <v>99</v>
      </c>
      <c r="P17" s="3">
        <f t="shared" si="6"/>
        <v>45042.373611111114</v>
      </c>
      <c r="Q17" s="4">
        <f t="shared" si="0"/>
        <v>8.7444444444481633</v>
      </c>
      <c r="R17">
        <f t="shared" si="18"/>
        <v>101.27</v>
      </c>
      <c r="S17">
        <f t="shared" si="19"/>
        <v>2.9623778019156711E-2</v>
      </c>
      <c r="T17">
        <f t="shared" si="20"/>
        <v>1.6984299397649847</v>
      </c>
      <c r="U17">
        <f t="shared" si="21"/>
        <v>9.7067245976103482</v>
      </c>
      <c r="V17">
        <f t="shared" si="22"/>
        <v>88.565221684605518</v>
      </c>
      <c r="W17">
        <f t="shared" si="23"/>
        <v>100</v>
      </c>
      <c r="X17" s="6">
        <f t="shared" si="24"/>
        <v>3.8520499959449547E-2</v>
      </c>
      <c r="Y17" s="6">
        <f t="shared" si="1"/>
        <v>6.5424370425844994E-4</v>
      </c>
      <c r="Z17" s="6">
        <f t="shared" si="7"/>
        <v>1.1411227399856686E-5</v>
      </c>
      <c r="AA17" s="6">
        <f t="shared" si="2"/>
        <v>3.7390788446863732E-3</v>
      </c>
      <c r="AB17" s="6">
        <f t="shared" si="3"/>
        <v>3.411576618310487E-2</v>
      </c>
      <c r="AC17" s="6">
        <f t="shared" si="25"/>
        <v>6.6565493165830661E-4</v>
      </c>
      <c r="AD17" s="6">
        <f t="shared" si="8"/>
        <v>3.8414046172458235E-2</v>
      </c>
      <c r="AE17" s="6">
        <f t="shared" si="9"/>
        <v>6.5243566126817589E-4</v>
      </c>
      <c r="AF17" s="6">
        <f t="shared" si="10"/>
        <v>1.1379691766305394E-5</v>
      </c>
      <c r="AG17" s="6">
        <f t="shared" si="11"/>
        <v>3.7287456687594002E-3</v>
      </c>
      <c r="AH17" s="6">
        <f t="shared" si="12"/>
        <v>3.402148515066436E-2</v>
      </c>
      <c r="AI17" s="6">
        <f t="shared" si="26"/>
        <v>6.6381535303448131E-4</v>
      </c>
      <c r="AJ17" s="22">
        <f t="shared" ref="AJ17:AJ27" si="31">AC17-AI16</f>
        <v>4.833191252001537E-4</v>
      </c>
      <c r="AK17">
        <f>(AA17-AG16)*-1</f>
        <v>5.1286674498881892E-3</v>
      </c>
      <c r="AL17" s="25">
        <f>Y17-AE16</f>
        <v>4.7190789780029703E-4</v>
      </c>
      <c r="AM17">
        <f>AK17+AM15</f>
        <v>1.4594557483170097E-2</v>
      </c>
      <c r="AN17" s="6">
        <f>AL17+AN15</f>
        <v>8.3579307700673382E-4</v>
      </c>
      <c r="AO17">
        <f>AJ17+AO15</f>
        <v>9.205714681652349E-4</v>
      </c>
      <c r="AP17" s="19">
        <f>AO17*$D$4*1000/$D$6</f>
        <v>7.1916000841991179E-2</v>
      </c>
      <c r="AQ17">
        <f t="shared" si="5"/>
        <v>1659.3660511503901</v>
      </c>
      <c r="AR17" s="6">
        <f t="shared" si="27"/>
        <v>8.6784844475165404</v>
      </c>
      <c r="AS17" s="6">
        <f t="shared" si="28"/>
        <v>8.5049147585662102E-4</v>
      </c>
      <c r="AT17" s="6">
        <f t="shared" si="13"/>
        <v>1654.7802903130246</v>
      </c>
      <c r="AU17" s="6">
        <f t="shared" si="14"/>
        <v>8.6545009183371189</v>
      </c>
      <c r="AV17" s="6">
        <f t="shared" si="15"/>
        <v>8.4814108999703766E-4</v>
      </c>
      <c r="AW17" s="6">
        <f t="shared" si="29"/>
        <v>6.134619895555325E-4</v>
      </c>
      <c r="AX17" s="6">
        <f t="shared" si="30"/>
        <v>8.7286146024115373E-4</v>
      </c>
      <c r="AY17" s="19">
        <f t="shared" si="16"/>
        <v>6.8188845386176242E-2</v>
      </c>
      <c r="AZ17" s="23">
        <f>AY17+AP17</f>
        <v>0.14010484622816743</v>
      </c>
      <c r="BA17" s="23">
        <f t="shared" si="17"/>
        <v>4.7252715499437823</v>
      </c>
    </row>
    <row r="18" spans="1:60" s="7" customFormat="1" ht="14.4" x14ac:dyDescent="0.3">
      <c r="A18" t="s">
        <v>105</v>
      </c>
      <c r="B18">
        <v>1</v>
      </c>
      <c r="C18" s="2">
        <v>45042</v>
      </c>
      <c r="D18" s="11">
        <v>0.41875000000000001</v>
      </c>
      <c r="E18">
        <v>1017.3</v>
      </c>
      <c r="F18">
        <v>1121.4000000000001</v>
      </c>
      <c r="G18">
        <v>1117.7</v>
      </c>
      <c r="H18">
        <v>0</v>
      </c>
      <c r="I18">
        <v>0.47</v>
      </c>
      <c r="J18">
        <v>20.56</v>
      </c>
      <c r="K18">
        <v>76.69</v>
      </c>
      <c r="L18">
        <v>1</v>
      </c>
      <c r="M18"/>
      <c r="N18" t="s">
        <v>99</v>
      </c>
      <c r="O18">
        <v>876.95</v>
      </c>
      <c r="P18" s="8">
        <f t="shared" si="6"/>
        <v>45042.418749999997</v>
      </c>
      <c r="Q18" s="9">
        <f t="shared" si="0"/>
        <v>8.7895833333313931</v>
      </c>
      <c r="R18">
        <f t="shared" si="18"/>
        <v>97.72</v>
      </c>
      <c r="S18">
        <f t="shared" si="19"/>
        <v>0</v>
      </c>
      <c r="T18">
        <f t="shared" si="20"/>
        <v>0.48096602537863281</v>
      </c>
      <c r="U18">
        <f t="shared" si="21"/>
        <v>21.039705280392958</v>
      </c>
      <c r="V18">
        <f t="shared" si="22"/>
        <v>78.479328694228414</v>
      </c>
      <c r="W18">
        <f t="shared" si="23"/>
        <v>100</v>
      </c>
      <c r="X18" s="10">
        <f t="shared" si="24"/>
        <v>4.4213806197059086E-2</v>
      </c>
      <c r="Y18" s="10">
        <f t="shared" si="1"/>
        <v>2.1265338633460673E-4</v>
      </c>
      <c r="Z18" s="10">
        <f t="shared" si="7"/>
        <v>0</v>
      </c>
      <c r="AA18" s="10">
        <f t="shared" si="2"/>
        <v>9.3024545171053498E-3</v>
      </c>
      <c r="AB18" s="10">
        <f t="shared" si="3"/>
        <v>3.4698698293619129E-2</v>
      </c>
      <c r="AC18" s="10">
        <f t="shared" si="25"/>
        <v>2.1265338633460673E-4</v>
      </c>
      <c r="AD18" s="10">
        <f t="shared" si="8"/>
        <v>4.4067925081552467E-2</v>
      </c>
      <c r="AE18" s="10">
        <f t="shared" si="9"/>
        <v>2.1195174773157654E-4</v>
      </c>
      <c r="AF18" s="10">
        <f t="shared" si="10"/>
        <v>0</v>
      </c>
      <c r="AG18" s="10">
        <f t="shared" si="11"/>
        <v>9.2717615603430063E-3</v>
      </c>
      <c r="AH18" s="10">
        <f t="shared" si="12"/>
        <v>3.4584211773477883E-2</v>
      </c>
      <c r="AI18" s="10">
        <f t="shared" si="26"/>
        <v>2.1195174773157654E-4</v>
      </c>
      <c r="AJ18" s="26"/>
      <c r="AL18" s="24"/>
      <c r="AP18" s="20"/>
      <c r="AQ18" s="7">
        <f t="shared" si="5"/>
        <v>539.35530085959897</v>
      </c>
      <c r="AR18" s="10">
        <f t="shared" si="27"/>
        <v>2.8208282234957029</v>
      </c>
      <c r="AS18" s="6">
        <f t="shared" si="28"/>
        <v>2.7644116590257888E-4</v>
      </c>
      <c r="AT18" s="6">
        <f t="shared" si="13"/>
        <v>537.57572656569789</v>
      </c>
      <c r="AU18" s="6">
        <f t="shared" si="14"/>
        <v>2.8115210499386003</v>
      </c>
      <c r="AV18" s="6">
        <f t="shared" si="15"/>
        <v>2.7552906289398283E-4</v>
      </c>
      <c r="AW18" s="6">
        <f t="shared" si="29"/>
        <v>-5.7169992409445878E-4</v>
      </c>
      <c r="AX18" s="6">
        <f t="shared" si="30"/>
        <v>3.0116153614669495E-4</v>
      </c>
      <c r="AY18" s="19">
        <f t="shared" si="16"/>
        <v>2.352705252778221E-2</v>
      </c>
      <c r="AZ18" s="24"/>
      <c r="BA18" s="23">
        <f t="shared" si="17"/>
        <v>0</v>
      </c>
      <c r="BB18"/>
      <c r="BC18"/>
      <c r="BD18"/>
      <c r="BE18"/>
      <c r="BF18"/>
      <c r="BG18"/>
      <c r="BH18"/>
    </row>
    <row r="19" spans="1:60" ht="14.4" x14ac:dyDescent="0.3">
      <c r="A19" t="s">
        <v>105</v>
      </c>
      <c r="B19">
        <v>1</v>
      </c>
      <c r="C19" s="2">
        <v>45044</v>
      </c>
      <c r="D19" s="11">
        <v>0.36805555555555558</v>
      </c>
      <c r="E19">
        <v>1006.9</v>
      </c>
      <c r="F19">
        <v>1053.0999999999999</v>
      </c>
      <c r="G19">
        <v>1049</v>
      </c>
      <c r="H19">
        <v>0</v>
      </c>
      <c r="I19">
        <v>2.94</v>
      </c>
      <c r="J19">
        <v>13.55</v>
      </c>
      <c r="K19">
        <v>86.28</v>
      </c>
      <c r="L19">
        <v>0</v>
      </c>
      <c r="N19" t="s">
        <v>99</v>
      </c>
      <c r="P19" s="3">
        <f t="shared" si="6"/>
        <v>45044.368055555555</v>
      </c>
      <c r="Q19" s="4">
        <f t="shared" si="0"/>
        <v>10.738888888889051</v>
      </c>
      <c r="R19">
        <f t="shared" si="18"/>
        <v>102.77000000000001</v>
      </c>
      <c r="S19">
        <f t="shared" si="19"/>
        <v>0</v>
      </c>
      <c r="T19">
        <f t="shared" si="20"/>
        <v>2.8607570302617491</v>
      </c>
      <c r="U19">
        <f t="shared" si="21"/>
        <v>13.184781551036293</v>
      </c>
      <c r="V19">
        <f t="shared" si="22"/>
        <v>83.954461418701953</v>
      </c>
      <c r="W19">
        <f t="shared" si="23"/>
        <v>100</v>
      </c>
      <c r="X19" s="6">
        <f t="shared" si="24"/>
        <v>4.1520919659463987E-2</v>
      </c>
      <c r="Y19" s="6">
        <f t="shared" si="1"/>
        <v>1.1878126281874488E-3</v>
      </c>
      <c r="Z19" s="6">
        <f t="shared" si="7"/>
        <v>0</v>
      </c>
      <c r="AA19" s="6">
        <f t="shared" si="2"/>
        <v>5.4744425550816087E-3</v>
      </c>
      <c r="AB19" s="6">
        <f t="shared" si="3"/>
        <v>3.4858664476194928E-2</v>
      </c>
      <c r="AC19" s="6">
        <f t="shared" si="25"/>
        <v>1.1878126281874488E-3</v>
      </c>
      <c r="AD19" s="6">
        <f t="shared" si="8"/>
        <v>4.1359267612551251E-2</v>
      </c>
      <c r="AE19" s="6">
        <f t="shared" si="9"/>
        <v>1.1831881558908306E-3</v>
      </c>
      <c r="AF19" s="6">
        <f t="shared" si="10"/>
        <v>0</v>
      </c>
      <c r="AG19" s="6">
        <f t="shared" si="11"/>
        <v>5.4531290858233859E-3</v>
      </c>
      <c r="AH19" s="6">
        <f t="shared" si="12"/>
        <v>3.472295037083703E-2</v>
      </c>
      <c r="AI19" s="6">
        <f t="shared" si="26"/>
        <v>1.1831881558908306E-3</v>
      </c>
      <c r="AJ19" s="22">
        <f t="shared" si="31"/>
        <v>9.7586088045587222E-4</v>
      </c>
      <c r="AK19">
        <f>(AA19-AG18)*-1</f>
        <v>3.7973190052613976E-3</v>
      </c>
      <c r="AL19" s="25">
        <f>Y19-AE18</f>
        <v>9.7586088045587222E-4</v>
      </c>
      <c r="AM19">
        <f>AK19+AM17</f>
        <v>1.8391876488431495E-2</v>
      </c>
      <c r="AN19">
        <f>AL19+AN17</f>
        <v>1.811653957462606E-3</v>
      </c>
      <c r="AO19">
        <f>AJ19+AO17</f>
        <v>1.8964323486211072E-3</v>
      </c>
      <c r="AP19" s="19">
        <f>AO19*$D$4*1000/$D$6</f>
        <v>0.14815126809441273</v>
      </c>
      <c r="AQ19">
        <f t="shared" si="5"/>
        <v>3012.6632285686478</v>
      </c>
      <c r="AR19" s="6">
        <f t="shared" si="27"/>
        <v>15.75622868541403</v>
      </c>
      <c r="AS19" s="6">
        <f t="shared" si="28"/>
        <v>1.544110411170575E-3</v>
      </c>
      <c r="AT19" s="6">
        <f t="shared" si="13"/>
        <v>3000.9341247445745</v>
      </c>
      <c r="AU19" s="6">
        <f t="shared" si="14"/>
        <v>15.694885472414125</v>
      </c>
      <c r="AV19" s="6">
        <f t="shared" si="15"/>
        <v>1.5380987762965844E-3</v>
      </c>
      <c r="AW19" s="6">
        <f t="shared" si="29"/>
        <v>1.2685813482765922E-3</v>
      </c>
      <c r="AX19" s="6">
        <f t="shared" si="30"/>
        <v>1.569742884423287E-3</v>
      </c>
      <c r="AY19" s="19">
        <f t="shared" si="16"/>
        <v>0.12262994726839831</v>
      </c>
      <c r="AZ19" s="23">
        <f>AY19+AP19</f>
        <v>0.27078121536281102</v>
      </c>
      <c r="BA19" s="23">
        <f t="shared" si="17"/>
        <v>1.6918764745421453</v>
      </c>
    </row>
    <row r="20" spans="1:60" ht="14.4" x14ac:dyDescent="0.3">
      <c r="A20" t="s">
        <v>105</v>
      </c>
      <c r="B20">
        <v>1</v>
      </c>
      <c r="C20" s="2">
        <v>45044</v>
      </c>
      <c r="D20" s="11">
        <v>0.36874999999999997</v>
      </c>
      <c r="E20">
        <v>1006.9</v>
      </c>
      <c r="F20">
        <v>1118.8333299999999</v>
      </c>
      <c r="G20">
        <v>1115.17</v>
      </c>
      <c r="H20">
        <v>0</v>
      </c>
      <c r="I20">
        <v>0.46444000000000002</v>
      </c>
      <c r="J20">
        <v>20.374400000000001</v>
      </c>
      <c r="K20">
        <v>76.068899999999999</v>
      </c>
      <c r="L20">
        <v>1</v>
      </c>
      <c r="M20" t="s">
        <v>129</v>
      </c>
      <c r="N20" t="s">
        <v>99</v>
      </c>
      <c r="O20">
        <v>876.92</v>
      </c>
      <c r="P20" s="3">
        <f t="shared" si="6"/>
        <v>45044.368750000001</v>
      </c>
      <c r="Q20" s="4">
        <f t="shared" si="0"/>
        <v>10.739583333335759</v>
      </c>
      <c r="R20">
        <f t="shared" si="18"/>
        <v>96.907740000000004</v>
      </c>
      <c r="S20">
        <f t="shared" si="19"/>
        <v>0</v>
      </c>
      <c r="T20">
        <f t="shared" si="20"/>
        <v>0.47925996416798083</v>
      </c>
      <c r="U20">
        <f t="shared" si="21"/>
        <v>21.02453323129814</v>
      </c>
      <c r="V20">
        <f t="shared" si="22"/>
        <v>78.496206804533884</v>
      </c>
      <c r="W20">
        <f t="shared" si="23"/>
        <v>100</v>
      </c>
      <c r="X20" s="6">
        <f t="shared" si="24"/>
        <v>4.4112609255778715E-2</v>
      </c>
      <c r="Y20" s="6">
        <f t="shared" si="1"/>
        <v>2.1141407531280647E-4</v>
      </c>
      <c r="Z20" s="6">
        <f t="shared" si="7"/>
        <v>0</v>
      </c>
      <c r="AA20" s="6">
        <f t="shared" si="2"/>
        <v>9.2744701921738948E-3</v>
      </c>
      <c r="AB20" s="6">
        <f t="shared" si="3"/>
        <v>3.4626724988292015E-2</v>
      </c>
      <c r="AC20" s="6">
        <f t="shared" si="25"/>
        <v>2.1141407531280647E-4</v>
      </c>
      <c r="AD20" s="6">
        <f t="shared" si="8"/>
        <v>4.3968173940408757E-2</v>
      </c>
      <c r="AE20" s="6">
        <f t="shared" si="9"/>
        <v>2.1072185467211848E-4</v>
      </c>
      <c r="AF20" s="6">
        <f t="shared" si="10"/>
        <v>0</v>
      </c>
      <c r="AG20" s="6">
        <f t="shared" si="11"/>
        <v>9.2441033412962084E-3</v>
      </c>
      <c r="AH20" s="6">
        <f t="shared" si="12"/>
        <v>3.4513348744440432E-2</v>
      </c>
      <c r="AI20" s="6">
        <f t="shared" si="26"/>
        <v>2.1072185467211848E-4</v>
      </c>
      <c r="AJ20" s="22"/>
      <c r="AL20" s="25"/>
      <c r="AP20" s="19"/>
      <c r="AQ20" s="7">
        <f t="shared" si="5"/>
        <v>536.21202164574265</v>
      </c>
      <c r="AR20" s="6">
        <f t="shared" si="27"/>
        <v>2.8043888732072344</v>
      </c>
      <c r="AS20" s="6">
        <f t="shared" si="28"/>
        <v>2.7483010957430899E-4</v>
      </c>
      <c r="AT20" s="6">
        <f t="shared" si="13"/>
        <v>534.45633424120717</v>
      </c>
      <c r="AU20" s="6">
        <f t="shared" si="14"/>
        <v>2.7952066280815138</v>
      </c>
      <c r="AV20" s="6">
        <f t="shared" si="15"/>
        <v>2.7393024955198837E-4</v>
      </c>
      <c r="AW20" s="6">
        <f t="shared" ref="AW20" si="32">AS20-AV19</f>
        <v>-1.2632686667222754E-3</v>
      </c>
      <c r="AX20" s="6">
        <f t="shared" ref="AX20" si="33">AW20+AX19</f>
        <v>3.0647421770101167E-4</v>
      </c>
      <c r="AY20" s="19">
        <f t="shared" ref="AY20" si="34">(AX20*$D$4*1000/$D$6)</f>
        <v>2.3942084738040652E-2</v>
      </c>
      <c r="AZ20" s="23"/>
      <c r="BA20" s="23">
        <f t="shared" si="17"/>
        <v>0</v>
      </c>
    </row>
    <row r="21" spans="1:60" ht="14.4" x14ac:dyDescent="0.3">
      <c r="A21" t="s">
        <v>105</v>
      </c>
      <c r="B21">
        <v>1</v>
      </c>
      <c r="C21" s="2">
        <v>45047</v>
      </c>
      <c r="D21" s="11">
        <v>0.57986111111111105</v>
      </c>
      <c r="E21">
        <v>1013.1</v>
      </c>
      <c r="F21">
        <v>1056.8</v>
      </c>
      <c r="G21">
        <v>1053.4000000000001</v>
      </c>
      <c r="H21">
        <v>0</v>
      </c>
      <c r="I21">
        <v>3.4</v>
      </c>
      <c r="J21">
        <v>13.03</v>
      </c>
      <c r="K21">
        <v>82.05</v>
      </c>
      <c r="L21">
        <v>0</v>
      </c>
      <c r="N21" t="s">
        <v>99</v>
      </c>
      <c r="P21" s="3">
        <f t="shared" si="6"/>
        <v>45047.579861111109</v>
      </c>
      <c r="Q21" s="4">
        <f t="shared" si="0"/>
        <v>13.950694444443798</v>
      </c>
      <c r="R21">
        <f t="shared" si="18"/>
        <v>98.47999999999999</v>
      </c>
      <c r="S21">
        <f t="shared" si="19"/>
        <v>0</v>
      </c>
      <c r="T21">
        <f t="shared" si="20"/>
        <v>3.4524776604386682</v>
      </c>
      <c r="U21">
        <f t="shared" si="21"/>
        <v>13.23111291632819</v>
      </c>
      <c r="V21">
        <f t="shared" si="22"/>
        <v>83.316409423233154</v>
      </c>
      <c r="W21">
        <f t="shared" si="23"/>
        <v>100.00000000000001</v>
      </c>
      <c r="X21" s="6">
        <f t="shared" si="24"/>
        <v>4.1666800774970605E-2</v>
      </c>
      <c r="Y21" s="6">
        <f t="shared" si="1"/>
        <v>1.438536988575346E-3</v>
      </c>
      <c r="Z21" s="6">
        <f t="shared" si="7"/>
        <v>0</v>
      </c>
      <c r="AA21" s="6">
        <f t="shared" si="2"/>
        <v>5.5129814591578698E-3</v>
      </c>
      <c r="AB21" s="6">
        <f t="shared" si="3"/>
        <v>3.4715282327237397E-2</v>
      </c>
      <c r="AC21" s="6">
        <f t="shared" si="25"/>
        <v>1.438536988575346E-3</v>
      </c>
      <c r="AD21" s="6">
        <f t="shared" si="8"/>
        <v>4.1532747858018582E-2</v>
      </c>
      <c r="AE21" s="6">
        <f t="shared" si="9"/>
        <v>1.4339088415644111E-3</v>
      </c>
      <c r="AF21" s="6">
        <f t="shared" si="10"/>
        <v>0</v>
      </c>
      <c r="AG21" s="6">
        <f t="shared" si="11"/>
        <v>5.4952447663483162E-3</v>
      </c>
      <c r="AH21" s="6">
        <f t="shared" si="12"/>
        <v>3.4603594250105861E-2</v>
      </c>
      <c r="AI21" s="6">
        <f t="shared" si="26"/>
        <v>1.4339088415644111E-3</v>
      </c>
      <c r="AJ21" s="22">
        <f t="shared" ref="AJ21" si="35">AC21-AI20</f>
        <v>1.2278151339032274E-3</v>
      </c>
      <c r="AK21">
        <f>(AA21-AG20)*-1</f>
        <v>3.7311218821383385E-3</v>
      </c>
      <c r="AL21" s="25">
        <f>Y21-AE20</f>
        <v>1.2278151339032274E-3</v>
      </c>
      <c r="AM21">
        <f>AK21+AM19</f>
        <v>2.2122998370569833E-2</v>
      </c>
      <c r="AN21">
        <f>AL21+AN19</f>
        <v>3.0394690913658337E-3</v>
      </c>
      <c r="AO21">
        <f>AJ21+AO19</f>
        <v>3.1242474825243349E-3</v>
      </c>
      <c r="AP21" s="19">
        <f>AO21*$D$4*1000/$D$6</f>
        <v>0.24406946375561589</v>
      </c>
      <c r="AQ21">
        <f t="shared" si="5"/>
        <v>3648.5783915515844</v>
      </c>
      <c r="AR21" s="6">
        <f t="shared" si="27"/>
        <v>19.082064987814789</v>
      </c>
      <c r="AS21" s="6">
        <f t="shared" si="28"/>
        <v>1.8700423688058495E-3</v>
      </c>
      <c r="AT21" s="6">
        <f t="shared" si="13"/>
        <v>3636.8399675060937</v>
      </c>
      <c r="AU21" s="6">
        <f t="shared" si="14"/>
        <v>19.020673030056869</v>
      </c>
      <c r="AV21" s="6">
        <f t="shared" si="15"/>
        <v>1.8640259569455732E-3</v>
      </c>
      <c r="AW21" s="6">
        <f>AS21-AV20</f>
        <v>1.5961121192538611E-3</v>
      </c>
      <c r="AX21" s="6">
        <f>AW21+AX20</f>
        <v>1.9025863369548728E-3</v>
      </c>
      <c r="AY21" s="19">
        <f t="shared" si="16"/>
        <v>0.14863202406556483</v>
      </c>
      <c r="AZ21" s="23">
        <f>AY21+AP21</f>
        <v>0.39270148782118075</v>
      </c>
      <c r="BA21" s="23">
        <f t="shared" si="17"/>
        <v>1.3212528325462443</v>
      </c>
    </row>
    <row r="22" spans="1:60" s="7" customFormat="1" ht="14.4" x14ac:dyDescent="0.3">
      <c r="A22" t="s">
        <v>105</v>
      </c>
      <c r="B22">
        <v>1</v>
      </c>
      <c r="C22" s="2">
        <v>45047</v>
      </c>
      <c r="D22" s="11">
        <v>0.62083333333333335</v>
      </c>
      <c r="E22">
        <v>1013.3</v>
      </c>
      <c r="F22">
        <v>1116.5999999999999</v>
      </c>
      <c r="G22">
        <v>1113.0999999999999</v>
      </c>
      <c r="H22">
        <v>0</v>
      </c>
      <c r="I22">
        <v>0.6</v>
      </c>
      <c r="J22">
        <v>20.59</v>
      </c>
      <c r="K22">
        <v>76.48</v>
      </c>
      <c r="L22">
        <v>1</v>
      </c>
      <c r="M22"/>
      <c r="N22" t="s">
        <v>99</v>
      </c>
      <c r="O22">
        <v>876.84</v>
      </c>
      <c r="P22" s="8">
        <f t="shared" si="6"/>
        <v>45047.620833333334</v>
      </c>
      <c r="Q22" s="9">
        <f t="shared" si="0"/>
        <v>13.991666666668607</v>
      </c>
      <c r="R22">
        <f t="shared" si="18"/>
        <v>97.67</v>
      </c>
      <c r="S22">
        <f t="shared" si="19"/>
        <v>0</v>
      </c>
      <c r="T22">
        <f t="shared" si="20"/>
        <v>0.61431350465854406</v>
      </c>
      <c r="U22">
        <f t="shared" si="21"/>
        <v>21.081191768199037</v>
      </c>
      <c r="V22">
        <f t="shared" si="22"/>
        <v>78.304494727142412</v>
      </c>
      <c r="W22">
        <f t="shared" si="23"/>
        <v>100</v>
      </c>
      <c r="X22" s="10">
        <f t="shared" si="24"/>
        <v>4.4024555020185631E-2</v>
      </c>
      <c r="Y22" s="10">
        <f t="shared" si="1"/>
        <v>2.7044878685483136E-4</v>
      </c>
      <c r="Z22" s="10">
        <f t="shared" si="7"/>
        <v>0</v>
      </c>
      <c r="AA22" s="10">
        <f t="shared" si="2"/>
        <v>9.2809008689016294E-3</v>
      </c>
      <c r="AB22" s="10">
        <f t="shared" si="3"/>
        <v>3.4473205364429167E-2</v>
      </c>
      <c r="AC22" s="10">
        <f t="shared" si="25"/>
        <v>2.7044878685483136E-4</v>
      </c>
      <c r="AD22" s="10">
        <f t="shared" si="8"/>
        <v>4.3886559370382078E-2</v>
      </c>
      <c r="AE22" s="10">
        <f t="shared" si="9"/>
        <v>2.6960106094224681E-4</v>
      </c>
      <c r="AF22" s="10">
        <f t="shared" si="10"/>
        <v>0</v>
      </c>
      <c r="AG22" s="10">
        <f t="shared" si="11"/>
        <v>9.2518097413347693E-3</v>
      </c>
      <c r="AH22" s="10">
        <f t="shared" si="12"/>
        <v>3.4365148568105061E-2</v>
      </c>
      <c r="AI22" s="10">
        <f t="shared" si="26"/>
        <v>2.6960106094224681E-4</v>
      </c>
      <c r="AJ22" s="26"/>
      <c r="AL22" s="24"/>
      <c r="AP22" s="20"/>
      <c r="AQ22" s="7">
        <f t="shared" si="5"/>
        <v>685.94245930173031</v>
      </c>
      <c r="AR22" s="10">
        <f t="shared" si="27"/>
        <v>3.5874790621480499</v>
      </c>
      <c r="AS22" s="6">
        <f t="shared" si="28"/>
        <v>3.5157294809050891E-4</v>
      </c>
      <c r="AT22" s="6">
        <f t="shared" si="13"/>
        <v>683.7923620354253</v>
      </c>
      <c r="AU22" s="6">
        <f t="shared" si="14"/>
        <v>3.5762340534452743</v>
      </c>
      <c r="AV22" s="6">
        <f t="shared" si="15"/>
        <v>3.5047093723763692E-4</v>
      </c>
      <c r="AW22" s="6">
        <f t="shared" si="29"/>
        <v>-1.5124530088550642E-3</v>
      </c>
      <c r="AX22" s="6">
        <f t="shared" si="30"/>
        <v>3.9013332809980858E-4</v>
      </c>
      <c r="AY22" s="19">
        <f t="shared" si="16"/>
        <v>3.0477621480094242E-2</v>
      </c>
      <c r="AZ22" s="24"/>
      <c r="BA22" s="23">
        <f t="shared" si="17"/>
        <v>0</v>
      </c>
      <c r="BB22"/>
      <c r="BC22"/>
      <c r="BD22"/>
      <c r="BE22"/>
      <c r="BF22"/>
      <c r="BG22"/>
      <c r="BH22"/>
    </row>
    <row r="23" spans="1:60" ht="14.4" x14ac:dyDescent="0.3">
      <c r="A23" t="s">
        <v>105</v>
      </c>
      <c r="B23">
        <v>1</v>
      </c>
      <c r="C23" s="2">
        <v>45050</v>
      </c>
      <c r="D23" s="11">
        <v>0.41111111111111115</v>
      </c>
      <c r="E23">
        <v>1017.7</v>
      </c>
      <c r="F23">
        <v>1067.4000000000001</v>
      </c>
      <c r="G23">
        <v>1064.3</v>
      </c>
      <c r="H23">
        <v>0</v>
      </c>
      <c r="I23">
        <v>2.65</v>
      </c>
      <c r="J23">
        <v>15.49</v>
      </c>
      <c r="K23">
        <v>79.8</v>
      </c>
      <c r="L23">
        <v>0</v>
      </c>
      <c r="N23" t="s">
        <v>99</v>
      </c>
      <c r="P23" s="3">
        <f t="shared" si="6"/>
        <v>45050.411111111112</v>
      </c>
      <c r="Q23" s="4">
        <f t="shared" si="0"/>
        <v>16.781944444446708</v>
      </c>
      <c r="R23">
        <f t="shared" si="18"/>
        <v>97.94</v>
      </c>
      <c r="S23">
        <f t="shared" si="19"/>
        <v>0</v>
      </c>
      <c r="T23">
        <f t="shared" si="20"/>
        <v>2.7057382070655502</v>
      </c>
      <c r="U23">
        <f t="shared" si="21"/>
        <v>15.815805595262406</v>
      </c>
      <c r="V23">
        <f t="shared" si="22"/>
        <v>81.478456197672045</v>
      </c>
      <c r="W23">
        <f t="shared" si="23"/>
        <v>100</v>
      </c>
      <c r="X23" s="6">
        <f t="shared" si="24"/>
        <v>4.2084730457232808E-2</v>
      </c>
      <c r="Y23" s="6">
        <f t="shared" si="1"/>
        <v>1.1387026313219005E-3</v>
      </c>
      <c r="Z23" s="6">
        <f t="shared" si="7"/>
        <v>0</v>
      </c>
      <c r="AA23" s="6">
        <f t="shared" si="2"/>
        <v>6.6560391544061284E-3</v>
      </c>
      <c r="AB23" s="6">
        <f t="shared" si="3"/>
        <v>3.4289988671504783E-2</v>
      </c>
      <c r="AC23" s="6">
        <f t="shared" si="25"/>
        <v>1.1387026313219005E-3</v>
      </c>
      <c r="AD23" s="6">
        <f t="shared" si="8"/>
        <v>4.1962505738835365E-2</v>
      </c>
      <c r="AE23" s="6">
        <f t="shared" si="9"/>
        <v>1.1353955504177426E-3</v>
      </c>
      <c r="AF23" s="6">
        <f t="shared" si="10"/>
        <v>0</v>
      </c>
      <c r="AG23" s="6">
        <f t="shared" si="11"/>
        <v>6.636708330555032E-3</v>
      </c>
      <c r="AH23" s="6">
        <f t="shared" si="12"/>
        <v>3.4190401857862589E-2</v>
      </c>
      <c r="AI23" s="6">
        <f t="shared" si="26"/>
        <v>1.1353955504177426E-3</v>
      </c>
      <c r="AJ23" s="22">
        <f t="shared" si="31"/>
        <v>8.6910157037965361E-4</v>
      </c>
      <c r="AK23">
        <f>(AA23-AG22)*-1</f>
        <v>2.595770586928641E-3</v>
      </c>
      <c r="AL23" s="25">
        <f>Y23-AE22</f>
        <v>8.6910157037965361E-4</v>
      </c>
      <c r="AM23">
        <f>AK23+AM21</f>
        <v>2.4718768957498475E-2</v>
      </c>
      <c r="AN23">
        <f>AL23+AN21</f>
        <v>3.9085706617454875E-3</v>
      </c>
      <c r="AO23">
        <f>AJ23+AO21</f>
        <v>3.9933490529039887E-3</v>
      </c>
      <c r="AP23" s="19">
        <f>AO23*$D$4*1000/$D$6</f>
        <v>0.311964582634078</v>
      </c>
      <c r="AQ23">
        <f t="shared" si="5"/>
        <v>2888.1049622217688</v>
      </c>
      <c r="AR23" s="6">
        <f>AQ23*$D$7</f>
        <v>15.104788952419852</v>
      </c>
      <c r="AS23" s="6">
        <f t="shared" si="28"/>
        <v>1.4802693173371455E-3</v>
      </c>
      <c r="AT23" s="6">
        <f t="shared" si="13"/>
        <v>2879.7171737798653</v>
      </c>
      <c r="AU23" s="6">
        <f t="shared" si="14"/>
        <v>15.060920818868697</v>
      </c>
      <c r="AV23" s="6">
        <f t="shared" si="15"/>
        <v>1.4759702402491323E-3</v>
      </c>
      <c r="AW23" s="6">
        <f t="shared" si="29"/>
        <v>1.1297983800995085E-3</v>
      </c>
      <c r="AX23" s="6">
        <f t="shared" si="30"/>
        <v>1.5199317081993171E-3</v>
      </c>
      <c r="AY23" s="19">
        <f t="shared" si="16"/>
        <v>0.11873864635897168</v>
      </c>
      <c r="AZ23" s="23">
        <f>AY23+AP23</f>
        <v>0.43070322899304969</v>
      </c>
      <c r="BA23" s="23">
        <f t="shared" si="17"/>
        <v>1.2985995553736449</v>
      </c>
    </row>
    <row r="24" spans="1:60" s="7" customFormat="1" ht="14.4" x14ac:dyDescent="0.3">
      <c r="A24" t="s">
        <v>105</v>
      </c>
      <c r="B24">
        <v>1</v>
      </c>
      <c r="C24" s="2">
        <v>45050</v>
      </c>
      <c r="D24" s="11">
        <v>0.45208333333333334</v>
      </c>
      <c r="E24">
        <v>1017.2</v>
      </c>
      <c r="F24">
        <v>1121.3</v>
      </c>
      <c r="G24">
        <v>1118.0999999999999</v>
      </c>
      <c r="H24">
        <v>0</v>
      </c>
      <c r="I24">
        <v>0.44</v>
      </c>
      <c r="J24">
        <v>20.440000000000001</v>
      </c>
      <c r="K24">
        <v>75.900000000000006</v>
      </c>
      <c r="L24">
        <v>1</v>
      </c>
      <c r="M24"/>
      <c r="N24" t="s">
        <v>99</v>
      </c>
      <c r="O24">
        <v>876.75</v>
      </c>
      <c r="P24" s="8">
        <f t="shared" si="6"/>
        <v>45050.45208333333</v>
      </c>
      <c r="Q24" s="9">
        <f t="shared" si="0"/>
        <v>16.822916666664241</v>
      </c>
      <c r="R24">
        <f t="shared" si="18"/>
        <v>96.78</v>
      </c>
      <c r="S24">
        <f t="shared" si="19"/>
        <v>0</v>
      </c>
      <c r="T24">
        <f t="shared" si="20"/>
        <v>0.45463938830336847</v>
      </c>
      <c r="U24">
        <f t="shared" si="21"/>
        <v>21.120066129365572</v>
      </c>
      <c r="V24">
        <f t="shared" si="22"/>
        <v>78.425294482331068</v>
      </c>
      <c r="W24">
        <f t="shared" si="23"/>
        <v>100.00000000000001</v>
      </c>
      <c r="X24" s="10">
        <f t="shared" si="24"/>
        <v>4.4209863464207549E-2</v>
      </c>
      <c r="Y24" s="10">
        <f t="shared" si="1"/>
        <v>2.0099545282342761E-4</v>
      </c>
      <c r="Z24" s="10">
        <f t="shared" si="7"/>
        <v>0</v>
      </c>
      <c r="AA24" s="10">
        <f t="shared" si="2"/>
        <v>9.3371523993428639E-3</v>
      </c>
      <c r="AB24" s="10">
        <f t="shared" si="3"/>
        <v>3.4671715612041264E-2</v>
      </c>
      <c r="AC24" s="10">
        <f t="shared" si="25"/>
        <v>2.0099545282342761E-4</v>
      </c>
      <c r="AD24" s="10">
        <f t="shared" si="8"/>
        <v>4.4083696012958584E-2</v>
      </c>
      <c r="AE24" s="10">
        <f t="shared" si="9"/>
        <v>2.0042184589483134E-4</v>
      </c>
      <c r="AF24" s="10">
        <f t="shared" si="10"/>
        <v>0</v>
      </c>
      <c r="AG24" s="10">
        <f t="shared" si="11"/>
        <v>9.3105057502053459E-3</v>
      </c>
      <c r="AH24" s="10">
        <f t="shared" si="12"/>
        <v>3.4572768416858406E-2</v>
      </c>
      <c r="AI24" s="10">
        <f t="shared" si="26"/>
        <v>2.0042184589483134E-4</v>
      </c>
      <c r="AJ24" s="26"/>
      <c r="AL24" s="24"/>
      <c r="AP24" s="20"/>
      <c r="AQ24" s="7">
        <f t="shared" si="5"/>
        <v>509.78714610456706</v>
      </c>
      <c r="AR24" s="10">
        <f t="shared" si="27"/>
        <v>2.6661867741268859</v>
      </c>
      <c r="AS24" s="6">
        <f t="shared" si="28"/>
        <v>2.6128630386443481E-4</v>
      </c>
      <c r="AT24" s="6">
        <f t="shared" si="13"/>
        <v>508.33230006199619</v>
      </c>
      <c r="AU24" s="6">
        <f t="shared" si="14"/>
        <v>2.6585779293242404</v>
      </c>
      <c r="AV24" s="6">
        <f t="shared" si="15"/>
        <v>2.6054063707377554E-4</v>
      </c>
      <c r="AW24" s="6">
        <f t="shared" si="29"/>
        <v>-1.2146839363846975E-3</v>
      </c>
      <c r="AX24" s="6">
        <f t="shared" si="30"/>
        <v>3.0524777181461962E-4</v>
      </c>
      <c r="AY24" s="19">
        <f t="shared" si="16"/>
        <v>2.3846273509419567E-2</v>
      </c>
      <c r="AZ24" s="24"/>
      <c r="BA24" s="23">
        <f t="shared" si="17"/>
        <v>0</v>
      </c>
      <c r="BB24"/>
      <c r="BC24"/>
      <c r="BD24"/>
      <c r="BE24"/>
      <c r="BF24"/>
      <c r="BG24"/>
      <c r="BH24"/>
    </row>
    <row r="25" spans="1:60" ht="14.4" x14ac:dyDescent="0.3">
      <c r="A25" t="s">
        <v>105</v>
      </c>
      <c r="B25">
        <v>1</v>
      </c>
      <c r="C25" s="2">
        <v>45054</v>
      </c>
      <c r="D25" s="11">
        <v>0.37291666666666662</v>
      </c>
      <c r="E25">
        <v>1018.7</v>
      </c>
      <c r="F25">
        <v>1071.7</v>
      </c>
      <c r="G25">
        <v>1069.5</v>
      </c>
      <c r="H25">
        <v>0.08</v>
      </c>
      <c r="I25">
        <v>3.16</v>
      </c>
      <c r="J25">
        <v>14.66</v>
      </c>
      <c r="K25">
        <v>81.75</v>
      </c>
      <c r="L25">
        <v>0</v>
      </c>
      <c r="N25" t="s">
        <v>99</v>
      </c>
      <c r="P25" s="3">
        <f t="shared" si="6"/>
        <v>45054.372916666667</v>
      </c>
      <c r="Q25" s="4">
        <f t="shared" si="0"/>
        <v>20.743750000001455</v>
      </c>
      <c r="R25">
        <f t="shared" si="18"/>
        <v>99.65</v>
      </c>
      <c r="S25">
        <f t="shared" si="19"/>
        <v>8.0280983442047163E-2</v>
      </c>
      <c r="T25">
        <f t="shared" si="20"/>
        <v>3.1710988459608629</v>
      </c>
      <c r="U25">
        <f t="shared" si="21"/>
        <v>14.711490215755143</v>
      </c>
      <c r="V25">
        <f t="shared" si="22"/>
        <v>82.037129954841944</v>
      </c>
      <c r="W25">
        <f t="shared" si="23"/>
        <v>100</v>
      </c>
      <c r="X25" s="6">
        <f t="shared" si="24"/>
        <v>4.2254267969848595E-2</v>
      </c>
      <c r="Y25" s="6">
        <f t="shared" si="1"/>
        <v>1.3399246039610792E-3</v>
      </c>
      <c r="Z25" s="6">
        <f t="shared" si="7"/>
        <v>3.3922141872432386E-5</v>
      </c>
      <c r="AA25" s="6">
        <f t="shared" si="2"/>
        <v>6.2162324981232357E-3</v>
      </c>
      <c r="AB25" s="6">
        <f t="shared" si="3"/>
        <v>3.4664188725891852E-2</v>
      </c>
      <c r="AC25" s="6">
        <f t="shared" si="25"/>
        <v>1.3738467458335117E-3</v>
      </c>
      <c r="AD25" s="6">
        <f t="shared" si="8"/>
        <v>4.2167527847114937E-2</v>
      </c>
      <c r="AE25" s="6">
        <f t="shared" si="9"/>
        <v>1.3371739889300874E-3</v>
      </c>
      <c r="AF25" s="6">
        <f t="shared" si="10"/>
        <v>3.3852506048862971E-5</v>
      </c>
      <c r="AG25" s="6">
        <f t="shared" si="11"/>
        <v>6.2034717334541389E-3</v>
      </c>
      <c r="AH25" s="6">
        <f t="shared" si="12"/>
        <v>3.4593029618681846E-2</v>
      </c>
      <c r="AI25" s="6">
        <f t="shared" si="26"/>
        <v>1.3710264949789504E-3</v>
      </c>
      <c r="AJ25" s="22">
        <f t="shared" si="31"/>
        <v>1.1734248999386804E-3</v>
      </c>
      <c r="AK25">
        <f>(AA25-AG24)*-1</f>
        <v>3.0942732520821102E-3</v>
      </c>
      <c r="AL25" s="25">
        <f>Y25-AE24</f>
        <v>1.1395027580662479E-3</v>
      </c>
      <c r="AM25">
        <f>AK25+AM23</f>
        <v>2.7813042209580585E-2</v>
      </c>
      <c r="AN25">
        <f>AL25+AN23</f>
        <v>5.0480734198117359E-3</v>
      </c>
      <c r="AO25">
        <f>AJ25+AO23</f>
        <v>5.1667739528426689E-3</v>
      </c>
      <c r="AP25" s="19">
        <f>AO25*$D$4*1000/$D$6</f>
        <v>0.40363375663117673</v>
      </c>
      <c r="AQ25">
        <f t="shared" si="5"/>
        <v>3398.4666332162569</v>
      </c>
      <c r="AR25" s="6">
        <f t="shared" si="27"/>
        <v>17.773980491721023</v>
      </c>
      <c r="AS25" s="6">
        <f t="shared" si="28"/>
        <v>1.7418500881886602E-3</v>
      </c>
      <c r="AT25" s="6">
        <f t="shared" si="13"/>
        <v>3391.4902157551428</v>
      </c>
      <c r="AU25" s="6">
        <f t="shared" si="14"/>
        <v>17.737493828399398</v>
      </c>
      <c r="AV25" s="6">
        <f t="shared" si="15"/>
        <v>1.7382743951831409E-3</v>
      </c>
      <c r="AW25" s="6">
        <f t="shared" si="29"/>
        <v>1.4813094511148847E-3</v>
      </c>
      <c r="AX25" s="6">
        <f t="shared" si="30"/>
        <v>1.7865572229295043E-3</v>
      </c>
      <c r="AY25" s="19">
        <f t="shared" si="16"/>
        <v>0.13956770896293105</v>
      </c>
      <c r="AZ25" s="23">
        <f>AY25+AP25</f>
        <v>0.54320146559410776</v>
      </c>
      <c r="BA25" s="23">
        <f t="shared" si="17"/>
        <v>1.1806543182462164</v>
      </c>
    </row>
    <row r="26" spans="1:60" s="7" customFormat="1" ht="14.4" x14ac:dyDescent="0.3">
      <c r="A26" t="s">
        <v>105</v>
      </c>
      <c r="B26">
        <v>1</v>
      </c>
      <c r="C26" s="2">
        <v>45054</v>
      </c>
      <c r="D26" s="11">
        <v>0.41250000000000003</v>
      </c>
      <c r="E26">
        <v>1018.7</v>
      </c>
      <c r="F26">
        <v>1123.0999999999999</v>
      </c>
      <c r="G26">
        <v>1120</v>
      </c>
      <c r="H26">
        <v>0</v>
      </c>
      <c r="I26">
        <v>0.45</v>
      </c>
      <c r="J26">
        <v>20.25</v>
      </c>
      <c r="K26">
        <v>75.36</v>
      </c>
      <c r="L26">
        <v>1</v>
      </c>
      <c r="M26"/>
      <c r="N26" t="s">
        <v>99</v>
      </c>
      <c r="O26">
        <v>876.69</v>
      </c>
      <c r="P26" s="8">
        <f t="shared" si="6"/>
        <v>45054.412499999999</v>
      </c>
      <c r="Q26" s="9">
        <f t="shared" si="0"/>
        <v>20.783333333332848</v>
      </c>
      <c r="R26">
        <f t="shared" si="18"/>
        <v>96.06</v>
      </c>
      <c r="S26">
        <f t="shared" si="19"/>
        <v>0</v>
      </c>
      <c r="T26">
        <f t="shared" si="20"/>
        <v>0.46845721424109932</v>
      </c>
      <c r="U26">
        <f t="shared" si="21"/>
        <v>21.08057464084947</v>
      </c>
      <c r="V26">
        <f t="shared" si="22"/>
        <v>78.450968144909424</v>
      </c>
      <c r="W26">
        <f t="shared" si="23"/>
        <v>100</v>
      </c>
      <c r="X26" s="10">
        <f t="shared" si="24"/>
        <v>4.4280832655535091E-2</v>
      </c>
      <c r="Y26" s="10">
        <f t="shared" si="1"/>
        <v>2.074367551008827E-4</v>
      </c>
      <c r="Z26" s="10">
        <f t="shared" si="7"/>
        <v>0</v>
      </c>
      <c r="AA26" s="10">
        <f t="shared" si="2"/>
        <v>9.3346539795397202E-3</v>
      </c>
      <c r="AB26" s="10">
        <f t="shared" si="3"/>
        <v>3.4738741920894482E-2</v>
      </c>
      <c r="AC26" s="10">
        <f t="shared" si="25"/>
        <v>2.074367551008827E-4</v>
      </c>
      <c r="AD26" s="10">
        <f t="shared" si="8"/>
        <v>4.4158607937137662E-2</v>
      </c>
      <c r="AE26" s="10">
        <f t="shared" si="9"/>
        <v>2.0686418458996405E-4</v>
      </c>
      <c r="AF26" s="10">
        <f t="shared" si="10"/>
        <v>0</v>
      </c>
      <c r="AG26" s="10">
        <f t="shared" si="11"/>
        <v>9.3088883065483834E-3</v>
      </c>
      <c r="AH26" s="10">
        <f t="shared" si="12"/>
        <v>3.4642855445999314E-2</v>
      </c>
      <c r="AI26" s="10">
        <f t="shared" si="26"/>
        <v>2.0686418458996405E-4</v>
      </c>
      <c r="AJ26" s="26"/>
      <c r="AL26" s="24"/>
      <c r="AP26" s="20"/>
      <c r="AQ26" s="7">
        <f t="shared" si="5"/>
        <v>526.12429731417853</v>
      </c>
      <c r="AR26" s="10">
        <f>AQ26*$D$7</f>
        <v>2.7516300749531539</v>
      </c>
      <c r="AS26" s="6">
        <f t="shared" si="28"/>
        <v>2.6965974734540908E-4</v>
      </c>
      <c r="AT26" s="6">
        <f t="shared" si="13"/>
        <v>524.67207995003128</v>
      </c>
      <c r="AU26" s="6">
        <f t="shared" si="14"/>
        <v>2.7440349781386639</v>
      </c>
      <c r="AV26" s="6">
        <f t="shared" si="15"/>
        <v>2.6891542785758909E-4</v>
      </c>
      <c r="AW26" s="6">
        <f t="shared" si="29"/>
        <v>-1.4686146478377318E-3</v>
      </c>
      <c r="AX26" s="6">
        <f t="shared" si="30"/>
        <v>3.1794257509177247E-4</v>
      </c>
      <c r="AY26" s="19">
        <f t="shared" si="16"/>
        <v>2.4838004748916082E-2</v>
      </c>
      <c r="AZ26" s="24"/>
      <c r="BA26" s="23">
        <f t="shared" si="17"/>
        <v>0</v>
      </c>
      <c r="BB26"/>
      <c r="BC26"/>
      <c r="BD26"/>
      <c r="BE26"/>
      <c r="BF26"/>
      <c r="BG26"/>
      <c r="BH26"/>
    </row>
    <row r="27" spans="1:60" ht="14.4" x14ac:dyDescent="0.3">
      <c r="A27" t="s">
        <v>105</v>
      </c>
      <c r="B27">
        <v>1</v>
      </c>
      <c r="C27" s="2">
        <v>45056</v>
      </c>
      <c r="D27" s="11">
        <v>0.40208333333333335</v>
      </c>
      <c r="E27">
        <v>1007.6</v>
      </c>
      <c r="F27">
        <v>1089.9000000000001</v>
      </c>
      <c r="G27">
        <v>1086.7</v>
      </c>
      <c r="H27">
        <v>0</v>
      </c>
      <c r="I27">
        <v>2.16</v>
      </c>
      <c r="J27">
        <v>17.77</v>
      </c>
      <c r="K27">
        <v>81.73</v>
      </c>
      <c r="L27">
        <v>0</v>
      </c>
      <c r="N27" t="s">
        <v>99</v>
      </c>
      <c r="P27" s="3">
        <f t="shared" si="6"/>
        <v>45056.402083333334</v>
      </c>
      <c r="Q27" s="4">
        <f t="shared" si="0"/>
        <v>22.772916666668607</v>
      </c>
      <c r="R27">
        <f t="shared" si="18"/>
        <v>101.66</v>
      </c>
      <c r="S27">
        <f t="shared" si="19"/>
        <v>0</v>
      </c>
      <c r="T27">
        <f t="shared" si="20"/>
        <v>2.1247294904583907</v>
      </c>
      <c r="U27">
        <f t="shared" si="21"/>
        <v>17.479834743261854</v>
      </c>
      <c r="V27">
        <f t="shared" si="22"/>
        <v>80.395435766279761</v>
      </c>
      <c r="W27">
        <f t="shared" si="23"/>
        <v>100</v>
      </c>
      <c r="X27" s="6">
        <f t="shared" si="24"/>
        <v>4.2971845348827094E-2</v>
      </c>
      <c r="Y27" s="6">
        <f t="shared" si="1"/>
        <v>9.1303547072070154E-4</v>
      </c>
      <c r="Z27" s="6">
        <f t="shared" si="7"/>
        <v>0</v>
      </c>
      <c r="AA27" s="6">
        <f t="shared" si="2"/>
        <v>7.5114075531050317E-3</v>
      </c>
      <c r="AB27" s="6">
        <f t="shared" si="3"/>
        <v>3.4547402325001364E-2</v>
      </c>
      <c r="AC27" s="6">
        <f t="shared" si="25"/>
        <v>9.1303547072070154E-4</v>
      </c>
      <c r="AD27" s="6">
        <f t="shared" si="8"/>
        <v>4.2845677897578122E-2</v>
      </c>
      <c r="AE27" s="6">
        <f t="shared" si="9"/>
        <v>9.1035475367665499E-4</v>
      </c>
      <c r="AF27" s="6">
        <f t="shared" si="10"/>
        <v>0</v>
      </c>
      <c r="AG27" s="6">
        <f t="shared" si="11"/>
        <v>7.4893536911269255E-3</v>
      </c>
      <c r="AH27" s="6">
        <f t="shared" si="12"/>
        <v>3.444596945277454E-2</v>
      </c>
      <c r="AI27" s="6">
        <f t="shared" si="26"/>
        <v>9.1035475367665499E-4</v>
      </c>
      <c r="AJ27" s="22">
        <f t="shared" si="31"/>
        <v>7.061712861307375E-4</v>
      </c>
      <c r="AK27">
        <f>(AA27-AG26)*-1</f>
        <v>1.7974807534433517E-3</v>
      </c>
      <c r="AL27" s="25">
        <f>Y27-AE26</f>
        <v>7.061712861307375E-4</v>
      </c>
      <c r="AM27">
        <f>AK27+AM25</f>
        <v>2.9610522963023939E-2</v>
      </c>
      <c r="AN27">
        <f>AL27+AN25</f>
        <v>5.7542447059424733E-3</v>
      </c>
      <c r="AO27">
        <f>AJ27+AO25</f>
        <v>5.8729452389734062E-3</v>
      </c>
      <c r="AP27" s="19">
        <f>AO27*$D$4*1000/$D$6</f>
        <v>0.45880059219385849</v>
      </c>
      <c r="AQ27">
        <f t="shared" si="5"/>
        <v>2315.7426716506002</v>
      </c>
      <c r="AR27" s="6">
        <f t="shared" si="27"/>
        <v>12.11133417273264</v>
      </c>
      <c r="AS27" s="6">
        <f t="shared" si="28"/>
        <v>1.1869107489277989E-3</v>
      </c>
      <c r="AT27" s="6">
        <f t="shared" si="13"/>
        <v>2308.9435372811331</v>
      </c>
      <c r="AU27" s="6">
        <f t="shared" si="14"/>
        <v>12.075774699980327</v>
      </c>
      <c r="AV27" s="6">
        <f t="shared" si="15"/>
        <v>1.1834259205980723E-3</v>
      </c>
      <c r="AW27" s="6">
        <f t="shared" si="29"/>
        <v>9.1799532107020982E-4</v>
      </c>
      <c r="AX27" s="6">
        <f t="shared" si="30"/>
        <v>1.2359378961619822E-3</v>
      </c>
      <c r="AY27" s="19">
        <f t="shared" si="16"/>
        <v>9.6552754299658608E-2</v>
      </c>
      <c r="AZ27" s="23">
        <f>AY27+AP27</f>
        <v>0.55535334649351709</v>
      </c>
      <c r="BA27" s="23">
        <f t="shared" si="17"/>
        <v>1.1067095859956695</v>
      </c>
    </row>
    <row r="28" spans="1:60" s="7" customFormat="1" ht="14.4" x14ac:dyDescent="0.3">
      <c r="A28" t="s">
        <v>105</v>
      </c>
      <c r="B28">
        <v>1</v>
      </c>
      <c r="C28" s="2">
        <v>45058</v>
      </c>
      <c r="D28" s="11">
        <v>0.3833333333333333</v>
      </c>
      <c r="E28">
        <v>1014.5</v>
      </c>
      <c r="F28">
        <v>1057.9000000000001</v>
      </c>
      <c r="G28">
        <v>1054.8</v>
      </c>
      <c r="H28">
        <v>0</v>
      </c>
      <c r="I28">
        <v>3.92</v>
      </c>
      <c r="J28">
        <v>13.64</v>
      </c>
      <c r="K28">
        <v>83.18</v>
      </c>
      <c r="L28">
        <v>0</v>
      </c>
      <c r="M28"/>
      <c r="N28" t="s">
        <v>99</v>
      </c>
      <c r="O28"/>
      <c r="P28" s="8">
        <f t="shared" si="6"/>
        <v>45058.383333333331</v>
      </c>
      <c r="Q28" s="9">
        <f t="shared" si="0"/>
        <v>24.754166666665697</v>
      </c>
      <c r="R28">
        <f t="shared" si="18"/>
        <v>100.74000000000001</v>
      </c>
      <c r="S28">
        <f t="shared" si="19"/>
        <v>0</v>
      </c>
      <c r="T28">
        <f t="shared" si="20"/>
        <v>3.8912050823903113</v>
      </c>
      <c r="U28">
        <f t="shared" si="21"/>
        <v>13.53980543974588</v>
      </c>
      <c r="V28">
        <f t="shared" si="22"/>
        <v>82.568989477863795</v>
      </c>
      <c r="W28">
        <f t="shared" si="23"/>
        <v>99.999999999999986</v>
      </c>
      <c r="X28" s="10">
        <f t="shared" si="24"/>
        <v>4.1710170836337448E-2</v>
      </c>
      <c r="Y28" s="10">
        <f t="shared" si="1"/>
        <v>1.6230282874572441E-3</v>
      </c>
      <c r="Z28" s="10">
        <f t="shared" si="7"/>
        <v>0</v>
      </c>
      <c r="AA28" s="10">
        <f t="shared" si="2"/>
        <v>5.6474759798257178E-3</v>
      </c>
      <c r="AB28" s="10">
        <f t="shared" si="3"/>
        <v>3.4439666569054478E-2</v>
      </c>
      <c r="AC28" s="10">
        <f t="shared" si="25"/>
        <v>1.6230282874572441E-3</v>
      </c>
      <c r="AD28" s="10">
        <f t="shared" si="8"/>
        <v>4.1587946117940006E-2</v>
      </c>
      <c r="AE28" s="10">
        <f t="shared" si="9"/>
        <v>1.6182722730030258E-3</v>
      </c>
      <c r="AF28" s="10">
        <f t="shared" si="10"/>
        <v>0</v>
      </c>
      <c r="AG28" s="10">
        <f t="shared" si="11"/>
        <v>5.6309269907554261E-3</v>
      </c>
      <c r="AH28" s="10">
        <f t="shared" si="12"/>
        <v>3.4338746854181548E-2</v>
      </c>
      <c r="AI28" s="10">
        <f t="shared" si="26"/>
        <v>1.6182722730030258E-3</v>
      </c>
      <c r="AJ28" s="22">
        <f t="shared" ref="AJ28" si="36">AC28-AI27</f>
        <v>7.126735337805891E-4</v>
      </c>
      <c r="AK28">
        <f>(AA28-AG27)*-1</f>
        <v>1.8418777113012076E-3</v>
      </c>
      <c r="AL28" s="25">
        <f>Y28-AE27</f>
        <v>7.126735337805891E-4</v>
      </c>
      <c r="AM28">
        <f>AK28+AM27</f>
        <v>3.1452400674325143E-2</v>
      </c>
      <c r="AN28">
        <f>AL28+AN27</f>
        <v>6.466918239723062E-3</v>
      </c>
      <c r="AO28" s="6">
        <f>AJ28+AO27</f>
        <v>6.585618772753995E-3</v>
      </c>
      <c r="AP28" s="19">
        <f>AO28*$D$4*1000/$D$6</f>
        <v>0.51447539010778898</v>
      </c>
      <c r="AQ28" s="7">
        <f t="shared" si="5"/>
        <v>4116.5058566607113</v>
      </c>
      <c r="AR28" s="10">
        <f t="shared" si="27"/>
        <v>21.529325630335521</v>
      </c>
      <c r="AS28" s="6">
        <f t="shared" si="28"/>
        <v>2.1098739117728811E-3</v>
      </c>
      <c r="AT28" s="6">
        <f t="shared" si="13"/>
        <v>4104.4431209053009</v>
      </c>
      <c r="AU28" s="6">
        <f t="shared" si="14"/>
        <v>21.466237522334726</v>
      </c>
      <c r="AV28" s="6">
        <f t="shared" si="15"/>
        <v>2.1036912771888036E-3</v>
      </c>
      <c r="AW28" s="6">
        <f t="shared" si="29"/>
        <v>9.2644799117480884E-4</v>
      </c>
      <c r="AX28" s="6">
        <f t="shared" si="30"/>
        <v>2.162385887336791E-3</v>
      </c>
      <c r="AY28" s="19">
        <f t="shared" si="16"/>
        <v>0.16892783523300522</v>
      </c>
      <c r="AZ28" s="23">
        <f>AY28+AP28</f>
        <v>0.68340322534079423</v>
      </c>
      <c r="BA28" s="23">
        <f t="shared" si="17"/>
        <v>1.1236980805015826</v>
      </c>
      <c r="BB28"/>
      <c r="BC28"/>
      <c r="BD28"/>
      <c r="BE28"/>
      <c r="BF28"/>
      <c r="BG28"/>
      <c r="BH28"/>
    </row>
    <row r="29" spans="1:60" ht="15" customHeight="1" x14ac:dyDescent="0.3">
      <c r="A29" t="s">
        <v>105</v>
      </c>
      <c r="B29">
        <v>1</v>
      </c>
      <c r="C29" s="2">
        <v>45058</v>
      </c>
      <c r="D29" s="11">
        <v>0.42499999999999999</v>
      </c>
      <c r="E29">
        <v>1014.9</v>
      </c>
      <c r="F29">
        <v>1118.8</v>
      </c>
      <c r="G29">
        <v>1115.5</v>
      </c>
      <c r="H29">
        <v>0</v>
      </c>
      <c r="I29">
        <v>0.41</v>
      </c>
      <c r="J29">
        <v>20.29</v>
      </c>
      <c r="K29">
        <v>75.3</v>
      </c>
      <c r="L29">
        <v>1</v>
      </c>
      <c r="N29" t="s">
        <v>99</v>
      </c>
      <c r="O29">
        <v>876.64</v>
      </c>
      <c r="P29" s="3">
        <f t="shared" si="6"/>
        <v>45058.425000000003</v>
      </c>
      <c r="Q29" s="4">
        <f t="shared" si="0"/>
        <v>24.795833333337214</v>
      </c>
      <c r="R29">
        <f t="shared" si="18"/>
        <v>96</v>
      </c>
      <c r="S29">
        <f t="shared" si="19"/>
        <v>0</v>
      </c>
      <c r="T29">
        <f t="shared" si="20"/>
        <v>0.42708333333333331</v>
      </c>
      <c r="U29">
        <f t="shared" si="21"/>
        <v>21.135416666666668</v>
      </c>
      <c r="V29">
        <f t="shared" si="22"/>
        <v>78.4375</v>
      </c>
      <c r="W29">
        <f t="shared" si="23"/>
        <v>100</v>
      </c>
      <c r="X29" s="6">
        <f t="shared" si="24"/>
        <v>4.4111295142919296E-2</v>
      </c>
      <c r="Y29" s="6">
        <f t="shared" si="1"/>
        <v>1.8839198967288449E-4</v>
      </c>
      <c r="Z29" s="6">
        <f t="shared" si="7"/>
        <v>0</v>
      </c>
      <c r="AA29" s="6">
        <f t="shared" si="2"/>
        <v>9.3231060255190897E-3</v>
      </c>
      <c r="AB29" s="6">
        <f t="shared" si="3"/>
        <v>3.4599797127727323E-2</v>
      </c>
      <c r="AC29" s="6">
        <f>Y29+Z29</f>
        <v>1.8839198967288449E-4</v>
      </c>
      <c r="AD29" s="6">
        <f t="shared" si="8"/>
        <v>4.3981184958818809E-2</v>
      </c>
      <c r="AE29" s="6">
        <f t="shared" si="9"/>
        <v>1.8783631076162201E-4</v>
      </c>
      <c r="AF29" s="6">
        <f t="shared" si="10"/>
        <v>0</v>
      </c>
      <c r="AG29" s="6">
        <f t="shared" si="11"/>
        <v>9.2956066959836835E-3</v>
      </c>
      <c r="AH29" s="6">
        <f t="shared" si="12"/>
        <v>3.4497741952073502E-2</v>
      </c>
      <c r="AI29" s="6">
        <f>AE29+AF29</f>
        <v>1.8783631076162201E-4</v>
      </c>
      <c r="AJ29" s="22"/>
      <c r="AL29" s="25"/>
      <c r="AP29" s="19"/>
      <c r="AQ29">
        <f t="shared" si="5"/>
        <v>477.82083333333327</v>
      </c>
      <c r="AR29" s="6">
        <f t="shared" si="27"/>
        <v>2.4990029583333331</v>
      </c>
      <c r="AS29" s="6">
        <f t="shared" si="28"/>
        <v>2.4490228991666665E-4</v>
      </c>
      <c r="AT29" s="6">
        <f t="shared" si="13"/>
        <v>476.41145833333326</v>
      </c>
      <c r="AU29" s="6">
        <f t="shared" si="14"/>
        <v>2.4916319270833331</v>
      </c>
      <c r="AV29" s="6">
        <f t="shared" si="15"/>
        <v>2.4417992885416662E-4</v>
      </c>
      <c r="AW29" s="6">
        <f t="shared" si="29"/>
        <v>-1.858788987272137E-3</v>
      </c>
      <c r="AX29" s="6">
        <f t="shared" si="30"/>
        <v>3.0359690006465405E-4</v>
      </c>
      <c r="AY29" s="19">
        <f t="shared" si="16"/>
        <v>2.3717305690769734E-2</v>
      </c>
      <c r="AZ29" s="23"/>
      <c r="BA29" s="23">
        <f t="shared" si="17"/>
        <v>0</v>
      </c>
    </row>
    <row r="30" spans="1:60" ht="15" customHeight="1" x14ac:dyDescent="0.3">
      <c r="A30" t="s">
        <v>105</v>
      </c>
      <c r="B30">
        <v>1</v>
      </c>
      <c r="C30" s="2">
        <v>45061</v>
      </c>
      <c r="D30" s="11">
        <v>0.41250000000000003</v>
      </c>
      <c r="E30">
        <v>1012.7</v>
      </c>
      <c r="F30">
        <v>1069.8</v>
      </c>
      <c r="G30">
        <v>1066.8</v>
      </c>
      <c r="H30">
        <v>0</v>
      </c>
      <c r="I30">
        <v>3.65</v>
      </c>
      <c r="J30">
        <v>15.1</v>
      </c>
      <c r="K30">
        <v>85.16</v>
      </c>
      <c r="L30">
        <v>0</v>
      </c>
      <c r="N30" t="s">
        <v>99</v>
      </c>
      <c r="P30" s="8">
        <f t="shared" si="6"/>
        <v>45061.412499999999</v>
      </c>
      <c r="Q30" s="9">
        <f t="shared" si="0"/>
        <v>27.783333333332848</v>
      </c>
      <c r="R30">
        <f t="shared" si="18"/>
        <v>103.91</v>
      </c>
      <c r="S30">
        <f t="shared" si="19"/>
        <v>0</v>
      </c>
      <c r="T30">
        <f t="shared" si="20"/>
        <v>3.5126551823693584</v>
      </c>
      <c r="U30">
        <f t="shared" si="21"/>
        <v>14.531806370897893</v>
      </c>
      <c r="V30">
        <f t="shared" si="22"/>
        <v>81.955538446732746</v>
      </c>
      <c r="W30">
        <f t="shared" si="23"/>
        <v>100</v>
      </c>
      <c r="X30" s="6">
        <f t="shared" si="24"/>
        <v>4.2179356045669525E-2</v>
      </c>
      <c r="Y30" s="6">
        <f t="shared" si="1"/>
        <v>1.4816153360282338E-3</v>
      </c>
      <c r="Z30" s="6">
        <f t="shared" si="7"/>
        <v>0</v>
      </c>
      <c r="AA30" s="6">
        <f t="shared" si="2"/>
        <v>6.12942234904831E-3</v>
      </c>
      <c r="AB30" s="6">
        <f t="shared" si="3"/>
        <v>3.456831836059298E-2</v>
      </c>
      <c r="AC30" s="6">
        <f t="shared" ref="AC30:AC35" si="37">Y30+Z30</f>
        <v>1.4816153360282338E-3</v>
      </c>
      <c r="AD30" s="6">
        <f t="shared" si="8"/>
        <v>4.2061074060123618E-2</v>
      </c>
      <c r="AE30" s="6">
        <f t="shared" si="9"/>
        <v>1.4774604977331462E-3</v>
      </c>
      <c r="AF30" s="6">
        <f t="shared" si="10"/>
        <v>0</v>
      </c>
      <c r="AG30" s="6">
        <f t="shared" si="11"/>
        <v>6.1122338399371258E-3</v>
      </c>
      <c r="AH30" s="6">
        <f t="shared" si="12"/>
        <v>3.4471379722453344E-2</v>
      </c>
      <c r="AI30" s="6">
        <f t="shared" ref="AI30:AI35" si="38">AE30+AF30</f>
        <v>1.4774604977331462E-3</v>
      </c>
      <c r="AJ30" s="22">
        <f t="shared" ref="AJ30" si="39">AC30-AI29</f>
        <v>1.2937790252666118E-3</v>
      </c>
      <c r="AK30">
        <f>(AA30-AG29)*-1</f>
        <v>3.1661843469353735E-3</v>
      </c>
      <c r="AL30" s="25">
        <f>Y30-AE29</f>
        <v>1.2937790252666118E-3</v>
      </c>
      <c r="AM30">
        <f>AK30+AM28</f>
        <v>3.4618585021260515E-2</v>
      </c>
      <c r="AN30">
        <f>AL30+AN28</f>
        <v>7.7606972649896739E-3</v>
      </c>
      <c r="AO30">
        <f>AJ30+AO28</f>
        <v>7.8793977980206077E-3</v>
      </c>
      <c r="AP30" s="19">
        <f>AO30*$D$4*1000/$D$6</f>
        <v>0.61554675359015543</v>
      </c>
      <c r="AQ30">
        <f t="shared" ref="AQ30:AQ35" si="40">F30*100*T30/100</f>
        <v>3757.8385140987398</v>
      </c>
      <c r="AR30" s="6">
        <f t="shared" si="27"/>
        <v>19.653495428736409</v>
      </c>
      <c r="AS30" s="6">
        <f t="shared" si="28"/>
        <v>1.9260425520161682E-3</v>
      </c>
      <c r="AT30" s="6">
        <f t="shared" si="13"/>
        <v>3747.3005485516314</v>
      </c>
      <c r="AU30" s="6">
        <f t="shared" si="14"/>
        <v>19.598381868925035</v>
      </c>
      <c r="AV30" s="6">
        <f t="shared" si="15"/>
        <v>1.9206414231546535E-3</v>
      </c>
      <c r="AW30" s="6">
        <f t="shared" si="29"/>
        <v>1.6818626231620017E-3</v>
      </c>
      <c r="AX30" s="6">
        <f t="shared" si="30"/>
        <v>1.9854595232266558E-3</v>
      </c>
      <c r="AY30" s="19">
        <f t="shared" si="16"/>
        <v>0.15510616359715229</v>
      </c>
      <c r="AZ30" s="23">
        <f>AY30+AP30</f>
        <v>0.77065291718730777</v>
      </c>
      <c r="BA30" s="23">
        <f t="shared" si="17"/>
        <v>1.0640341549888517</v>
      </c>
    </row>
    <row r="31" spans="1:60" ht="15" customHeight="1" x14ac:dyDescent="0.3">
      <c r="A31" t="s">
        <v>105</v>
      </c>
      <c r="B31">
        <v>1</v>
      </c>
      <c r="C31" s="2">
        <v>45061</v>
      </c>
      <c r="D31" s="11">
        <v>0.44930555555555557</v>
      </c>
      <c r="E31">
        <v>1012.8</v>
      </c>
      <c r="F31">
        <v>1115.2</v>
      </c>
      <c r="G31">
        <v>1111.8</v>
      </c>
      <c r="H31">
        <v>0</v>
      </c>
      <c r="I31">
        <v>0.44</v>
      </c>
      <c r="J31">
        <v>20.38</v>
      </c>
      <c r="K31">
        <v>75.84</v>
      </c>
      <c r="L31">
        <v>1</v>
      </c>
      <c r="N31" t="s">
        <v>99</v>
      </c>
      <c r="O31">
        <v>876.56</v>
      </c>
      <c r="P31" s="3">
        <f t="shared" si="6"/>
        <v>45061.449305555558</v>
      </c>
      <c r="Q31" s="4">
        <f t="shared" si="0"/>
        <v>27.820138888891961</v>
      </c>
      <c r="R31">
        <f t="shared" si="18"/>
        <v>96.66</v>
      </c>
      <c r="S31">
        <f t="shared" si="19"/>
        <v>0</v>
      </c>
      <c r="T31">
        <f t="shared" si="20"/>
        <v>0.45520380715911446</v>
      </c>
      <c r="U31">
        <f t="shared" si="21"/>
        <v>21.084212704324436</v>
      </c>
      <c r="V31">
        <f t="shared" si="22"/>
        <v>78.460583488516448</v>
      </c>
      <c r="W31">
        <f t="shared" si="23"/>
        <v>100</v>
      </c>
      <c r="X31" s="10">
        <f t="shared" si="24"/>
        <v>4.3969356760264214E-2</v>
      </c>
      <c r="Y31" s="10">
        <f t="shared" si="1"/>
        <v>2.0015018595609616E-4</v>
      </c>
      <c r="Z31" s="10">
        <f t="shared" si="7"/>
        <v>0</v>
      </c>
      <c r="AA31" s="10">
        <f t="shared" si="2"/>
        <v>9.2705927040573621E-3</v>
      </c>
      <c r="AB31" s="10">
        <f t="shared" si="3"/>
        <v>3.4498613870250751E-2</v>
      </c>
      <c r="AC31" s="10">
        <f t="shared" si="37"/>
        <v>2.0015018595609616E-4</v>
      </c>
      <c r="AD31" s="10">
        <f t="shared" si="8"/>
        <v>4.383530384331219E-2</v>
      </c>
      <c r="AE31" s="10">
        <f t="shared" si="9"/>
        <v>1.9953997197452272E-4</v>
      </c>
      <c r="AF31" s="10">
        <f t="shared" si="10"/>
        <v>0</v>
      </c>
      <c r="AG31" s="10">
        <f t="shared" si="11"/>
        <v>9.2423287019108465E-3</v>
      </c>
      <c r="AH31" s="10">
        <f t="shared" si="12"/>
        <v>3.439343516942682E-2</v>
      </c>
      <c r="AI31" s="10">
        <f t="shared" si="38"/>
        <v>1.9953997197452272E-4</v>
      </c>
      <c r="AJ31" s="22"/>
      <c r="AL31" s="25"/>
      <c r="AP31" s="19"/>
      <c r="AQ31" s="7">
        <f t="shared" si="40"/>
        <v>507.64328574384444</v>
      </c>
      <c r="AR31" s="10">
        <f t="shared" si="27"/>
        <v>2.6549743844403064</v>
      </c>
      <c r="AS31" s="6">
        <f t="shared" si="28"/>
        <v>2.6018748967515003E-4</v>
      </c>
      <c r="AT31" s="6">
        <f t="shared" si="13"/>
        <v>506.09559279950344</v>
      </c>
      <c r="AU31" s="6">
        <f t="shared" si="14"/>
        <v>2.6468799503414031</v>
      </c>
      <c r="AV31" s="6">
        <f t="shared" si="15"/>
        <v>2.5939423513345749E-4</v>
      </c>
      <c r="AW31" s="6">
        <f t="shared" si="29"/>
        <v>-1.6604539334795034E-3</v>
      </c>
      <c r="AX31" s="6">
        <f t="shared" si="30"/>
        <v>3.2500558974715233E-4</v>
      </c>
      <c r="AY31" s="19">
        <f t="shared" si="16"/>
        <v>2.5389774802050208E-2</v>
      </c>
      <c r="AZ31" s="23"/>
      <c r="BA31" s="23">
        <f t="shared" si="17"/>
        <v>0</v>
      </c>
    </row>
    <row r="32" spans="1:60" ht="15" customHeight="1" x14ac:dyDescent="0.3">
      <c r="A32" t="s">
        <v>105</v>
      </c>
      <c r="B32">
        <v>1</v>
      </c>
      <c r="C32" s="2">
        <v>45063</v>
      </c>
      <c r="D32" s="11">
        <v>0.37222222222222223</v>
      </c>
      <c r="E32">
        <v>1025</v>
      </c>
      <c r="F32">
        <v>1082.3</v>
      </c>
      <c r="G32">
        <v>1080.7</v>
      </c>
      <c r="H32">
        <v>0</v>
      </c>
      <c r="I32">
        <v>2.68</v>
      </c>
      <c r="J32">
        <v>17.47</v>
      </c>
      <c r="K32">
        <v>83.75</v>
      </c>
      <c r="L32">
        <v>0</v>
      </c>
      <c r="N32" t="s">
        <v>99</v>
      </c>
      <c r="P32" s="8">
        <f t="shared" si="6"/>
        <v>45063.37222222222</v>
      </c>
      <c r="Q32" s="9">
        <f t="shared" si="0"/>
        <v>29.743055555554747</v>
      </c>
      <c r="R32">
        <f t="shared" ref="R32:R35" si="41">SUM(H32:K32)</f>
        <v>103.9</v>
      </c>
      <c r="S32">
        <f t="shared" si="19"/>
        <v>0</v>
      </c>
      <c r="T32">
        <f t="shared" si="20"/>
        <v>2.5794032723772857</v>
      </c>
      <c r="U32">
        <f t="shared" si="21"/>
        <v>16.81424446583253</v>
      </c>
      <c r="V32">
        <f t="shared" si="22"/>
        <v>80.606352261790178</v>
      </c>
      <c r="W32">
        <f t="shared" si="23"/>
        <v>100</v>
      </c>
      <c r="X32" s="6">
        <f t="shared" si="24"/>
        <v>4.2672197652110798E-2</v>
      </c>
      <c r="Y32" s="6">
        <f t="shared" si="1"/>
        <v>1.1006880626338491E-3</v>
      </c>
      <c r="Z32" s="6">
        <f t="shared" si="7"/>
        <v>0</v>
      </c>
      <c r="AA32" s="6">
        <f t="shared" si="2"/>
        <v>7.1750076321691588E-3</v>
      </c>
      <c r="AB32" s="6">
        <f t="shared" si="3"/>
        <v>3.4396501957307785E-2</v>
      </c>
      <c r="AC32" s="6">
        <f t="shared" si="37"/>
        <v>1.1006880626338491E-3</v>
      </c>
      <c r="AD32" s="6">
        <f t="shared" si="8"/>
        <v>4.2609113926486308E-2</v>
      </c>
      <c r="AE32" s="6">
        <f t="shared" si="9"/>
        <v>1.0990608789507536E-3</v>
      </c>
      <c r="AF32" s="6">
        <f t="shared" si="10"/>
        <v>0</v>
      </c>
      <c r="AG32" s="6">
        <f t="shared" si="11"/>
        <v>7.1644005803245025E-3</v>
      </c>
      <c r="AH32" s="6">
        <f t="shared" si="12"/>
        <v>3.4345652467211052E-2</v>
      </c>
      <c r="AI32" s="6">
        <f t="shared" si="38"/>
        <v>1.0990608789507536E-3</v>
      </c>
      <c r="AJ32" s="22">
        <f t="shared" ref="AJ32:AJ34" si="42">AC32-AI31</f>
        <v>9.0114809065932645E-4</v>
      </c>
      <c r="AK32">
        <f>(AA32-AG31)*-1</f>
        <v>2.0673210697416877E-3</v>
      </c>
      <c r="AL32" s="25">
        <f>Y32-AE31</f>
        <v>9.0114809065932645E-4</v>
      </c>
      <c r="AM32">
        <f>AK32+AM30</f>
        <v>3.6685906091002203E-2</v>
      </c>
      <c r="AN32">
        <f>AL32+AN30</f>
        <v>8.6618453556490012E-3</v>
      </c>
      <c r="AO32">
        <f>AJ32+AO30</f>
        <v>8.7805458886799342E-3</v>
      </c>
      <c r="AP32" s="19">
        <f>AO32*$D$4*1000/$D$6</f>
        <v>0.68594537997359073</v>
      </c>
      <c r="AQ32">
        <f t="shared" si="40"/>
        <v>2791.6881616939368</v>
      </c>
      <c r="AR32" s="6">
        <f t="shared" si="27"/>
        <v>14.600529085659289</v>
      </c>
      <c r="AS32" s="6">
        <f t="shared" si="28"/>
        <v>1.4308518503946103E-3</v>
      </c>
      <c r="AT32" s="6">
        <f t="shared" si="13"/>
        <v>2787.5611164581328</v>
      </c>
      <c r="AU32" s="6">
        <f t="shared" si="14"/>
        <v>14.578944639076035</v>
      </c>
      <c r="AV32" s="6">
        <f t="shared" si="15"/>
        <v>1.4287365746294513E-3</v>
      </c>
      <c r="AW32" s="6">
        <f t="shared" si="29"/>
        <v>1.1714576152611529E-3</v>
      </c>
      <c r="AX32" s="6">
        <f t="shared" si="30"/>
        <v>1.4964632050083052E-3</v>
      </c>
      <c r="AY32" s="19">
        <f t="shared" si="16"/>
        <v>0.11690526247340664</v>
      </c>
      <c r="AZ32" s="23">
        <f>AY32+AP32</f>
        <v>0.80285064244699733</v>
      </c>
      <c r="BA32" s="23">
        <f t="shared" si="17"/>
        <v>0.99745024528124393</v>
      </c>
    </row>
    <row r="33" spans="1:53" ht="15" customHeight="1" x14ac:dyDescent="0.3">
      <c r="A33" t="s">
        <v>105</v>
      </c>
      <c r="B33">
        <v>1</v>
      </c>
      <c r="C33" s="2">
        <v>45063</v>
      </c>
      <c r="D33" s="11">
        <v>0.41805555555555557</v>
      </c>
      <c r="E33">
        <v>1025.7</v>
      </c>
      <c r="F33">
        <v>1131.5999999999999</v>
      </c>
      <c r="G33">
        <v>1127.5</v>
      </c>
      <c r="H33">
        <v>0</v>
      </c>
      <c r="I33">
        <v>0.32</v>
      </c>
      <c r="J33">
        <v>20.61</v>
      </c>
      <c r="K33">
        <v>76.47</v>
      </c>
      <c r="L33">
        <v>1</v>
      </c>
      <c r="N33" t="s">
        <v>99</v>
      </c>
      <c r="O33">
        <v>876.44</v>
      </c>
      <c r="P33" s="3">
        <f t="shared" si="6"/>
        <v>45063.418055555558</v>
      </c>
      <c r="Q33" s="4">
        <f t="shared" si="0"/>
        <v>29.788888888891961</v>
      </c>
      <c r="R33">
        <f t="shared" si="41"/>
        <v>97.4</v>
      </c>
      <c r="S33">
        <f t="shared" si="19"/>
        <v>0</v>
      </c>
      <c r="T33">
        <f t="shared" si="20"/>
        <v>0.32854209445585214</v>
      </c>
      <c r="U33">
        <f t="shared" si="21"/>
        <v>21.160164271047226</v>
      </c>
      <c r="V33">
        <f t="shared" si="22"/>
        <v>78.511293634496909</v>
      </c>
      <c r="W33">
        <f t="shared" si="23"/>
        <v>99.999999999999986</v>
      </c>
      <c r="X33" s="10">
        <f t="shared" si="24"/>
        <v>4.461596494791515E-2</v>
      </c>
      <c r="Y33" s="10">
        <f t="shared" si="1"/>
        <v>1.4658222570156928E-4</v>
      </c>
      <c r="Z33" s="10">
        <f t="shared" si="7"/>
        <v>0</v>
      </c>
      <c r="AA33" s="10">
        <f t="shared" si="2"/>
        <v>9.4408114740916968E-3</v>
      </c>
      <c r="AB33" s="10">
        <f t="shared" si="3"/>
        <v>3.5028571248121879E-2</v>
      </c>
      <c r="AC33" s="10">
        <f t="shared" si="37"/>
        <v>1.4658222570156928E-4</v>
      </c>
      <c r="AD33" s="10">
        <f t="shared" si="8"/>
        <v>4.4454312901002421E-2</v>
      </c>
      <c r="AE33" s="10">
        <f t="shared" si="9"/>
        <v>1.4605113068091142E-4</v>
      </c>
      <c r="AF33" s="10">
        <f t="shared" si="10"/>
        <v>0</v>
      </c>
      <c r="AG33" s="10">
        <f t="shared" si="11"/>
        <v>9.4066056354174515E-3</v>
      </c>
      <c r="AH33" s="10">
        <f t="shared" si="12"/>
        <v>3.4901656134904056E-2</v>
      </c>
      <c r="AI33" s="10">
        <f t="shared" si="38"/>
        <v>1.4605113068091142E-4</v>
      </c>
      <c r="AJ33" s="22"/>
      <c r="AL33" s="25"/>
      <c r="AP33" s="19"/>
      <c r="AQ33" s="7">
        <f t="shared" si="40"/>
        <v>371.77823408624221</v>
      </c>
      <c r="AR33" s="10">
        <f t="shared" si="27"/>
        <v>1.9444001642710469</v>
      </c>
      <c r="AS33" s="6">
        <f t="shared" si="28"/>
        <v>1.9055121609856259E-4</v>
      </c>
      <c r="AT33" s="6">
        <f t="shared" si="13"/>
        <v>370.43121149897325</v>
      </c>
      <c r="AU33" s="6">
        <f t="shared" si="14"/>
        <v>1.9373552361396302</v>
      </c>
      <c r="AV33" s="6">
        <f t="shared" si="15"/>
        <v>1.8986081314168376E-4</v>
      </c>
      <c r="AW33" s="6">
        <f t="shared" si="29"/>
        <v>-1.2381853585308887E-3</v>
      </c>
      <c r="AX33" s="6">
        <f t="shared" si="30"/>
        <v>2.5827784647741649E-4</v>
      </c>
      <c r="AY33" s="19">
        <f t="shared" si="16"/>
        <v>2.0176934075262498E-2</v>
      </c>
      <c r="AZ33" s="23"/>
      <c r="BA33" s="23">
        <f t="shared" ref="BA33:BA35" si="43">AK33/(AL33+AW33)</f>
        <v>0</v>
      </c>
    </row>
    <row r="34" spans="1:53" ht="15" customHeight="1" x14ac:dyDescent="0.3">
      <c r="A34" t="s">
        <v>105</v>
      </c>
      <c r="B34">
        <v>1</v>
      </c>
      <c r="C34" s="2">
        <v>45068</v>
      </c>
      <c r="D34" s="11">
        <v>0.59444444444444444</v>
      </c>
      <c r="E34">
        <v>1013.2</v>
      </c>
      <c r="F34">
        <v>1060.5</v>
      </c>
      <c r="G34">
        <v>1058.2</v>
      </c>
      <c r="H34">
        <v>0.33</v>
      </c>
      <c r="I34">
        <v>5.71</v>
      </c>
      <c r="J34">
        <v>11.67</v>
      </c>
      <c r="K34">
        <v>88.7</v>
      </c>
      <c r="L34">
        <v>0</v>
      </c>
      <c r="N34" t="s">
        <v>99</v>
      </c>
      <c r="P34" s="8">
        <f t="shared" si="6"/>
        <v>45068.594444444447</v>
      </c>
      <c r="Q34" s="9">
        <f t="shared" si="0"/>
        <v>34.965277777781012</v>
      </c>
      <c r="R34">
        <f t="shared" si="41"/>
        <v>106.41</v>
      </c>
      <c r="S34">
        <f t="shared" si="19"/>
        <v>0.31012122920778123</v>
      </c>
      <c r="T34">
        <f t="shared" si="20"/>
        <v>5.3660370265952446</v>
      </c>
      <c r="U34">
        <f t="shared" si="21"/>
        <v>10.967014378347899</v>
      </c>
      <c r="V34">
        <f t="shared" si="22"/>
        <v>83.356827365849071</v>
      </c>
      <c r="W34">
        <f t="shared" si="23"/>
        <v>100</v>
      </c>
      <c r="X34" s="6">
        <f t="shared" si="24"/>
        <v>4.1812681890477224E-2</v>
      </c>
      <c r="Y34" s="6">
        <f t="shared" si="1"/>
        <v>2.2436839920554922E-3</v>
      </c>
      <c r="Z34" s="6">
        <f t="shared" si="7"/>
        <v>1.2967000304348731E-4</v>
      </c>
      <c r="AA34" s="6">
        <f t="shared" si="2"/>
        <v>4.5856028349015058E-3</v>
      </c>
      <c r="AB34" s="6">
        <f t="shared" si="3"/>
        <v>3.4853725060476737E-2</v>
      </c>
      <c r="AC34" s="6">
        <f t="shared" si="37"/>
        <v>2.3733539950989797E-3</v>
      </c>
      <c r="AD34" s="6">
        <f t="shared" si="8"/>
        <v>4.1721999034892022E-2</v>
      </c>
      <c r="AE34" s="6">
        <f t="shared" si="9"/>
        <v>2.2388179164480166E-3</v>
      </c>
      <c r="AF34" s="6">
        <f t="shared" si="10"/>
        <v>1.2938877625706576E-4</v>
      </c>
      <c r="AG34" s="6">
        <f t="shared" si="11"/>
        <v>4.5756576330907798E-3</v>
      </c>
      <c r="AH34" s="6">
        <f t="shared" si="12"/>
        <v>3.4778134709096159E-2</v>
      </c>
      <c r="AI34" s="6">
        <f t="shared" si="38"/>
        <v>2.3682066927050824E-3</v>
      </c>
      <c r="AJ34" s="22">
        <f t="shared" si="42"/>
        <v>2.2273028644180684E-3</v>
      </c>
      <c r="AK34">
        <f>(AA34-AG33)*-1</f>
        <v>4.8210028005159456E-3</v>
      </c>
      <c r="AL34" s="25">
        <f>Y34-AE33</f>
        <v>2.0976328613745809E-3</v>
      </c>
      <c r="AM34">
        <f>AK34+AM32</f>
        <v>4.1506908891518146E-2</v>
      </c>
      <c r="AN34">
        <f>AL34+AN32</f>
        <v>1.0759478217023583E-2</v>
      </c>
      <c r="AO34">
        <f>AJ34+AO32</f>
        <v>1.1007848753098003E-2</v>
      </c>
      <c r="AP34" s="19">
        <f>AO34*$D$4*1000/$D$6</f>
        <v>0.85994459699484704</v>
      </c>
      <c r="AQ34">
        <f t="shared" si="40"/>
        <v>5690.682266704257</v>
      </c>
      <c r="AR34" s="10">
        <f t="shared" ref="AR34:AR35" si="44">AQ34*$D$7</f>
        <v>29.762268254863265</v>
      </c>
      <c r="AS34" s="6">
        <f t="shared" ref="AS34:AS35" si="45">AR34*$D$5/1000</f>
        <v>2.9167022889766002E-3</v>
      </c>
      <c r="AT34" s="6">
        <f t="shared" ref="AT34:AT35" si="46">G34*100*T34/100</f>
        <v>5678.3403815430884</v>
      </c>
      <c r="AU34" s="6">
        <f t="shared" ref="AU34:AU35" si="47">AT34*$D$7</f>
        <v>29.697720195470353</v>
      </c>
      <c r="AV34" s="6">
        <f t="shared" ref="AV34:AV35" si="48">AU34*$D$5/1000</f>
        <v>2.9103765791560947E-3</v>
      </c>
      <c r="AW34" s="6">
        <f t="shared" ref="AW34:AW35" si="49">AS34-AV33</f>
        <v>2.7268414758349164E-3</v>
      </c>
      <c r="AX34" s="6">
        <f t="shared" si="30"/>
        <v>2.9851193223123327E-3</v>
      </c>
      <c r="AY34" s="19">
        <f t="shared" si="16"/>
        <v>0.23320062713297668</v>
      </c>
      <c r="AZ34" s="23">
        <f>AY34+AP34</f>
        <v>1.0931452241278237</v>
      </c>
      <c r="BA34" s="23">
        <f>AK34/(AL34+AW34)</f>
        <v>0.9992804321360409</v>
      </c>
    </row>
    <row r="35" spans="1:53" ht="15" customHeight="1" x14ac:dyDescent="0.3">
      <c r="A35" t="s">
        <v>105</v>
      </c>
      <c r="B35">
        <v>1</v>
      </c>
      <c r="C35" s="2">
        <v>45068</v>
      </c>
      <c r="D35" s="11">
        <v>0.6333333333333333</v>
      </c>
      <c r="E35">
        <v>1013.6</v>
      </c>
      <c r="F35">
        <v>1117</v>
      </c>
      <c r="G35">
        <v>1114.4000000000001</v>
      </c>
      <c r="H35">
        <v>0</v>
      </c>
      <c r="I35">
        <v>0.64</v>
      </c>
      <c r="J35">
        <v>20.309999999999999</v>
      </c>
      <c r="K35">
        <v>75.55</v>
      </c>
      <c r="L35">
        <v>1</v>
      </c>
      <c r="N35" t="s">
        <v>99</v>
      </c>
      <c r="O35">
        <v>876.39</v>
      </c>
      <c r="P35" s="8">
        <f t="shared" si="6"/>
        <v>45068.633333333331</v>
      </c>
      <c r="Q35" s="9">
        <f t="shared" si="0"/>
        <v>35.004166666665697</v>
      </c>
      <c r="R35">
        <f t="shared" si="41"/>
        <v>96.5</v>
      </c>
      <c r="S35">
        <f t="shared" si="19"/>
        <v>0</v>
      </c>
      <c r="T35">
        <f t="shared" si="20"/>
        <v>0.66321243523316065</v>
      </c>
      <c r="U35">
        <f t="shared" si="21"/>
        <v>21.046632124352328</v>
      </c>
      <c r="V35">
        <f t="shared" si="22"/>
        <v>78.290155440414509</v>
      </c>
      <c r="W35">
        <f t="shared" si="23"/>
        <v>100</v>
      </c>
      <c r="X35" s="6">
        <f t="shared" si="24"/>
        <v>4.4040325951591755E-2</v>
      </c>
      <c r="Y35" s="6">
        <f t="shared" si="1"/>
        <v>2.920809182281733E-4</v>
      </c>
      <c r="Z35" s="6">
        <f t="shared" si="7"/>
        <v>0</v>
      </c>
      <c r="AA35" s="6">
        <f t="shared" si="2"/>
        <v>9.2690053893971849E-3</v>
      </c>
      <c r="AB35" s="6">
        <f t="shared" si="3"/>
        <v>3.4479239643966396E-2</v>
      </c>
      <c r="AC35" s="6">
        <f t="shared" si="37"/>
        <v>2.920809182281733E-4</v>
      </c>
      <c r="AD35" s="6">
        <f t="shared" si="8"/>
        <v>4.3937814897451979E-2</v>
      </c>
      <c r="AE35" s="6">
        <f t="shared" si="9"/>
        <v>2.9140105216962972E-4</v>
      </c>
      <c r="AF35" s="6">
        <f t="shared" si="10"/>
        <v>0</v>
      </c>
      <c r="AG35" s="6">
        <f t="shared" si="11"/>
        <v>9.2474302649455907E-3</v>
      </c>
      <c r="AH35" s="6">
        <f t="shared" si="12"/>
        <v>3.4398983580336759E-2</v>
      </c>
      <c r="AI35" s="6">
        <f t="shared" si="38"/>
        <v>2.9140105216962972E-4</v>
      </c>
      <c r="AJ35" s="22"/>
      <c r="AL35" s="25"/>
      <c r="AP35" s="19"/>
      <c r="AQ35">
        <f t="shared" si="40"/>
        <v>740.80829015544043</v>
      </c>
      <c r="AR35" s="10">
        <f t="shared" si="44"/>
        <v>3.8744273575129538</v>
      </c>
      <c r="AS35" s="6">
        <f t="shared" si="45"/>
        <v>3.7969388103626951E-4</v>
      </c>
      <c r="AT35" s="6">
        <f t="shared" si="46"/>
        <v>739.08393782383428</v>
      </c>
      <c r="AU35" s="6">
        <f t="shared" si="47"/>
        <v>3.8654089948186536</v>
      </c>
      <c r="AV35" s="6">
        <f t="shared" si="48"/>
        <v>3.7881008149222805E-4</v>
      </c>
      <c r="AW35" s="6">
        <f t="shared" si="49"/>
        <v>-2.5306826981198252E-3</v>
      </c>
      <c r="AX35" s="6">
        <f t="shared" si="30"/>
        <v>4.5443662419250748E-4</v>
      </c>
      <c r="AY35" s="19">
        <f t="shared" si="16"/>
        <v>3.5501061871052883E-2</v>
      </c>
      <c r="AZ35" s="23"/>
      <c r="BA35" s="23">
        <f t="shared" si="43"/>
        <v>0</v>
      </c>
    </row>
  </sheetData>
  <mergeCells count="9">
    <mergeCell ref="A9:O9"/>
    <mergeCell ref="P9:BA9"/>
    <mergeCell ref="P10:Q10"/>
    <mergeCell ref="R10:W10"/>
    <mergeCell ref="X10:AC10"/>
    <mergeCell ref="AD10:AI10"/>
    <mergeCell ref="AJ10:AL10"/>
    <mergeCell ref="AM10:AP10"/>
    <mergeCell ref="AQ10:BA10"/>
  </mergeCells>
  <phoneticPr fontId="7" type="noConversion"/>
  <conditionalFormatting sqref="P13:BA35">
    <cfRule type="expression" dxfId="27" priority="1">
      <formula>$L13=0</formula>
    </cfRule>
    <cfRule type="expression" dxfId="26" priority="2">
      <formula>$L13=1</formula>
    </cfRule>
  </conditionalFormatting>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78252-0EB1-4709-A15D-EF8CDE244D3B}">
  <dimension ref="A1:BH32"/>
  <sheetViews>
    <sheetView zoomScale="115" zoomScaleNormal="115" workbookViewId="0">
      <selection activeCell="D19" sqref="D19"/>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29" max="29"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8" width="9.33203125" customWidth="1"/>
    <col min="49" max="49" width="24.5546875" customWidth="1"/>
    <col min="50" max="50" width="19.109375" customWidth="1"/>
    <col min="51" max="51" width="10.88671875" customWidth="1"/>
    <col min="52" max="52" width="11.77734375" customWidth="1"/>
    <col min="53" max="53" width="9.33203125" bestFit="1" customWidth="1"/>
  </cols>
  <sheetData>
    <row r="1" spans="1:60" ht="15" customHeight="1" x14ac:dyDescent="0.3">
      <c r="B1" t="s">
        <v>15</v>
      </c>
      <c r="C1" s="1" t="s">
        <v>16</v>
      </c>
      <c r="D1" s="1">
        <v>8314.5</v>
      </c>
      <c r="E1" s="1" t="s">
        <v>17</v>
      </c>
    </row>
    <row r="2" spans="1:60" ht="15" customHeight="1" x14ac:dyDescent="0.3">
      <c r="B2" t="s">
        <v>15</v>
      </c>
      <c r="C2" s="1" t="s">
        <v>18</v>
      </c>
      <c r="D2" s="1">
        <v>293.14999999999998</v>
      </c>
      <c r="E2" s="1" t="s">
        <v>19</v>
      </c>
    </row>
    <row r="3" spans="1:60" ht="15" customHeight="1" x14ac:dyDescent="0.3">
      <c r="C3" s="12" t="s">
        <v>131</v>
      </c>
      <c r="D3" s="12">
        <v>0.96099999999999997</v>
      </c>
      <c r="E3" s="13" t="s">
        <v>21</v>
      </c>
    </row>
    <row r="4" spans="1:60" ht="15" customHeight="1" x14ac:dyDescent="0.3">
      <c r="B4" t="s">
        <v>15</v>
      </c>
      <c r="C4" t="s">
        <v>24</v>
      </c>
      <c r="D4" s="1">
        <v>12</v>
      </c>
      <c r="E4" s="1" t="s">
        <v>25</v>
      </c>
    </row>
    <row r="5" spans="1:60" ht="15" customHeight="1" x14ac:dyDescent="0.3">
      <c r="C5" s="12" t="s">
        <v>132</v>
      </c>
      <c r="D5" s="12">
        <v>9.8000000000000004E-2</v>
      </c>
      <c r="E5" s="12" t="s">
        <v>21</v>
      </c>
    </row>
    <row r="6" spans="1:60" ht="15" customHeight="1" x14ac:dyDescent="0.3">
      <c r="C6" t="s">
        <v>133</v>
      </c>
      <c r="D6" s="14">
        <v>153.60778531406666</v>
      </c>
      <c r="E6" s="12" t="s">
        <v>32</v>
      </c>
    </row>
    <row r="7" spans="1:60" ht="15" customHeight="1" x14ac:dyDescent="0.3">
      <c r="B7" t="s">
        <v>15</v>
      </c>
      <c r="C7" t="s">
        <v>134</v>
      </c>
      <c r="D7" s="6">
        <v>5.2300000000000003E-3</v>
      </c>
      <c r="E7" s="1"/>
      <c r="AB7" t="s">
        <v>36</v>
      </c>
      <c r="AP7" t="s">
        <v>106</v>
      </c>
      <c r="BA7" t="s">
        <v>107</v>
      </c>
    </row>
    <row r="8" spans="1:60" ht="15" customHeight="1" x14ac:dyDescent="0.3">
      <c r="E8" s="1"/>
      <c r="F8" s="1"/>
    </row>
    <row r="9" spans="1:60" ht="15" customHeight="1" x14ac:dyDescent="0.3">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60" ht="15" customHeight="1" x14ac:dyDescent="0.3">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60" ht="43.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56" t="s">
        <v>102</v>
      </c>
      <c r="AQ11" s="5" t="s">
        <v>103</v>
      </c>
      <c r="AR11" s="35" t="s">
        <v>112</v>
      </c>
      <c r="AS11" s="46" t="s">
        <v>112</v>
      </c>
      <c r="AT11" s="5" t="s">
        <v>113</v>
      </c>
      <c r="AU11" s="35" t="s">
        <v>114</v>
      </c>
      <c r="AV11" s="35" t="s">
        <v>114</v>
      </c>
      <c r="AW11" s="35" t="s">
        <v>115</v>
      </c>
      <c r="AX11" s="47" t="s">
        <v>116</v>
      </c>
      <c r="AY11" s="48" t="s">
        <v>87</v>
      </c>
      <c r="AZ11" s="49" t="s">
        <v>88</v>
      </c>
      <c r="BA11" s="58" t="s">
        <v>89</v>
      </c>
    </row>
    <row r="12" spans="1:60"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57" t="s">
        <v>94</v>
      </c>
      <c r="AQ12" s="30" t="s">
        <v>95</v>
      </c>
      <c r="AR12" s="31" t="s">
        <v>96</v>
      </c>
      <c r="AS12" s="31" t="s">
        <v>97</v>
      </c>
      <c r="AT12" s="30" t="s">
        <v>95</v>
      </c>
      <c r="AU12" s="31" t="s">
        <v>96</v>
      </c>
      <c r="AV12" s="31" t="s">
        <v>97</v>
      </c>
      <c r="AW12" s="31" t="s">
        <v>97</v>
      </c>
      <c r="AX12" s="50" t="s">
        <v>97</v>
      </c>
      <c r="AY12" s="51" t="s">
        <v>94</v>
      </c>
      <c r="AZ12" s="51" t="s">
        <v>94</v>
      </c>
      <c r="BA12" s="59"/>
    </row>
    <row r="13" spans="1:60" ht="14.4" x14ac:dyDescent="0.3">
      <c r="A13" t="s">
        <v>105</v>
      </c>
      <c r="B13">
        <v>2</v>
      </c>
      <c r="C13" s="2">
        <v>45033</v>
      </c>
      <c r="D13" s="11">
        <v>0.63124999999999998</v>
      </c>
      <c r="E13">
        <v>1025.4000000000001</v>
      </c>
      <c r="F13">
        <f>SUM(F14:F32)/(32-14)</f>
        <v>1127.3166666666666</v>
      </c>
      <c r="G13">
        <f>F13</f>
        <v>1127.3166666666666</v>
      </c>
      <c r="M13" t="s">
        <v>4</v>
      </c>
      <c r="O13">
        <v>847.47</v>
      </c>
      <c r="P13" s="3">
        <f>C13+D13</f>
        <v>45033.631249999999</v>
      </c>
      <c r="Q13" s="4">
        <f>P13-$P$13</f>
        <v>0</v>
      </c>
      <c r="S13">
        <v>0</v>
      </c>
      <c r="T13">
        <v>0.03</v>
      </c>
      <c r="U13">
        <v>21.9</v>
      </c>
      <c r="V13">
        <v>78.069999999999993</v>
      </c>
      <c r="W13">
        <f>SUM(S13:V13)</f>
        <v>100</v>
      </c>
      <c r="X13" s="6">
        <f>F13*100*$D$3/($D$1*$D$2)</f>
        <v>4.4447084557441278E-2</v>
      </c>
      <c r="Y13" s="6">
        <f t="shared" ref="Y13:Y32" si="0">X13*T13/100</f>
        <v>1.3334125367232383E-5</v>
      </c>
      <c r="Z13" s="6">
        <f>X13*S13/100</f>
        <v>0</v>
      </c>
      <c r="AA13" s="6">
        <f t="shared" ref="AA13:AA32" si="1">X13*U13/100</f>
        <v>9.7339115180796396E-3</v>
      </c>
      <c r="AB13" s="6">
        <f t="shared" ref="AB13:AB32" si="2">X13*V13/100</f>
        <v>3.4699838913994405E-2</v>
      </c>
      <c r="AC13" s="6">
        <f>Y13+Z13</f>
        <v>1.3334125367232383E-5</v>
      </c>
      <c r="AD13" s="6">
        <f>X13</f>
        <v>4.4447084557441278E-2</v>
      </c>
      <c r="AE13" s="6">
        <f>Y13</f>
        <v>1.3334125367232383E-5</v>
      </c>
      <c r="AF13" s="6">
        <f t="shared" ref="AF13:AI13" si="3">Z13</f>
        <v>0</v>
      </c>
      <c r="AG13" s="6">
        <f t="shared" si="3"/>
        <v>9.7339115180796396E-3</v>
      </c>
      <c r="AH13" s="6">
        <f t="shared" si="3"/>
        <v>3.4699838913994405E-2</v>
      </c>
      <c r="AI13" s="6">
        <f t="shared" si="3"/>
        <v>1.3334125367232383E-5</v>
      </c>
      <c r="AJ13" s="22">
        <f>AC13-AI13</f>
        <v>0</v>
      </c>
      <c r="AK13" s="6">
        <f>AA13-AG13</f>
        <v>0</v>
      </c>
      <c r="AL13" s="23">
        <f>Y13-AE13</f>
        <v>0</v>
      </c>
      <c r="AM13" s="6">
        <f>AK13</f>
        <v>0</v>
      </c>
      <c r="AN13" s="6">
        <f>AL13</f>
        <v>0</v>
      </c>
      <c r="AO13" s="6">
        <f>AJ13</f>
        <v>0</v>
      </c>
      <c r="AP13" s="19">
        <f>AO13*$D$4*1000/$D$6</f>
        <v>0</v>
      </c>
      <c r="AQ13">
        <f>F13*100*T13/100</f>
        <v>33.819499999999991</v>
      </c>
      <c r="AR13" s="6">
        <f>AQ13*$D$7</f>
        <v>0.17687598499999996</v>
      </c>
      <c r="AS13" s="6">
        <f>AR13*$D$5/1000</f>
        <v>1.7333846529999997E-5</v>
      </c>
      <c r="AT13" s="6">
        <f>G13*100*T13/100</f>
        <v>33.819499999999991</v>
      </c>
      <c r="AU13" s="6">
        <f>AT13*$D$7</f>
        <v>0.17687598499999996</v>
      </c>
      <c r="AV13" s="6">
        <f>AU13*$D$5/1000</f>
        <v>1.7333846529999997E-5</v>
      </c>
      <c r="AW13" s="6">
        <f>AS13-AV13</f>
        <v>0</v>
      </c>
      <c r="AX13" s="52">
        <f>AW13</f>
        <v>0</v>
      </c>
      <c r="AY13" s="53">
        <f>(AX13*$D$4*1000/$D$6)</f>
        <v>0</v>
      </c>
      <c r="AZ13" s="54">
        <f>AP13</f>
        <v>0</v>
      </c>
      <c r="BA13" s="23">
        <v>0</v>
      </c>
    </row>
    <row r="14" spans="1:60" ht="14.4" x14ac:dyDescent="0.3">
      <c r="A14" t="s">
        <v>105</v>
      </c>
      <c r="B14">
        <v>2</v>
      </c>
      <c r="C14" s="2">
        <v>45035</v>
      </c>
      <c r="D14" s="11">
        <v>0.62361111111111112</v>
      </c>
      <c r="E14">
        <v>1023.2</v>
      </c>
      <c r="F14">
        <v>945.8</v>
      </c>
      <c r="G14">
        <v>951</v>
      </c>
      <c r="H14">
        <v>0.04</v>
      </c>
      <c r="I14">
        <v>0.92</v>
      </c>
      <c r="J14">
        <v>9.75</v>
      </c>
      <c r="K14">
        <v>87.91</v>
      </c>
      <c r="L14">
        <v>0</v>
      </c>
      <c r="N14" t="s">
        <v>99</v>
      </c>
      <c r="P14" s="3">
        <f t="shared" ref="P14:P32" si="4">C14+D14</f>
        <v>45035.623611111114</v>
      </c>
      <c r="Q14" s="4">
        <f t="shared" ref="Q14:Q32" si="5">P14-$P$13</f>
        <v>1.992361111115315</v>
      </c>
      <c r="R14">
        <f>SUM(H14:K14)</f>
        <v>98.62</v>
      </c>
      <c r="S14">
        <f>H14 * 100/R14</f>
        <v>4.0559724193875477E-2</v>
      </c>
      <c r="T14">
        <f>I14* 100/R14</f>
        <v>0.932873656459136</v>
      </c>
      <c r="U14">
        <f>J14* 100/R14</f>
        <v>9.8864327722571481</v>
      </c>
      <c r="V14">
        <f>K14* 100/R14</f>
        <v>89.140133847089842</v>
      </c>
      <c r="W14">
        <f>SUM(S14:V14)</f>
        <v>100</v>
      </c>
      <c r="X14" s="6">
        <f>F14*100*$D$3/($D$1*$D$2)</f>
        <v>3.7290367309772136E-2</v>
      </c>
      <c r="Y14" s="6">
        <f t="shared" si="0"/>
        <v>3.4787201302971369E-4</v>
      </c>
      <c r="Z14" s="6">
        <f t="shared" ref="Z14:Z32" si="6">X14*S14/100</f>
        <v>1.5124870131726681E-5</v>
      </c>
      <c r="AA14" s="6">
        <f t="shared" si="1"/>
        <v>3.6866870946083785E-3</v>
      </c>
      <c r="AB14" s="6">
        <f t="shared" si="2"/>
        <v>3.3240683332002322E-2</v>
      </c>
      <c r="AC14" s="6">
        <f>Y14+Z14</f>
        <v>3.6299688316144039E-4</v>
      </c>
      <c r="AD14" s="6">
        <f t="shared" ref="AD14:AD32" si="7">G14*100*$D$3/($D$1*$D$2)</f>
        <v>3.7495389418051708E-2</v>
      </c>
      <c r="AE14" s="6">
        <f t="shared" ref="AE14:AE32" si="8">AD14*T14/100</f>
        <v>3.497846102677709E-4</v>
      </c>
      <c r="AF14" s="6">
        <f t="shared" ref="AF14:AF32" si="9">AD14*S14/100</f>
        <v>1.5208026533381343E-5</v>
      </c>
      <c r="AG14" s="6">
        <f t="shared" ref="AG14:AG32" si="10">AD14*U14/100</f>
        <v>3.7069564675117029E-3</v>
      </c>
      <c r="AH14" s="6">
        <f t="shared" ref="AH14:AH32" si="11">AD14*V14/100</f>
        <v>3.3423440313738853E-2</v>
      </c>
      <c r="AI14" s="6">
        <f>AE14+AF14</f>
        <v>3.6499263680115225E-4</v>
      </c>
      <c r="AJ14" s="22">
        <f>AC14-AI13</f>
        <v>3.4966275779420801E-4</v>
      </c>
      <c r="AK14">
        <f>(AA14-AG13)*-1</f>
        <v>6.047224423471261E-3</v>
      </c>
      <c r="AL14" s="23">
        <f>Y14-AE13</f>
        <v>3.3453788766248132E-4</v>
      </c>
      <c r="AM14" s="6">
        <f>AK14+AM13</f>
        <v>6.047224423471261E-3</v>
      </c>
      <c r="AN14" s="6">
        <f>AL14+AN13</f>
        <v>3.3453788766248132E-4</v>
      </c>
      <c r="AO14" s="6">
        <f>AJ14+AO13</f>
        <v>3.4966275779420801E-4</v>
      </c>
      <c r="AP14" s="19">
        <f>AO14*$D$4*1000/$D$6</f>
        <v>2.7316018422838699E-2</v>
      </c>
      <c r="AQ14">
        <f>F14*100*T14/100</f>
        <v>882.31190427905085</v>
      </c>
      <c r="AR14" s="6">
        <f>AQ14*$D$7</f>
        <v>4.6144912593794363</v>
      </c>
      <c r="AS14" s="6">
        <f>AR14*$D$5/1000</f>
        <v>4.5222014341918476E-4</v>
      </c>
      <c r="AT14" s="6">
        <f t="shared" ref="AT14:AT32" si="12">G14*100*T14/100</f>
        <v>887.16284729263828</v>
      </c>
      <c r="AU14" s="6">
        <f t="shared" ref="AU14:AU32" si="13">AT14*$D$7</f>
        <v>4.6398616913404984</v>
      </c>
      <c r="AV14" s="6">
        <f t="shared" ref="AV14:AV32" si="14">AU14*$D$5/1000</f>
        <v>4.5470644575136885E-4</v>
      </c>
      <c r="AW14" s="6">
        <f>AS14-AV13</f>
        <v>4.3488629688918478E-4</v>
      </c>
      <c r="AX14" s="52">
        <f>AW14+AX13</f>
        <v>4.3488629688918478E-4</v>
      </c>
      <c r="AY14" s="53">
        <f t="shared" ref="AY14:AY32" si="15">(AX14*$D$4*1000/$D$6)</f>
        <v>3.3973769962246304E-2</v>
      </c>
      <c r="AZ14" s="54">
        <f>AY14+AP14</f>
        <v>6.1289788385085003E-2</v>
      </c>
      <c r="BA14" s="23">
        <f t="shared" ref="BA14:BA32" si="16">AK14/(AL14+AW14)</f>
        <v>7.859415579710304</v>
      </c>
    </row>
    <row r="15" spans="1:60" ht="14.4" x14ac:dyDescent="0.3">
      <c r="A15" t="s">
        <v>105</v>
      </c>
      <c r="B15">
        <v>2</v>
      </c>
      <c r="C15" s="2">
        <v>45040</v>
      </c>
      <c r="D15" s="11">
        <v>0.44305555555555554</v>
      </c>
      <c r="E15">
        <v>1002.9</v>
      </c>
      <c r="F15">
        <v>967.9</v>
      </c>
      <c r="G15">
        <v>964.8</v>
      </c>
      <c r="H15">
        <v>0.14000000000000001</v>
      </c>
      <c r="I15">
        <v>2.4700000000000002</v>
      </c>
      <c r="J15">
        <v>1.29</v>
      </c>
      <c r="K15">
        <v>96.85</v>
      </c>
      <c r="L15">
        <v>0</v>
      </c>
      <c r="N15" t="s">
        <v>99</v>
      </c>
      <c r="P15" s="3">
        <f t="shared" si="4"/>
        <v>45040.443055555559</v>
      </c>
      <c r="Q15" s="4">
        <f t="shared" si="5"/>
        <v>6.8118055555605679</v>
      </c>
      <c r="R15">
        <f t="shared" ref="R15:R30" si="17">SUM(H15:K15)</f>
        <v>100.75</v>
      </c>
      <c r="S15">
        <f t="shared" ref="S15:S32" si="18">H15 * 100/R15</f>
        <v>0.13895781637717122</v>
      </c>
      <c r="T15">
        <f t="shared" ref="T15:T32" si="19">I15* 100/R15</f>
        <v>2.4516129032258069</v>
      </c>
      <c r="U15">
        <f t="shared" ref="U15:U32" si="20">J15* 100/R15</f>
        <v>1.2803970223325063</v>
      </c>
      <c r="V15">
        <f t="shared" ref="V15:V32" si="21">K15* 100/R15</f>
        <v>96.129032258064512</v>
      </c>
      <c r="W15">
        <f t="shared" ref="W15:W32" si="22">SUM(S15:V15)</f>
        <v>100</v>
      </c>
      <c r="X15" s="6">
        <f t="shared" ref="X15:X32" si="23">F15*100*$D$3/($D$1*$D$2)</f>
        <v>3.8161711269960305E-2</v>
      </c>
      <c r="Y15" s="6">
        <f t="shared" si="0"/>
        <v>9.3557743758612385E-4</v>
      </c>
      <c r="Z15" s="6">
        <f t="shared" si="6"/>
        <v>5.3028680672897699E-5</v>
      </c>
      <c r="AA15" s="6">
        <f t="shared" si="1"/>
        <v>4.8862141477170023E-4</v>
      </c>
      <c r="AB15" s="6">
        <f t="shared" si="2"/>
        <v>3.6684483736929584E-2</v>
      </c>
      <c r="AC15" s="6">
        <f t="shared" ref="AC15:AC27" si="24">Y15+Z15</f>
        <v>9.8860611825902145E-4</v>
      </c>
      <c r="AD15" s="6">
        <f t="shared" si="7"/>
        <v>3.8039486551562869E-2</v>
      </c>
      <c r="AE15" s="6">
        <f t="shared" si="8"/>
        <v>9.3258096061896081E-4</v>
      </c>
      <c r="AF15" s="6">
        <f t="shared" si="9"/>
        <v>5.2858839873139475E-5</v>
      </c>
      <c r="AG15" s="6">
        <f t="shared" si="10"/>
        <v>4.8705645311678518E-4</v>
      </c>
      <c r="AH15" s="6">
        <f t="shared" si="11"/>
        <v>3.6566990297953982E-2</v>
      </c>
      <c r="AI15" s="6">
        <f t="shared" ref="AI15:AI27" si="25">AE15+AF15</f>
        <v>9.8543980049210019E-4</v>
      </c>
      <c r="AJ15" s="22">
        <f>AC15-AI14</f>
        <v>6.236134814578692E-4</v>
      </c>
      <c r="AK15">
        <f>(AA15-AG14)*-1</f>
        <v>3.2183350527400026E-3</v>
      </c>
      <c r="AL15" s="23">
        <f>Y15-AE14</f>
        <v>5.8579282731835295E-4</v>
      </c>
      <c r="AM15" s="6">
        <f>AK15+AM14</f>
        <v>9.2655594762112645E-3</v>
      </c>
      <c r="AN15" s="6">
        <f>AL15+AN14</f>
        <v>9.2033071498083432E-4</v>
      </c>
      <c r="AO15" s="6">
        <f>AJ15+AO14</f>
        <v>9.7327623925207727E-4</v>
      </c>
      <c r="AP15" s="19">
        <f>AO15*$D$4*1000/$D$6</f>
        <v>7.6033352392558651E-2</v>
      </c>
      <c r="AQ15">
        <f t="shared" ref="AQ15:AQ27" si="26">F15*100*T15/100</f>
        <v>2372.9161290322586</v>
      </c>
      <c r="AR15" s="6">
        <f t="shared" ref="AR15:AR32" si="27">AQ15*$D$7</f>
        <v>12.410351354838713</v>
      </c>
      <c r="AS15" s="6">
        <f t="shared" ref="AS15:AS32" si="28">AR15*$D$5/1000</f>
        <v>1.2162144327741938E-3</v>
      </c>
      <c r="AT15" s="6">
        <f t="shared" si="12"/>
        <v>2365.3161290322587</v>
      </c>
      <c r="AU15" s="6">
        <f t="shared" si="13"/>
        <v>12.370603354838714</v>
      </c>
      <c r="AV15" s="6">
        <f t="shared" si="14"/>
        <v>1.2123191287741941E-3</v>
      </c>
      <c r="AW15" s="6">
        <f t="shared" ref="AW15:AW32" si="29">AS15-AV14</f>
        <v>7.6150798702282504E-4</v>
      </c>
      <c r="AX15" s="52">
        <f t="shared" ref="AX15:AX32" si="30">AW15+AX14</f>
        <v>1.1963942839120097E-3</v>
      </c>
      <c r="AY15" s="53">
        <f t="shared" si="15"/>
        <v>9.3463566170102166E-2</v>
      </c>
      <c r="AZ15" s="54">
        <f>AY15+AP15</f>
        <v>0.1694969185626608</v>
      </c>
      <c r="BA15" s="23">
        <f t="shared" si="16"/>
        <v>2.388727905811999</v>
      </c>
    </row>
    <row r="16" spans="1:60" s="7" customFormat="1" ht="14.4" x14ac:dyDescent="0.3">
      <c r="A16" t="s">
        <v>105</v>
      </c>
      <c r="B16">
        <v>2</v>
      </c>
      <c r="C16" s="2">
        <v>45040</v>
      </c>
      <c r="D16" s="11">
        <v>0.48680555555555555</v>
      </c>
      <c r="E16">
        <v>1003.5</v>
      </c>
      <c r="F16">
        <v>1100.9000000000001</v>
      </c>
      <c r="G16">
        <v>1097.0999999999999</v>
      </c>
      <c r="H16">
        <v>0</v>
      </c>
      <c r="I16">
        <v>0.76</v>
      </c>
      <c r="J16">
        <v>19.84</v>
      </c>
      <c r="K16">
        <v>76.819999999999993</v>
      </c>
      <c r="L16">
        <v>1</v>
      </c>
      <c r="M16"/>
      <c r="N16" t="s">
        <v>99</v>
      </c>
      <c r="O16">
        <v>847.58</v>
      </c>
      <c r="P16" s="8">
        <f t="shared" si="4"/>
        <v>45040.486805555556</v>
      </c>
      <c r="Q16" s="9">
        <f t="shared" si="5"/>
        <v>6.8555555555576575</v>
      </c>
      <c r="R16">
        <f t="shared" si="17"/>
        <v>97.419999999999987</v>
      </c>
      <c r="S16">
        <f t="shared" si="18"/>
        <v>0</v>
      </c>
      <c r="T16">
        <f t="shared" si="19"/>
        <v>0.78012728392527209</v>
      </c>
      <c r="U16">
        <f t="shared" si="20"/>
        <v>20.365428043522893</v>
      </c>
      <c r="V16">
        <f t="shared" si="21"/>
        <v>78.854444672551836</v>
      </c>
      <c r="W16">
        <f t="shared" si="22"/>
        <v>100</v>
      </c>
      <c r="X16" s="10">
        <f t="shared" si="23"/>
        <v>4.3405545962495407E-2</v>
      </c>
      <c r="Y16" s="10">
        <f t="shared" si="0"/>
        <v>3.3861850679015103E-4</v>
      </c>
      <c r="Z16" s="10">
        <f t="shared" si="6"/>
        <v>0</v>
      </c>
      <c r="AA16" s="10">
        <f t="shared" si="1"/>
        <v>8.8397252298902593E-3</v>
      </c>
      <c r="AB16" s="10">
        <f t="shared" si="2"/>
        <v>3.4227202225814997E-2</v>
      </c>
      <c r="AC16" s="10">
        <f t="shared" si="24"/>
        <v>3.3861850679015103E-4</v>
      </c>
      <c r="AD16" s="10">
        <f t="shared" si="7"/>
        <v>4.3255722114137252E-2</v>
      </c>
      <c r="AE16" s="10">
        <f t="shared" si="8"/>
        <v>3.3744969007128221E-4</v>
      </c>
      <c r="AF16" s="10">
        <f t="shared" si="9"/>
        <v>0</v>
      </c>
      <c r="AG16" s="10">
        <f t="shared" si="10"/>
        <v>8.8092129618608413E-3</v>
      </c>
      <c r="AH16" s="10">
        <f t="shared" si="11"/>
        <v>3.4109059462205125E-2</v>
      </c>
      <c r="AI16" s="10">
        <f t="shared" si="25"/>
        <v>3.3744969007128221E-4</v>
      </c>
      <c r="AJ16" s="22"/>
      <c r="AK16"/>
      <c r="AL16" s="24"/>
      <c r="AP16" s="20"/>
      <c r="AQ16" s="7">
        <f t="shared" si="26"/>
        <v>858.84212687333218</v>
      </c>
      <c r="AR16" s="10">
        <f t="shared" si="27"/>
        <v>4.4917443235475272</v>
      </c>
      <c r="AS16" s="6">
        <f t="shared" si="28"/>
        <v>4.4019094370765767E-4</v>
      </c>
      <c r="AT16" s="6">
        <f t="shared" si="12"/>
        <v>855.8776431944159</v>
      </c>
      <c r="AU16" s="6">
        <f t="shared" si="13"/>
        <v>4.4762400739067951</v>
      </c>
      <c r="AV16" s="6">
        <f t="shared" si="14"/>
        <v>4.3867152724286597E-4</v>
      </c>
      <c r="AW16" s="6">
        <f t="shared" si="29"/>
        <v>-7.7212818506653649E-4</v>
      </c>
      <c r="AX16" s="52">
        <f t="shared" si="30"/>
        <v>4.2426609884547322E-4</v>
      </c>
      <c r="AY16" s="53">
        <f t="shared" si="15"/>
        <v>3.314410904197479E-2</v>
      </c>
      <c r="AZ16" s="54"/>
      <c r="BA16" s="23">
        <f t="shared" si="16"/>
        <v>0</v>
      </c>
      <c r="BB16"/>
      <c r="BC16"/>
      <c r="BD16"/>
      <c r="BE16"/>
      <c r="BF16"/>
      <c r="BG16"/>
      <c r="BH16"/>
    </row>
    <row r="17" spans="1:60" ht="14.4" x14ac:dyDescent="0.3">
      <c r="A17" t="s">
        <v>105</v>
      </c>
      <c r="B17">
        <v>2</v>
      </c>
      <c r="C17" s="2">
        <v>45042</v>
      </c>
      <c r="D17" s="11">
        <v>0.3756944444444445</v>
      </c>
      <c r="E17">
        <v>1017.1</v>
      </c>
      <c r="F17">
        <v>1003.5</v>
      </c>
      <c r="G17">
        <v>1003.3</v>
      </c>
      <c r="H17">
        <v>0.01</v>
      </c>
      <c r="I17">
        <v>1.66</v>
      </c>
      <c r="J17">
        <v>12.34</v>
      </c>
      <c r="K17">
        <v>86.49</v>
      </c>
      <c r="L17">
        <v>0</v>
      </c>
      <c r="N17" t="s">
        <v>99</v>
      </c>
      <c r="P17" s="3">
        <f t="shared" si="4"/>
        <v>45042.375694444447</v>
      </c>
      <c r="Q17" s="4">
        <f t="shared" si="5"/>
        <v>8.7444444444481633</v>
      </c>
      <c r="R17">
        <f t="shared" si="17"/>
        <v>100.5</v>
      </c>
      <c r="S17">
        <f t="shared" si="18"/>
        <v>9.9502487562189053E-3</v>
      </c>
      <c r="T17">
        <f t="shared" si="19"/>
        <v>1.6517412935323383</v>
      </c>
      <c r="U17">
        <f t="shared" si="20"/>
        <v>12.278606965174129</v>
      </c>
      <c r="V17">
        <f t="shared" si="21"/>
        <v>86.059701492537314</v>
      </c>
      <c r="W17">
        <f t="shared" si="22"/>
        <v>100</v>
      </c>
      <c r="X17" s="6">
        <f t="shared" si="23"/>
        <v>3.9565324165105033E-2</v>
      </c>
      <c r="Y17" s="6">
        <f t="shared" si="0"/>
        <v>6.535167971549687E-4</v>
      </c>
      <c r="Z17" s="6">
        <f t="shared" si="6"/>
        <v>3.9368481756323415E-6</v>
      </c>
      <c r="AA17" s="6">
        <f t="shared" si="1"/>
        <v>4.858070648730309E-3</v>
      </c>
      <c r="AB17" s="6">
        <f t="shared" si="2"/>
        <v>3.4049799871044124E-2</v>
      </c>
      <c r="AC17" s="6">
        <f t="shared" si="24"/>
        <v>6.5745364533060103E-4</v>
      </c>
      <c r="AD17" s="6">
        <f t="shared" si="7"/>
        <v>3.9557438699401974E-2</v>
      </c>
      <c r="AE17" s="6">
        <f t="shared" si="8"/>
        <v>6.5338654966176396E-4</v>
      </c>
      <c r="AF17" s="6">
        <f t="shared" si="9"/>
        <v>3.936063552179301E-6</v>
      </c>
      <c r="AG17" s="6">
        <f t="shared" si="10"/>
        <v>4.8571024233892571E-3</v>
      </c>
      <c r="AH17" s="6">
        <f t="shared" si="11"/>
        <v>3.4043013662798771E-2</v>
      </c>
      <c r="AI17" s="6">
        <f t="shared" si="25"/>
        <v>6.5732261321394328E-4</v>
      </c>
      <c r="AJ17" s="22">
        <f>AC17-AI16</f>
        <v>3.2000395525931882E-4</v>
      </c>
      <c r="AK17">
        <f>(AA17-AG16)*-1</f>
        <v>3.9511423131305323E-3</v>
      </c>
      <c r="AL17" s="25">
        <f>Y17-AE16</f>
        <v>3.1606710708368649E-4</v>
      </c>
      <c r="AM17">
        <f>AK17+AM15</f>
        <v>1.3216701789341798E-2</v>
      </c>
      <c r="AN17" s="6">
        <f>AL17+AN15</f>
        <v>1.2363978220645208E-3</v>
      </c>
      <c r="AO17" s="6">
        <f>AJ17+AO15</f>
        <v>1.2932801945113961E-3</v>
      </c>
      <c r="AP17" s="19">
        <f>AO17*$D$4*1000/$D$6</f>
        <v>0.10103239430479286</v>
      </c>
      <c r="AQ17">
        <f t="shared" si="26"/>
        <v>1657.5223880597014</v>
      </c>
      <c r="AR17" s="6">
        <f t="shared" si="27"/>
        <v>8.6688420895522391</v>
      </c>
      <c r="AS17" s="6">
        <f t="shared" si="28"/>
        <v>8.4954652477611944E-4</v>
      </c>
      <c r="AT17" s="6">
        <f t="shared" si="12"/>
        <v>1657.192039800995</v>
      </c>
      <c r="AU17" s="6">
        <f t="shared" si="13"/>
        <v>8.6671143681592042</v>
      </c>
      <c r="AV17" s="6">
        <f t="shared" si="14"/>
        <v>8.4937720807960206E-4</v>
      </c>
      <c r="AW17" s="6">
        <f t="shared" si="29"/>
        <v>4.1087499753325347E-4</v>
      </c>
      <c r="AX17" s="52">
        <f t="shared" si="30"/>
        <v>8.3514109637872669E-4</v>
      </c>
      <c r="AY17" s="53">
        <f t="shared" si="15"/>
        <v>6.5242091317535458E-2</v>
      </c>
      <c r="AZ17" s="54">
        <f>AY17+AP17</f>
        <v>0.16627448562232833</v>
      </c>
      <c r="BA17" s="23">
        <f t="shared" si="16"/>
        <v>5.4352915975510534</v>
      </c>
    </row>
    <row r="18" spans="1:60" s="7" customFormat="1" ht="14.4" x14ac:dyDescent="0.3">
      <c r="A18" t="s">
        <v>105</v>
      </c>
      <c r="B18">
        <v>2</v>
      </c>
      <c r="C18" s="2">
        <v>45042</v>
      </c>
      <c r="D18" s="11">
        <v>0.42083333333333334</v>
      </c>
      <c r="E18">
        <v>1017.3</v>
      </c>
      <c r="F18">
        <v>1115.5</v>
      </c>
      <c r="G18">
        <v>1112.0999999999999</v>
      </c>
      <c r="H18">
        <v>0</v>
      </c>
      <c r="I18">
        <v>0.51</v>
      </c>
      <c r="J18">
        <v>20.59</v>
      </c>
      <c r="K18">
        <v>76.61</v>
      </c>
      <c r="L18">
        <v>1</v>
      </c>
      <c r="M18"/>
      <c r="N18" t="s">
        <v>99</v>
      </c>
      <c r="O18">
        <v>847.53</v>
      </c>
      <c r="P18" s="8">
        <f t="shared" si="4"/>
        <v>45042.42083333333</v>
      </c>
      <c r="Q18" s="9">
        <f t="shared" si="5"/>
        <v>8.7895833333313931</v>
      </c>
      <c r="R18">
        <f t="shared" si="17"/>
        <v>97.710000000000008</v>
      </c>
      <c r="S18">
        <f t="shared" si="18"/>
        <v>0</v>
      </c>
      <c r="T18">
        <f t="shared" si="19"/>
        <v>0.52195271722443959</v>
      </c>
      <c r="U18">
        <f t="shared" si="20"/>
        <v>21.072561662061201</v>
      </c>
      <c r="V18">
        <f t="shared" si="21"/>
        <v>78.405485620714359</v>
      </c>
      <c r="W18">
        <f t="shared" si="22"/>
        <v>100</v>
      </c>
      <c r="X18" s="10">
        <f t="shared" si="23"/>
        <v>4.3981184958818809E-2</v>
      </c>
      <c r="Y18" s="10">
        <f t="shared" si="0"/>
        <v>2.2956098996006129E-4</v>
      </c>
      <c r="Z18" s="10">
        <f t="shared" si="6"/>
        <v>0</v>
      </c>
      <c r="AA18" s="10">
        <f t="shared" si="1"/>
        <v>9.2679623201522791E-3</v>
      </c>
      <c r="AB18" s="10">
        <f t="shared" si="2"/>
        <v>3.4483661648706469E-2</v>
      </c>
      <c r="AC18" s="10">
        <f t="shared" si="24"/>
        <v>2.2956098996006129E-4</v>
      </c>
      <c r="AD18" s="10">
        <f t="shared" si="7"/>
        <v>4.3847132041866771E-2</v>
      </c>
      <c r="AE18" s="10">
        <f t="shared" si="8"/>
        <v>2.2886129711751152E-4</v>
      </c>
      <c r="AF18" s="10">
        <f t="shared" si="9"/>
        <v>0</v>
      </c>
      <c r="AG18" s="10">
        <f t="shared" si="10"/>
        <v>9.2397139365677696E-3</v>
      </c>
      <c r="AH18" s="10">
        <f t="shared" si="11"/>
        <v>3.4378556808181492E-2</v>
      </c>
      <c r="AI18" s="10">
        <f t="shared" si="25"/>
        <v>2.2886129711751152E-4</v>
      </c>
      <c r="AJ18" s="26"/>
      <c r="AL18" s="24"/>
      <c r="AP18" s="20"/>
      <c r="AQ18" s="7">
        <f t="shared" si="26"/>
        <v>582.23825606386231</v>
      </c>
      <c r="AR18" s="10">
        <f t="shared" si="27"/>
        <v>3.0451060792139999</v>
      </c>
      <c r="AS18" s="6">
        <f t="shared" si="28"/>
        <v>2.9842039576297201E-4</v>
      </c>
      <c r="AT18" s="6">
        <f t="shared" si="12"/>
        <v>580.46361682529914</v>
      </c>
      <c r="AU18" s="6">
        <f t="shared" si="13"/>
        <v>3.0358247159963145</v>
      </c>
      <c r="AV18" s="6">
        <f t="shared" si="14"/>
        <v>2.9751082216763884E-4</v>
      </c>
      <c r="AW18" s="6">
        <f t="shared" si="29"/>
        <v>-5.5095681231662999E-4</v>
      </c>
      <c r="AX18" s="52">
        <f t="shared" si="30"/>
        <v>2.841842840620967E-4</v>
      </c>
      <c r="AY18" s="53">
        <f t="shared" si="15"/>
        <v>2.2200771932051739E-2</v>
      </c>
      <c r="AZ18" s="55"/>
      <c r="BA18" s="23">
        <f t="shared" si="16"/>
        <v>0</v>
      </c>
      <c r="BB18"/>
      <c r="BC18"/>
      <c r="BD18"/>
      <c r="BE18"/>
      <c r="BF18"/>
      <c r="BG18"/>
      <c r="BH18"/>
    </row>
    <row r="19" spans="1:60" ht="14.4" x14ac:dyDescent="0.3">
      <c r="A19" t="s">
        <v>105</v>
      </c>
      <c r="B19">
        <v>2</v>
      </c>
      <c r="C19" s="2">
        <v>45044</v>
      </c>
      <c r="D19" s="11">
        <v>0.41180555555555554</v>
      </c>
      <c r="E19">
        <v>1006.9</v>
      </c>
      <c r="F19">
        <v>1065.3</v>
      </c>
      <c r="G19">
        <v>1062.3</v>
      </c>
      <c r="H19">
        <v>0</v>
      </c>
      <c r="I19">
        <v>1.51</v>
      </c>
      <c r="J19">
        <v>16.440000000000001</v>
      </c>
      <c r="K19">
        <v>83.4</v>
      </c>
      <c r="L19">
        <v>0</v>
      </c>
      <c r="N19" t="s">
        <v>99</v>
      </c>
      <c r="P19" s="3">
        <f t="shared" si="4"/>
        <v>45044.411805555559</v>
      </c>
      <c r="Q19" s="4">
        <f t="shared" si="5"/>
        <v>10.780555555560568</v>
      </c>
      <c r="R19">
        <f t="shared" si="17"/>
        <v>101.35000000000001</v>
      </c>
      <c r="S19">
        <f t="shared" si="18"/>
        <v>0</v>
      </c>
      <c r="T19">
        <f t="shared" si="19"/>
        <v>1.4898865318204242</v>
      </c>
      <c r="U19">
        <f t="shared" si="20"/>
        <v>16.221016280217071</v>
      </c>
      <c r="V19">
        <f t="shared" si="21"/>
        <v>82.289097187962497</v>
      </c>
      <c r="W19">
        <f t="shared" si="22"/>
        <v>100</v>
      </c>
      <c r="X19" s="6">
        <f t="shared" si="23"/>
        <v>4.2001933067350672E-2</v>
      </c>
      <c r="Y19" s="6">
        <f t="shared" si="0"/>
        <v>6.2578114387468685E-4</v>
      </c>
      <c r="Z19" s="6">
        <f t="shared" si="6"/>
        <v>0</v>
      </c>
      <c r="AA19" s="6">
        <f t="shared" si="1"/>
        <v>6.8131404008608294E-3</v>
      </c>
      <c r="AB19" s="6">
        <f t="shared" si="2"/>
        <v>3.456301152261515E-2</v>
      </c>
      <c r="AC19" s="6">
        <f t="shared" si="24"/>
        <v>6.2578114387468685E-4</v>
      </c>
      <c r="AD19" s="6">
        <f t="shared" si="7"/>
        <v>4.1883651081804765E-2</v>
      </c>
      <c r="AE19" s="6">
        <f t="shared" si="8"/>
        <v>6.2401887650246864E-4</v>
      </c>
      <c r="AF19" s="6">
        <f t="shared" si="9"/>
        <v>0</v>
      </c>
      <c r="AG19" s="6">
        <f t="shared" si="10"/>
        <v>6.7939538607288642E-3</v>
      </c>
      <c r="AH19" s="6">
        <f t="shared" si="11"/>
        <v>3.4465678344573425E-2</v>
      </c>
      <c r="AI19" s="6">
        <f t="shared" si="25"/>
        <v>6.2401887650246864E-4</v>
      </c>
      <c r="AJ19" s="22">
        <f t="shared" ref="AJ19" si="31">AC19-AI18</f>
        <v>3.9691984675717536E-4</v>
      </c>
      <c r="AK19">
        <f>(AA19-AG18)*-1</f>
        <v>2.4265735357069402E-3</v>
      </c>
      <c r="AL19" s="25">
        <f>Y19-AE18</f>
        <v>3.9691984675717536E-4</v>
      </c>
      <c r="AM19">
        <f>AK19+AM17</f>
        <v>1.5643275325048736E-2</v>
      </c>
      <c r="AN19">
        <f>AL19+AN17</f>
        <v>1.6333176688216962E-3</v>
      </c>
      <c r="AO19" s="6">
        <f>AJ19+AO17</f>
        <v>1.6902000412685715E-3</v>
      </c>
      <c r="AP19" s="19">
        <f>AO19*$D$4*1000/$D$6</f>
        <v>0.13204018568299411</v>
      </c>
      <c r="AQ19">
        <f t="shared" si="26"/>
        <v>1587.1761223482979</v>
      </c>
      <c r="AR19" s="6">
        <f t="shared" si="27"/>
        <v>8.3009311198815983</v>
      </c>
      <c r="AS19" s="6">
        <f t="shared" si="28"/>
        <v>8.1349124974839672E-4</v>
      </c>
      <c r="AT19" s="6">
        <f t="shared" si="12"/>
        <v>1582.7064627528366</v>
      </c>
      <c r="AU19" s="6">
        <f t="shared" si="13"/>
        <v>8.2775548001973362</v>
      </c>
      <c r="AV19" s="6">
        <f t="shared" si="14"/>
        <v>8.1120037041933896E-4</v>
      </c>
      <c r="AW19" s="6">
        <f t="shared" si="29"/>
        <v>5.1598042758075789E-4</v>
      </c>
      <c r="AX19" s="52">
        <f t="shared" si="30"/>
        <v>8.0016471164285458E-4</v>
      </c>
      <c r="AY19" s="53">
        <f t="shared" si="15"/>
        <v>6.2509699753056411E-2</v>
      </c>
      <c r="AZ19" s="54">
        <f>AY19+AP19</f>
        <v>0.19454988543605051</v>
      </c>
      <c r="BA19" s="23">
        <f t="shared" si="16"/>
        <v>2.6580926788161774</v>
      </c>
    </row>
    <row r="20" spans="1:60" ht="14.4" x14ac:dyDescent="0.3">
      <c r="A20" t="s">
        <v>105</v>
      </c>
      <c r="B20">
        <v>2</v>
      </c>
      <c r="C20" s="2">
        <v>45047</v>
      </c>
      <c r="D20" s="11">
        <v>0.58124999999999993</v>
      </c>
      <c r="E20">
        <v>1013.1</v>
      </c>
      <c r="F20">
        <v>1022.9</v>
      </c>
      <c r="G20">
        <v>1020</v>
      </c>
      <c r="H20">
        <v>0.01</v>
      </c>
      <c r="I20">
        <v>2.78</v>
      </c>
      <c r="J20">
        <v>11.02</v>
      </c>
      <c r="K20">
        <v>85</v>
      </c>
      <c r="L20">
        <v>0</v>
      </c>
      <c r="N20" t="s">
        <v>99</v>
      </c>
      <c r="P20" s="3">
        <f t="shared" si="4"/>
        <v>45047.581250000003</v>
      </c>
      <c r="Q20" s="4">
        <f t="shared" si="5"/>
        <v>13.950000000004366</v>
      </c>
      <c r="R20">
        <f t="shared" si="17"/>
        <v>98.81</v>
      </c>
      <c r="S20">
        <f t="shared" si="18"/>
        <v>1.0120433154539013E-2</v>
      </c>
      <c r="T20">
        <f t="shared" si="19"/>
        <v>2.8134804169618457</v>
      </c>
      <c r="U20">
        <f t="shared" si="20"/>
        <v>11.152717336301993</v>
      </c>
      <c r="V20">
        <f t="shared" si="21"/>
        <v>86.023681813581618</v>
      </c>
      <c r="W20">
        <f t="shared" si="22"/>
        <v>100</v>
      </c>
      <c r="X20" s="6">
        <f t="shared" si="23"/>
        <v>4.033021433830189E-2</v>
      </c>
      <c r="Y20" s="6">
        <f t="shared" si="0"/>
        <v>1.134682682526862E-3</v>
      </c>
      <c r="Z20" s="6">
        <f t="shared" si="6"/>
        <v>4.0815923831901513E-6</v>
      </c>
      <c r="AA20" s="6">
        <f t="shared" si="1"/>
        <v>4.4979148062755468E-3</v>
      </c>
      <c r="AB20" s="6">
        <f t="shared" si="2"/>
        <v>3.4693535257116291E-2</v>
      </c>
      <c r="AC20" s="6">
        <f t="shared" si="24"/>
        <v>1.1387642749100522E-3</v>
      </c>
      <c r="AD20" s="6">
        <f t="shared" si="7"/>
        <v>4.0215875085607512E-2</v>
      </c>
      <c r="AE20" s="6">
        <f t="shared" si="8"/>
        <v>1.1314657700434052E-3</v>
      </c>
      <c r="AF20" s="6">
        <f t="shared" si="9"/>
        <v>4.0700207555518174E-6</v>
      </c>
      <c r="AG20" s="6">
        <f t="shared" si="10"/>
        <v>4.4851628726181028E-3</v>
      </c>
      <c r="AH20" s="6">
        <f t="shared" si="11"/>
        <v>3.4595176422190448E-2</v>
      </c>
      <c r="AI20" s="6">
        <f t="shared" si="25"/>
        <v>1.1355357907989572E-3</v>
      </c>
      <c r="AJ20" s="22">
        <f>AC20-AI19</f>
        <v>5.1474539840758355E-4</v>
      </c>
      <c r="AK20">
        <f>(AA20-AG19)*-1</f>
        <v>2.2960390544533174E-3</v>
      </c>
      <c r="AL20" s="25">
        <f>Y20-AE19</f>
        <v>5.1066380602439335E-4</v>
      </c>
      <c r="AM20">
        <f>AK20+AM19</f>
        <v>1.7939314379502053E-2</v>
      </c>
      <c r="AN20">
        <f>AL20+AN19</f>
        <v>2.1439814748460896E-3</v>
      </c>
      <c r="AO20" s="6">
        <f>AJ20+AO19</f>
        <v>2.2049454396761551E-3</v>
      </c>
      <c r="AP20" s="19">
        <f>AO20*$D$4*1000/$D$6</f>
        <v>0.17225263174008434</v>
      </c>
      <c r="AQ20">
        <f t="shared" si="26"/>
        <v>2877.909118510272</v>
      </c>
      <c r="AR20" s="6">
        <f t="shared" si="27"/>
        <v>15.051464689808723</v>
      </c>
      <c r="AS20" s="6">
        <f t="shared" si="28"/>
        <v>1.4750435396012548E-3</v>
      </c>
      <c r="AT20" s="6">
        <f t="shared" si="12"/>
        <v>2869.7500253010826</v>
      </c>
      <c r="AU20" s="6">
        <f t="shared" si="13"/>
        <v>15.008792632324663</v>
      </c>
      <c r="AV20" s="6">
        <f t="shared" si="14"/>
        <v>1.470861677967817E-3</v>
      </c>
      <c r="AW20" s="6">
        <f>AS20-AV19</f>
        <v>6.6384316918191588E-4</v>
      </c>
      <c r="AX20" s="52">
        <f>AW20+AX19</f>
        <v>1.4640078808247706E-3</v>
      </c>
      <c r="AY20" s="53">
        <f t="shared" si="15"/>
        <v>0.11436981878215027</v>
      </c>
      <c r="AZ20" s="54">
        <f>AY20+AP20</f>
        <v>0.28662245052223462</v>
      </c>
      <c r="BA20" s="23">
        <f t="shared" si="16"/>
        <v>1.9548960567475595</v>
      </c>
    </row>
    <row r="21" spans="1:60" s="7" customFormat="1" ht="14.4" x14ac:dyDescent="0.3">
      <c r="A21" t="s">
        <v>105</v>
      </c>
      <c r="B21">
        <v>2</v>
      </c>
      <c r="C21" s="2">
        <v>45047</v>
      </c>
      <c r="D21" s="11">
        <v>0.62291666666666667</v>
      </c>
      <c r="E21">
        <v>1013.3</v>
      </c>
      <c r="F21">
        <v>1115.9000000000001</v>
      </c>
      <c r="G21">
        <v>1112.3</v>
      </c>
      <c r="H21">
        <v>0</v>
      </c>
      <c r="I21">
        <v>0.69</v>
      </c>
      <c r="J21">
        <v>20.56</v>
      </c>
      <c r="K21">
        <v>76.34</v>
      </c>
      <c r="L21">
        <v>1</v>
      </c>
      <c r="M21"/>
      <c r="N21" t="s">
        <v>99</v>
      </c>
      <c r="O21">
        <v>847.51</v>
      </c>
      <c r="P21" s="8">
        <f t="shared" si="4"/>
        <v>45047.622916666667</v>
      </c>
      <c r="Q21" s="9">
        <f t="shared" si="5"/>
        <v>13.991666666668607</v>
      </c>
      <c r="R21">
        <f t="shared" si="17"/>
        <v>97.59</v>
      </c>
      <c r="S21">
        <f t="shared" si="18"/>
        <v>0</v>
      </c>
      <c r="T21">
        <f t="shared" si="19"/>
        <v>0.70703965570242855</v>
      </c>
      <c r="U21">
        <f t="shared" si="20"/>
        <v>21.067732349625985</v>
      </c>
      <c r="V21">
        <f t="shared" si="21"/>
        <v>78.225227994671584</v>
      </c>
      <c r="W21">
        <f t="shared" si="22"/>
        <v>100</v>
      </c>
      <c r="X21" s="10">
        <f t="shared" si="23"/>
        <v>4.3996955890224926E-2</v>
      </c>
      <c r="Y21" s="10">
        <f t="shared" si="0"/>
        <v>3.1107592544579569E-4</v>
      </c>
      <c r="Z21" s="10">
        <f t="shared" si="6"/>
        <v>0</v>
      </c>
      <c r="AA21" s="10">
        <f t="shared" si="1"/>
        <v>9.269160908935592E-3</v>
      </c>
      <c r="AB21" s="10">
        <f t="shared" si="2"/>
        <v>3.4416719055843537E-2</v>
      </c>
      <c r="AC21" s="10">
        <f t="shared" si="24"/>
        <v>3.1107592544579569E-4</v>
      </c>
      <c r="AD21" s="10">
        <f t="shared" si="7"/>
        <v>4.3855017507569836E-2</v>
      </c>
      <c r="AE21" s="10">
        <f t="shared" si="8"/>
        <v>3.1007236479376155E-4</v>
      </c>
      <c r="AF21" s="10">
        <f t="shared" si="9"/>
        <v>0</v>
      </c>
      <c r="AG21" s="10">
        <f t="shared" si="10"/>
        <v>9.2392577103764303E-3</v>
      </c>
      <c r="AH21" s="10">
        <f t="shared" si="11"/>
        <v>3.4305687432399645E-2</v>
      </c>
      <c r="AI21" s="10">
        <f t="shared" si="25"/>
        <v>3.1007236479376155E-4</v>
      </c>
      <c r="AJ21" s="26"/>
      <c r="AL21" s="24"/>
      <c r="AO21" s="10"/>
      <c r="AP21" s="20"/>
      <c r="AQ21" s="7">
        <f t="shared" si="26"/>
        <v>788.98555179834011</v>
      </c>
      <c r="AR21" s="10">
        <f t="shared" si="27"/>
        <v>4.1263944359053193</v>
      </c>
      <c r="AS21" s="6">
        <f t="shared" si="28"/>
        <v>4.0438665471872131E-4</v>
      </c>
      <c r="AT21" s="6">
        <f t="shared" si="12"/>
        <v>786.44020903781131</v>
      </c>
      <c r="AU21" s="6">
        <f t="shared" si="13"/>
        <v>4.1130822932677535</v>
      </c>
      <c r="AV21" s="6">
        <f t="shared" si="14"/>
        <v>4.0308206474023989E-4</v>
      </c>
      <c r="AW21" s="6">
        <f t="shared" si="29"/>
        <v>-1.0664750232490957E-3</v>
      </c>
      <c r="AX21" s="52">
        <f t="shared" si="30"/>
        <v>3.9753285757567489E-4</v>
      </c>
      <c r="AY21" s="53">
        <f t="shared" si="15"/>
        <v>3.1055680421109809E-2</v>
      </c>
      <c r="AZ21" s="55"/>
      <c r="BA21" s="23">
        <f t="shared" si="16"/>
        <v>0</v>
      </c>
      <c r="BB21"/>
      <c r="BC21"/>
      <c r="BD21"/>
      <c r="BE21"/>
      <c r="BF21"/>
      <c r="BG21"/>
      <c r="BH21"/>
    </row>
    <row r="22" spans="1:60" ht="14.4" x14ac:dyDescent="0.3">
      <c r="A22" t="s">
        <v>105</v>
      </c>
      <c r="B22">
        <v>2</v>
      </c>
      <c r="C22" s="2">
        <v>45050</v>
      </c>
      <c r="D22" s="11">
        <v>0.41319444444444442</v>
      </c>
      <c r="E22">
        <v>1017.7</v>
      </c>
      <c r="F22">
        <v>1069.8</v>
      </c>
      <c r="G22">
        <v>1067.5999999999999</v>
      </c>
      <c r="H22">
        <v>0</v>
      </c>
      <c r="I22">
        <v>1.69</v>
      </c>
      <c r="J22">
        <v>16.809999999999999</v>
      </c>
      <c r="K22">
        <v>79.400000000000006</v>
      </c>
      <c r="L22">
        <v>0</v>
      </c>
      <c r="N22" t="s">
        <v>99</v>
      </c>
      <c r="P22" s="3">
        <f t="shared" si="4"/>
        <v>45050.413194444445</v>
      </c>
      <c r="Q22" s="4">
        <f t="shared" si="5"/>
        <v>16.781944444446708</v>
      </c>
      <c r="R22">
        <f t="shared" si="17"/>
        <v>97.9</v>
      </c>
      <c r="S22">
        <f t="shared" si="18"/>
        <v>0</v>
      </c>
      <c r="T22">
        <f t="shared" si="19"/>
        <v>1.7262512768130744</v>
      </c>
      <c r="U22">
        <f t="shared" si="20"/>
        <v>17.170582226761997</v>
      </c>
      <c r="V22">
        <f t="shared" si="21"/>
        <v>81.103166496424933</v>
      </c>
      <c r="W22">
        <f t="shared" si="22"/>
        <v>100</v>
      </c>
      <c r="X22" s="6">
        <f t="shared" si="23"/>
        <v>4.2179356045669525E-2</v>
      </c>
      <c r="Y22" s="6">
        <f t="shared" si="0"/>
        <v>7.2812167228990287E-4</v>
      </c>
      <c r="Z22" s="6">
        <f t="shared" si="6"/>
        <v>0</v>
      </c>
      <c r="AA22" s="6">
        <f t="shared" si="1"/>
        <v>7.2424410125403937E-3</v>
      </c>
      <c r="AB22" s="6">
        <f t="shared" si="2"/>
        <v>3.4208793360839235E-2</v>
      </c>
      <c r="AC22" s="6">
        <f t="shared" si="24"/>
        <v>7.2812167228990287E-4</v>
      </c>
      <c r="AD22" s="6">
        <f t="shared" si="7"/>
        <v>4.209261592293586E-2</v>
      </c>
      <c r="AE22" s="6">
        <f t="shared" si="8"/>
        <v>7.2662431981370377E-4</v>
      </c>
      <c r="AF22" s="6">
        <f t="shared" si="9"/>
        <v>0</v>
      </c>
      <c r="AG22" s="6">
        <f t="shared" si="10"/>
        <v>7.2275472284428158E-3</v>
      </c>
      <c r="AH22" s="6">
        <f t="shared" si="11"/>
        <v>3.4138444374679347E-2</v>
      </c>
      <c r="AI22" s="6">
        <f t="shared" si="25"/>
        <v>7.2662431981370377E-4</v>
      </c>
      <c r="AJ22" s="22">
        <f>AC22-AI21</f>
        <v>4.1804930749614132E-4</v>
      </c>
      <c r="AK22">
        <f>(AA22-AG21)*-1</f>
        <v>1.9968166978360366E-3</v>
      </c>
      <c r="AL22" s="25">
        <f>Y22-AE21</f>
        <v>4.1804930749614132E-4</v>
      </c>
      <c r="AM22">
        <f>AK22+AM20</f>
        <v>1.993613107733809E-2</v>
      </c>
      <c r="AN22">
        <f>AL22+AN20</f>
        <v>2.5620307823422308E-3</v>
      </c>
      <c r="AO22" s="6">
        <f>AJ22+AO20</f>
        <v>2.6229947471722963E-3</v>
      </c>
      <c r="AP22" s="19">
        <f>AO22*$D$4*1000/$D$6</f>
        <v>0.20491107857399166</v>
      </c>
      <c r="AQ22">
        <f>F22*100*T22/100</f>
        <v>1846.7436159346271</v>
      </c>
      <c r="AR22" s="6">
        <f>AQ22*$D$7</f>
        <v>9.6584691113380998</v>
      </c>
      <c r="AS22" s="6">
        <f t="shared" si="28"/>
        <v>9.4652997291113381E-4</v>
      </c>
      <c r="AT22" s="6">
        <f t="shared" si="12"/>
        <v>1842.945863125638</v>
      </c>
      <c r="AU22" s="6">
        <f t="shared" si="13"/>
        <v>9.6386068641470874</v>
      </c>
      <c r="AV22" s="6">
        <f t="shared" si="14"/>
        <v>9.4458347268641467E-4</v>
      </c>
      <c r="AW22" s="6">
        <f t="shared" si="29"/>
        <v>5.4344790817089392E-4</v>
      </c>
      <c r="AX22" s="52">
        <f t="shared" si="30"/>
        <v>9.4098076574656881E-4</v>
      </c>
      <c r="AY22" s="53">
        <f t="shared" si="15"/>
        <v>7.3510396402575964E-2</v>
      </c>
      <c r="AZ22" s="54">
        <f t="shared" ref="AZ22:AZ29" si="32">AY22+AP22</f>
        <v>0.27842147497656761</v>
      </c>
      <c r="BA22" s="23">
        <f t="shared" si="16"/>
        <v>2.0767784506279119</v>
      </c>
    </row>
    <row r="23" spans="1:60" s="7" customFormat="1" ht="14.4" x14ac:dyDescent="0.3">
      <c r="A23" t="s">
        <v>105</v>
      </c>
      <c r="B23">
        <v>2</v>
      </c>
      <c r="C23" s="2">
        <v>45054</v>
      </c>
      <c r="D23" s="11">
        <v>0.375</v>
      </c>
      <c r="E23">
        <v>1018.7</v>
      </c>
      <c r="F23">
        <v>1029.5</v>
      </c>
      <c r="G23">
        <v>1027.0999999999999</v>
      </c>
      <c r="H23">
        <v>0</v>
      </c>
      <c r="I23">
        <v>3.13</v>
      </c>
      <c r="J23">
        <v>12.18</v>
      </c>
      <c r="K23">
        <v>83.71</v>
      </c>
      <c r="L23">
        <v>0</v>
      </c>
      <c r="M23"/>
      <c r="N23" t="s">
        <v>99</v>
      </c>
      <c r="O23"/>
      <c r="P23" s="8">
        <f t="shared" si="4"/>
        <v>45054.375</v>
      </c>
      <c r="Q23" s="9">
        <f t="shared" si="5"/>
        <v>20.743750000001455</v>
      </c>
      <c r="R23">
        <f t="shared" si="17"/>
        <v>99.02</v>
      </c>
      <c r="S23">
        <f t="shared" si="18"/>
        <v>0</v>
      </c>
      <c r="T23">
        <f t="shared" si="19"/>
        <v>3.160977580286811</v>
      </c>
      <c r="U23">
        <f t="shared" si="20"/>
        <v>12.300545344374875</v>
      </c>
      <c r="V23">
        <f t="shared" si="21"/>
        <v>84.538477075338321</v>
      </c>
      <c r="W23">
        <f t="shared" si="22"/>
        <v>100</v>
      </c>
      <c r="X23" s="10">
        <f t="shared" si="23"/>
        <v>4.0590434706502879E-2</v>
      </c>
      <c r="Y23" s="10">
        <f t="shared" si="0"/>
        <v>1.2830545408135127E-3</v>
      </c>
      <c r="Z23" s="10">
        <f t="shared" si="6"/>
        <v>0</v>
      </c>
      <c r="AA23" s="10">
        <f t="shared" si="1"/>
        <v>4.9928448265522639E-3</v>
      </c>
      <c r="AB23" s="10">
        <f t="shared" si="2"/>
        <v>3.4314535339137107E-2</v>
      </c>
      <c r="AC23" s="10">
        <f t="shared" si="24"/>
        <v>1.2830545408135127E-3</v>
      </c>
      <c r="AD23" s="10">
        <f t="shared" si="7"/>
        <v>4.0495809118066148E-2</v>
      </c>
      <c r="AE23" s="10">
        <f t="shared" si="8"/>
        <v>1.2800634471778129E-3</v>
      </c>
      <c r="AF23" s="10">
        <f t="shared" si="9"/>
        <v>0</v>
      </c>
      <c r="AG23" s="10">
        <f t="shared" si="10"/>
        <v>4.9812053631392217E-3</v>
      </c>
      <c r="AH23" s="10">
        <f t="shared" si="11"/>
        <v>3.4234540307749112E-2</v>
      </c>
      <c r="AI23" s="10">
        <f t="shared" si="25"/>
        <v>1.2800634471778129E-3</v>
      </c>
      <c r="AJ23" s="22">
        <f t="shared" ref="AJ23:AJ31" si="33">AC23-AI22</f>
        <v>5.5643022099980896E-4</v>
      </c>
      <c r="AK23">
        <f t="shared" ref="AK23:AK31" si="34">(AA23-AG22)*-1</f>
        <v>2.234702401890552E-3</v>
      </c>
      <c r="AL23" s="25">
        <f t="shared" ref="AL23:AL31" si="35">Y23-AE22</f>
        <v>5.5643022099980896E-4</v>
      </c>
      <c r="AM23">
        <f>AK23+AM22</f>
        <v>2.2170833479228644E-2</v>
      </c>
      <c r="AN23">
        <f>AL23+AN22</f>
        <v>3.1184610033420396E-3</v>
      </c>
      <c r="AO23" s="6">
        <f>AJ23+AO22</f>
        <v>3.1794249681721051E-3</v>
      </c>
      <c r="AP23" s="19">
        <f t="shared" ref="AP23:AP31" si="36">AO23*$D$4*1000/$D$6</f>
        <v>0.24837998634025865</v>
      </c>
      <c r="AQ23" s="7">
        <f t="shared" si="26"/>
        <v>3254.2264189052721</v>
      </c>
      <c r="AR23" s="10">
        <f t="shared" si="27"/>
        <v>17.019604170874572</v>
      </c>
      <c r="AS23" s="6">
        <f t="shared" si="28"/>
        <v>1.6679212087457082E-3</v>
      </c>
      <c r="AT23" s="6">
        <f t="shared" si="12"/>
        <v>3246.6400727125833</v>
      </c>
      <c r="AU23" s="6">
        <f t="shared" si="13"/>
        <v>16.979927580286812</v>
      </c>
      <c r="AV23" s="6">
        <f t="shared" si="14"/>
        <v>1.6640329028681075E-3</v>
      </c>
      <c r="AW23" s="6">
        <f t="shared" si="29"/>
        <v>7.2333773605929349E-4</v>
      </c>
      <c r="AX23" s="52">
        <f t="shared" si="30"/>
        <v>1.6643185018058622E-3</v>
      </c>
      <c r="AY23" s="53">
        <f t="shared" si="15"/>
        <v>0.13001829289339686</v>
      </c>
      <c r="AZ23" s="54">
        <f>AY23+AP23</f>
        <v>0.37839827923365554</v>
      </c>
      <c r="BA23" s="23">
        <f t="shared" si="16"/>
        <v>1.7461778047841441</v>
      </c>
      <c r="BB23"/>
      <c r="BC23"/>
      <c r="BD23"/>
      <c r="BE23"/>
      <c r="BF23"/>
      <c r="BG23"/>
      <c r="BH23"/>
    </row>
    <row r="24" spans="1:60" ht="14.4" x14ac:dyDescent="0.3">
      <c r="A24" t="s">
        <v>105</v>
      </c>
      <c r="B24">
        <v>2</v>
      </c>
      <c r="C24" s="2">
        <v>45054</v>
      </c>
      <c r="D24" s="11">
        <v>0.41388888888888892</v>
      </c>
      <c r="E24">
        <v>1018.7</v>
      </c>
      <c r="F24">
        <v>1121.7</v>
      </c>
      <c r="G24">
        <v>1118.8</v>
      </c>
      <c r="H24">
        <v>0</v>
      </c>
      <c r="I24">
        <v>0.88</v>
      </c>
      <c r="J24">
        <v>20.170000000000002</v>
      </c>
      <c r="K24">
        <v>75.06</v>
      </c>
      <c r="L24">
        <v>1</v>
      </c>
      <c r="N24" t="s">
        <v>99</v>
      </c>
      <c r="O24">
        <v>847.48</v>
      </c>
      <c r="P24" s="3">
        <f t="shared" si="4"/>
        <v>45054.413888888892</v>
      </c>
      <c r="Q24" s="4">
        <f t="shared" si="5"/>
        <v>20.782638888893416</v>
      </c>
      <c r="R24">
        <f t="shared" si="17"/>
        <v>96.11</v>
      </c>
      <c r="S24">
        <f t="shared" si="18"/>
        <v>0</v>
      </c>
      <c r="T24">
        <f t="shared" si="19"/>
        <v>0.915617521589845</v>
      </c>
      <c r="U24">
        <f t="shared" si="20"/>
        <v>20.98636978462179</v>
      </c>
      <c r="V24">
        <f t="shared" si="21"/>
        <v>78.098012693788363</v>
      </c>
      <c r="W24">
        <f t="shared" si="22"/>
        <v>100</v>
      </c>
      <c r="X24" s="6">
        <f t="shared" si="23"/>
        <v>4.4225634395613674E-2</v>
      </c>
      <c r="Y24" s="6">
        <f t="shared" si="0"/>
        <v>4.0493765756050395E-4</v>
      </c>
      <c r="Z24" s="6">
        <f t="shared" si="6"/>
        <v>0</v>
      </c>
      <c r="AA24" s="6">
        <f t="shared" si="1"/>
        <v>9.2813551738583702E-3</v>
      </c>
      <c r="AB24" s="6">
        <f t="shared" si="2"/>
        <v>3.4539341564194796E-2</v>
      </c>
      <c r="AC24" s="6">
        <f t="shared" si="24"/>
        <v>4.0493765756050395E-4</v>
      </c>
      <c r="AD24" s="6">
        <f t="shared" si="7"/>
        <v>4.4111295142919296E-2</v>
      </c>
      <c r="AE24" s="6">
        <f t="shared" si="8"/>
        <v>4.0389074732877938E-4</v>
      </c>
      <c r="AF24" s="6">
        <f t="shared" si="9"/>
        <v>0</v>
      </c>
      <c r="AG24" s="6">
        <f t="shared" si="10"/>
        <v>9.2573595154789544E-3</v>
      </c>
      <c r="AH24" s="6">
        <f t="shared" si="11"/>
        <v>3.4450044880111566E-2</v>
      </c>
      <c r="AI24" s="6">
        <f t="shared" si="25"/>
        <v>4.0389074732877938E-4</v>
      </c>
      <c r="AJ24" s="22"/>
      <c r="AL24" s="25"/>
      <c r="AO24" s="6"/>
      <c r="AP24" s="19"/>
      <c r="AQ24">
        <f t="shared" si="26"/>
        <v>1027.0481739673291</v>
      </c>
      <c r="AR24" s="6">
        <f t="shared" si="27"/>
        <v>5.3714619498491318</v>
      </c>
      <c r="AS24" s="6">
        <f t="shared" si="28"/>
        <v>5.2640327108521487E-4</v>
      </c>
      <c r="AT24" s="6">
        <f t="shared" si="12"/>
        <v>1024.3928831547187</v>
      </c>
      <c r="AU24" s="6">
        <f t="shared" si="13"/>
        <v>5.3575747788991785</v>
      </c>
      <c r="AV24" s="6">
        <f t="shared" si="14"/>
        <v>5.250423283321195E-4</v>
      </c>
      <c r="AW24" s="6">
        <f t="shared" si="29"/>
        <v>-1.1376296317828927E-3</v>
      </c>
      <c r="AX24" s="52">
        <f t="shared" si="30"/>
        <v>5.2668887002296945E-4</v>
      </c>
      <c r="AY24" s="53">
        <f t="shared" si="15"/>
        <v>4.1145482485495176E-2</v>
      </c>
      <c r="AZ24" s="54"/>
      <c r="BA24" s="23">
        <f t="shared" si="16"/>
        <v>0</v>
      </c>
    </row>
    <row r="25" spans="1:60" s="7" customFormat="1" ht="14.4" x14ac:dyDescent="0.3">
      <c r="A25" t="s">
        <v>105</v>
      </c>
      <c r="B25">
        <v>2</v>
      </c>
      <c r="C25" s="2">
        <v>45056</v>
      </c>
      <c r="D25" s="11">
        <v>0.40625</v>
      </c>
      <c r="E25">
        <v>1007.6</v>
      </c>
      <c r="F25">
        <v>1093.5</v>
      </c>
      <c r="G25">
        <v>1090.3</v>
      </c>
      <c r="H25">
        <v>0</v>
      </c>
      <c r="I25">
        <v>1.52</v>
      </c>
      <c r="J25">
        <v>18.649999999999999</v>
      </c>
      <c r="K25">
        <v>80.22</v>
      </c>
      <c r="L25">
        <v>0</v>
      </c>
      <c r="M25"/>
      <c r="N25" t="s">
        <v>99</v>
      </c>
      <c r="O25"/>
      <c r="P25" s="8">
        <f t="shared" si="4"/>
        <v>45056.40625</v>
      </c>
      <c r="Q25" s="9">
        <f t="shared" si="5"/>
        <v>22.775000000001455</v>
      </c>
      <c r="R25">
        <f t="shared" si="17"/>
        <v>100.39</v>
      </c>
      <c r="S25">
        <f t="shared" si="18"/>
        <v>0</v>
      </c>
      <c r="T25">
        <f t="shared" si="19"/>
        <v>1.514095029385397</v>
      </c>
      <c r="U25">
        <f t="shared" si="20"/>
        <v>18.577547564498452</v>
      </c>
      <c r="V25">
        <f t="shared" si="21"/>
        <v>79.908357406116153</v>
      </c>
      <c r="W25">
        <f t="shared" si="22"/>
        <v>100</v>
      </c>
      <c r="X25" s="10">
        <f t="shared" si="23"/>
        <v>4.3113783731482169E-2</v>
      </c>
      <c r="Y25" s="10">
        <f t="shared" si="0"/>
        <v>6.5278365645834145E-4</v>
      </c>
      <c r="Z25" s="10">
        <f t="shared" si="6"/>
        <v>0</v>
      </c>
      <c r="AA25" s="10">
        <f t="shared" si="1"/>
        <v>8.0094836795710951E-3</v>
      </c>
      <c r="AB25" s="10">
        <f t="shared" si="2"/>
        <v>3.4451516395452735E-2</v>
      </c>
      <c r="AC25" s="10">
        <f>Y25+Z25</f>
        <v>6.5278365645834145E-4</v>
      </c>
      <c r="AD25" s="10">
        <f t="shared" si="7"/>
        <v>4.2987616280233211E-2</v>
      </c>
      <c r="AE25" s="10">
        <f t="shared" si="8"/>
        <v>6.5087336135027875E-4</v>
      </c>
      <c r="AF25" s="10">
        <f t="shared" si="9"/>
        <v>0</v>
      </c>
      <c r="AG25" s="10">
        <f t="shared" si="10"/>
        <v>7.9860448613044057E-3</v>
      </c>
      <c r="AH25" s="10">
        <f t="shared" si="11"/>
        <v>3.4350698057578531E-2</v>
      </c>
      <c r="AI25" s="10">
        <f t="shared" si="25"/>
        <v>6.5087336135027875E-4</v>
      </c>
      <c r="AJ25" s="22">
        <f>AC25-AI24</f>
        <v>2.4889290912956207E-4</v>
      </c>
      <c r="AK25">
        <f t="shared" si="34"/>
        <v>1.2478758359078593E-3</v>
      </c>
      <c r="AL25" s="25">
        <f t="shared" si="35"/>
        <v>2.4889290912956207E-4</v>
      </c>
      <c r="AM25">
        <f t="shared" ref="AM25:AN25" si="37">AK25+AM23</f>
        <v>2.3418709315136503E-2</v>
      </c>
      <c r="AN25">
        <f t="shared" si="37"/>
        <v>3.3673539124716018E-3</v>
      </c>
      <c r="AO25" s="6">
        <f>AJ25+AO23</f>
        <v>3.4283178773016672E-3</v>
      </c>
      <c r="AP25" s="19">
        <f>AO25*$D$4*1000/$D$6</f>
        <v>0.26782375934595692</v>
      </c>
      <c r="AQ25" s="7">
        <f t="shared" si="26"/>
        <v>1655.6629146329317</v>
      </c>
      <c r="AR25" s="10">
        <f>AQ25*$D$7</f>
        <v>8.6591170435302338</v>
      </c>
      <c r="AS25" s="6">
        <f t="shared" si="28"/>
        <v>8.4859347026596302E-4</v>
      </c>
      <c r="AT25" s="6">
        <f t="shared" si="12"/>
        <v>1650.8178105388984</v>
      </c>
      <c r="AU25" s="6">
        <f t="shared" si="13"/>
        <v>8.6337771491184387</v>
      </c>
      <c r="AV25" s="6">
        <f t="shared" si="14"/>
        <v>8.4611016061360701E-4</v>
      </c>
      <c r="AW25" s="6">
        <f t="shared" si="29"/>
        <v>3.2355114193384352E-4</v>
      </c>
      <c r="AX25" s="52">
        <f t="shared" si="30"/>
        <v>8.5024001195681297E-4</v>
      </c>
      <c r="AY25" s="53">
        <f t="shared" si="15"/>
        <v>6.6421634311183739E-2</v>
      </c>
      <c r="AZ25" s="54">
        <f>AY25+AP25</f>
        <v>0.33424539365714068</v>
      </c>
      <c r="BA25" s="23">
        <f t="shared" si="16"/>
        <v>2.1799088200667511</v>
      </c>
      <c r="BB25"/>
      <c r="BC25"/>
      <c r="BD25"/>
      <c r="BE25"/>
      <c r="BF25"/>
      <c r="BG25"/>
      <c r="BH25"/>
    </row>
    <row r="26" spans="1:60" ht="14.4" x14ac:dyDescent="0.3">
      <c r="A26" t="s">
        <v>105</v>
      </c>
      <c r="B26">
        <v>2</v>
      </c>
      <c r="C26" s="2">
        <v>45058</v>
      </c>
      <c r="D26" s="11">
        <v>0.38541666666666669</v>
      </c>
      <c r="E26">
        <v>1014.5</v>
      </c>
      <c r="F26">
        <v>1068.9000000000001</v>
      </c>
      <c r="G26">
        <v>1065.9000000000001</v>
      </c>
      <c r="H26">
        <v>0</v>
      </c>
      <c r="I26">
        <v>2.2400000000000002</v>
      </c>
      <c r="J26">
        <v>16.079999999999998</v>
      </c>
      <c r="K26">
        <v>80.78</v>
      </c>
      <c r="L26">
        <v>0</v>
      </c>
      <c r="N26" t="s">
        <v>99</v>
      </c>
      <c r="P26" s="3">
        <f t="shared" si="4"/>
        <v>45058.385416666664</v>
      </c>
      <c r="Q26" s="4">
        <f t="shared" si="5"/>
        <v>24.754166666665697</v>
      </c>
      <c r="R26">
        <f t="shared" si="17"/>
        <v>99.1</v>
      </c>
      <c r="S26">
        <f t="shared" si="18"/>
        <v>0</v>
      </c>
      <c r="T26">
        <f t="shared" si="19"/>
        <v>2.2603430877901114</v>
      </c>
      <c r="U26">
        <f t="shared" si="20"/>
        <v>16.22603430877901</v>
      </c>
      <c r="V26">
        <f t="shared" si="21"/>
        <v>81.513622603430889</v>
      </c>
      <c r="W26">
        <f t="shared" si="22"/>
        <v>100.00000000000001</v>
      </c>
      <c r="X26" s="6">
        <f t="shared" si="23"/>
        <v>4.2143871450005761E-2</v>
      </c>
      <c r="Y26" s="6">
        <f t="shared" si="0"/>
        <v>9.525960852473554E-4</v>
      </c>
      <c r="Z26" s="6">
        <f t="shared" si="6"/>
        <v>0</v>
      </c>
      <c r="AA26" s="6">
        <f t="shared" si="1"/>
        <v>6.8382790405256567E-3</v>
      </c>
      <c r="AB26" s="6">
        <f t="shared" si="2"/>
        <v>3.4352996324232749E-2</v>
      </c>
      <c r="AC26" s="6">
        <f t="shared" si="24"/>
        <v>9.525960852473554E-4</v>
      </c>
      <c r="AD26" s="6">
        <f t="shared" si="7"/>
        <v>4.2025589464459855E-2</v>
      </c>
      <c r="AE26" s="6">
        <f t="shared" si="8"/>
        <v>9.4992250656296764E-4</v>
      </c>
      <c r="AF26" s="6">
        <f t="shared" si="9"/>
        <v>0</v>
      </c>
      <c r="AG26" s="6">
        <f t="shared" si="10"/>
        <v>6.8190865649698732E-3</v>
      </c>
      <c r="AH26" s="6">
        <f t="shared" si="11"/>
        <v>3.4256580392927019E-2</v>
      </c>
      <c r="AI26" s="6">
        <f t="shared" si="25"/>
        <v>9.4992250656296764E-4</v>
      </c>
      <c r="AJ26" s="22">
        <f t="shared" si="33"/>
        <v>3.0172272389707665E-4</v>
      </c>
      <c r="AK26">
        <f t="shared" si="34"/>
        <v>1.147765820778749E-3</v>
      </c>
      <c r="AL26" s="25">
        <f t="shared" si="35"/>
        <v>3.0172272389707665E-4</v>
      </c>
      <c r="AM26">
        <f>AK26+AM25</f>
        <v>2.4566475135915252E-2</v>
      </c>
      <c r="AN26">
        <f>AL26+AN25</f>
        <v>3.6690766363686785E-3</v>
      </c>
      <c r="AO26" s="6">
        <f>AJ26+AO25</f>
        <v>3.730040601198744E-3</v>
      </c>
      <c r="AP26" s="19">
        <f t="shared" si="36"/>
        <v>0.2913946524446504</v>
      </c>
      <c r="AQ26">
        <f t="shared" si="26"/>
        <v>2416.0807265388503</v>
      </c>
      <c r="AR26" s="6">
        <f t="shared" si="27"/>
        <v>12.636102199798188</v>
      </c>
      <c r="AS26" s="6">
        <f t="shared" si="28"/>
        <v>1.2383380155802223E-3</v>
      </c>
      <c r="AT26" s="6">
        <f t="shared" si="12"/>
        <v>2409.29969727548</v>
      </c>
      <c r="AU26" s="6">
        <f t="shared" si="13"/>
        <v>12.600637416750761</v>
      </c>
      <c r="AV26" s="6">
        <f t="shared" si="14"/>
        <v>1.2348624668415747E-3</v>
      </c>
      <c r="AW26" s="6">
        <f t="shared" si="29"/>
        <v>3.9222785496661528E-4</v>
      </c>
      <c r="AX26" s="52">
        <f t="shared" si="30"/>
        <v>1.2424678669234281E-3</v>
      </c>
      <c r="AY26" s="53">
        <f t="shared" si="15"/>
        <v>9.7062882409227641E-2</v>
      </c>
      <c r="AZ26" s="54">
        <f t="shared" si="32"/>
        <v>0.38845753485387802</v>
      </c>
      <c r="BA26" s="23">
        <f t="shared" si="16"/>
        <v>1.6539590220648797</v>
      </c>
    </row>
    <row r="27" spans="1:60" s="7" customFormat="1" ht="14.4" x14ac:dyDescent="0.3">
      <c r="A27" t="s">
        <v>105</v>
      </c>
      <c r="B27">
        <v>2</v>
      </c>
      <c r="C27" s="2">
        <v>45058</v>
      </c>
      <c r="D27" s="11">
        <v>0.4458333333333333</v>
      </c>
      <c r="E27">
        <v>1015.1</v>
      </c>
      <c r="F27">
        <v>1117.5999999999999</v>
      </c>
      <c r="G27">
        <v>1114</v>
      </c>
      <c r="H27">
        <v>0</v>
      </c>
      <c r="I27">
        <v>0.55000000000000004</v>
      </c>
      <c r="J27">
        <v>20.21</v>
      </c>
      <c r="K27">
        <v>74.989999999999995</v>
      </c>
      <c r="L27">
        <v>1</v>
      </c>
      <c r="M27"/>
      <c r="N27" t="s">
        <v>99</v>
      </c>
      <c r="O27">
        <v>847.42</v>
      </c>
      <c r="P27" s="8">
        <f t="shared" si="4"/>
        <v>45058.445833333331</v>
      </c>
      <c r="Q27" s="9">
        <f t="shared" si="5"/>
        <v>24.814583333332848</v>
      </c>
      <c r="R27">
        <f t="shared" si="17"/>
        <v>95.75</v>
      </c>
      <c r="S27">
        <f t="shared" si="18"/>
        <v>0</v>
      </c>
      <c r="T27">
        <f t="shared" si="19"/>
        <v>0.57441253263707581</v>
      </c>
      <c r="U27">
        <f t="shared" si="20"/>
        <v>21.107049608355091</v>
      </c>
      <c r="V27">
        <f t="shared" si="21"/>
        <v>78.318537859007819</v>
      </c>
      <c r="W27">
        <f t="shared" si="22"/>
        <v>99.999999999999986</v>
      </c>
      <c r="X27" s="10">
        <f t="shared" si="23"/>
        <v>4.4063982348700931E-2</v>
      </c>
      <c r="Y27" s="10">
        <f t="shared" si="0"/>
        <v>2.5310903698992708E-4</v>
      </c>
      <c r="Z27" s="10">
        <f t="shared" si="6"/>
        <v>0</v>
      </c>
      <c r="AA27" s="10">
        <f t="shared" si="1"/>
        <v>9.3006066137571366E-3</v>
      </c>
      <c r="AB27" s="10">
        <f t="shared" si="2"/>
        <v>3.4510266697953859E-2</v>
      </c>
      <c r="AC27" s="10">
        <f t="shared" si="24"/>
        <v>2.5310903698992708E-4</v>
      </c>
      <c r="AD27" s="10">
        <f t="shared" si="7"/>
        <v>4.3922043966045848E-2</v>
      </c>
      <c r="AE27" s="10">
        <f t="shared" si="8"/>
        <v>2.5229372513133389E-4</v>
      </c>
      <c r="AF27" s="10">
        <f t="shared" si="9"/>
        <v>0</v>
      </c>
      <c r="AG27" s="10">
        <f t="shared" si="10"/>
        <v>9.2706476089168318E-3</v>
      </c>
      <c r="AH27" s="10">
        <f t="shared" si="11"/>
        <v>3.4399102631997677E-2</v>
      </c>
      <c r="AI27" s="10">
        <f t="shared" si="25"/>
        <v>2.5229372513133389E-4</v>
      </c>
      <c r="AJ27" s="22"/>
      <c r="AK27"/>
      <c r="AL27" s="25"/>
      <c r="AM27"/>
      <c r="AN27"/>
      <c r="AO27" s="6"/>
      <c r="AP27" s="19"/>
      <c r="AQ27" s="7">
        <f t="shared" si="26"/>
        <v>641.96344647519584</v>
      </c>
      <c r="AR27" s="10">
        <f t="shared" si="27"/>
        <v>3.3574688250652742</v>
      </c>
      <c r="AS27" s="6">
        <f t="shared" si="28"/>
        <v>3.2903194485639687E-4</v>
      </c>
      <c r="AT27" s="6">
        <f t="shared" si="12"/>
        <v>639.89556135770249</v>
      </c>
      <c r="AU27" s="6">
        <f t="shared" si="13"/>
        <v>3.3466537859007843</v>
      </c>
      <c r="AV27" s="6">
        <f t="shared" si="14"/>
        <v>3.2797207101827687E-4</v>
      </c>
      <c r="AW27" s="6">
        <f t="shared" si="29"/>
        <v>-9.0583052198517778E-4</v>
      </c>
      <c r="AX27" s="52">
        <f t="shared" si="30"/>
        <v>3.3663734493825036E-4</v>
      </c>
      <c r="AY27" s="53">
        <f t="shared" si="15"/>
        <v>2.6298459619084637E-2</v>
      </c>
      <c r="AZ27" s="54"/>
      <c r="BA27" s="23">
        <f t="shared" si="16"/>
        <v>0</v>
      </c>
      <c r="BB27"/>
      <c r="BC27"/>
      <c r="BD27"/>
      <c r="BE27"/>
      <c r="BF27"/>
      <c r="BG27"/>
      <c r="BH27"/>
    </row>
    <row r="28" spans="1:60" ht="15" customHeight="1" x14ac:dyDescent="0.3">
      <c r="A28" t="s">
        <v>105</v>
      </c>
      <c r="B28">
        <v>2</v>
      </c>
      <c r="C28" s="2">
        <v>45061</v>
      </c>
      <c r="D28" s="11">
        <v>0.40763888888888888</v>
      </c>
      <c r="E28">
        <v>1012.7</v>
      </c>
      <c r="F28">
        <v>1081.9000000000001</v>
      </c>
      <c r="G28">
        <v>1078.8</v>
      </c>
      <c r="H28">
        <v>0.03</v>
      </c>
      <c r="I28">
        <v>1.79</v>
      </c>
      <c r="J28">
        <v>17.899999999999999</v>
      </c>
      <c r="K28">
        <v>82.5</v>
      </c>
      <c r="L28">
        <v>0</v>
      </c>
      <c r="N28" t="s">
        <v>99</v>
      </c>
      <c r="P28" s="3">
        <f t="shared" si="4"/>
        <v>45061.407638888886</v>
      </c>
      <c r="Q28" s="4">
        <f t="shared" si="5"/>
        <v>27.776388888887595</v>
      </c>
      <c r="R28">
        <f t="shared" si="17"/>
        <v>102.22</v>
      </c>
      <c r="S28">
        <f t="shared" si="18"/>
        <v>2.9348464097045588E-2</v>
      </c>
      <c r="T28">
        <f t="shared" si="19"/>
        <v>1.7511250244570535</v>
      </c>
      <c r="U28">
        <f t="shared" si="20"/>
        <v>17.511250244570533</v>
      </c>
      <c r="V28">
        <f t="shared" si="21"/>
        <v>80.708276266875373</v>
      </c>
      <c r="W28">
        <f t="shared" si="22"/>
        <v>100</v>
      </c>
      <c r="X28" s="6">
        <f t="shared" si="23"/>
        <v>4.2656426720704681E-2</v>
      </c>
      <c r="Y28" s="6">
        <f t="shared" si="0"/>
        <v>7.4696736284544495E-4</v>
      </c>
      <c r="Z28" s="6">
        <f t="shared" si="6"/>
        <v>1.2519006081208574E-5</v>
      </c>
      <c r="AA28" s="6">
        <f t="shared" si="1"/>
        <v>7.4696736284544487E-3</v>
      </c>
      <c r="AB28" s="6">
        <f t="shared" si="2"/>
        <v>3.442726672332358E-2</v>
      </c>
      <c r="AC28" s="6">
        <f>Y28+Z28</f>
        <v>7.5948636892665352E-4</v>
      </c>
      <c r="AD28" s="6">
        <f t="shared" si="7"/>
        <v>4.2534202002307238E-2</v>
      </c>
      <c r="AE28" s="6">
        <f t="shared" si="8"/>
        <v>7.448270552155152E-4</v>
      </c>
      <c r="AF28" s="6">
        <f t="shared" si="9"/>
        <v>1.2483135003611984E-5</v>
      </c>
      <c r="AG28" s="6">
        <f t="shared" si="10"/>
        <v>7.4482705521551505E-3</v>
      </c>
      <c r="AH28" s="6">
        <f t="shared" si="11"/>
        <v>3.4328621259932961E-2</v>
      </c>
      <c r="AI28" s="6">
        <f>AE28+AF28</f>
        <v>7.573101902191272E-4</v>
      </c>
      <c r="AJ28" s="22">
        <f t="shared" si="33"/>
        <v>5.0719264379531963E-4</v>
      </c>
      <c r="AK28">
        <f t="shared" si="34"/>
        <v>1.8009739804623831E-3</v>
      </c>
      <c r="AL28" s="25">
        <f t="shared" si="35"/>
        <v>4.9467363771411106E-4</v>
      </c>
      <c r="AM28">
        <f t="shared" ref="AM28:AN28" si="38">AK28+AM26</f>
        <v>2.6367449116377634E-2</v>
      </c>
      <c r="AN28">
        <f t="shared" si="38"/>
        <v>4.1637502740827894E-3</v>
      </c>
      <c r="AO28" s="6">
        <f t="shared" ref="AO28:AO31" si="39">AJ28+AO26</f>
        <v>4.2372332449940632E-3</v>
      </c>
      <c r="AP28" s="19">
        <f t="shared" si="36"/>
        <v>0.3310170694536565</v>
      </c>
      <c r="AQ28">
        <f>F28*100*T28/100</f>
        <v>1894.5421639600866</v>
      </c>
      <c r="AR28" s="6">
        <f t="shared" si="27"/>
        <v>9.9084555175112534</v>
      </c>
      <c r="AS28" s="6">
        <f t="shared" si="28"/>
        <v>9.7102864071610287E-4</v>
      </c>
      <c r="AT28" s="6">
        <f t="shared" si="12"/>
        <v>1889.1136763842694</v>
      </c>
      <c r="AU28" s="6">
        <f t="shared" si="13"/>
        <v>9.8800645274897292</v>
      </c>
      <c r="AV28" s="6">
        <f t="shared" si="14"/>
        <v>9.6824632369399356E-4</v>
      </c>
      <c r="AW28" s="6">
        <f t="shared" si="29"/>
        <v>6.4305656969782595E-4</v>
      </c>
      <c r="AX28" s="52">
        <f t="shared" si="30"/>
        <v>9.7969391463607631E-4</v>
      </c>
      <c r="AY28" s="53">
        <f t="shared" si="15"/>
        <v>7.6534707870411098E-2</v>
      </c>
      <c r="AZ28" s="54">
        <f t="shared" si="32"/>
        <v>0.40755177732406761</v>
      </c>
      <c r="BA28" s="23">
        <f t="shared" si="16"/>
        <v>1.5829534706291806</v>
      </c>
    </row>
    <row r="29" spans="1:60" ht="15" customHeight="1" x14ac:dyDescent="0.3">
      <c r="A29" t="s">
        <v>105</v>
      </c>
      <c r="B29">
        <v>2</v>
      </c>
      <c r="C29" s="2">
        <v>45063</v>
      </c>
      <c r="D29" s="11">
        <v>0.3756944444444445</v>
      </c>
      <c r="E29">
        <v>1025.2</v>
      </c>
      <c r="F29">
        <v>1058.8</v>
      </c>
      <c r="G29">
        <v>1056.5999999999999</v>
      </c>
      <c r="H29">
        <v>0</v>
      </c>
      <c r="I29">
        <v>2.7</v>
      </c>
      <c r="J29">
        <v>15.41</v>
      </c>
      <c r="K29">
        <v>84.5</v>
      </c>
      <c r="L29">
        <v>0</v>
      </c>
      <c r="N29" t="s">
        <v>99</v>
      </c>
      <c r="P29" s="8">
        <f t="shared" si="4"/>
        <v>45063.375694444447</v>
      </c>
      <c r="Q29" s="9">
        <f t="shared" si="5"/>
        <v>29.744444444448163</v>
      </c>
      <c r="R29">
        <f t="shared" si="17"/>
        <v>102.61</v>
      </c>
      <c r="S29">
        <f t="shared" si="18"/>
        <v>0</v>
      </c>
      <c r="T29">
        <f t="shared" si="19"/>
        <v>2.6313224831887729</v>
      </c>
      <c r="U29">
        <f t="shared" si="20"/>
        <v>15.018029431829257</v>
      </c>
      <c r="V29">
        <f t="shared" si="21"/>
        <v>82.35064808498197</v>
      </c>
      <c r="W29">
        <f t="shared" si="22"/>
        <v>100</v>
      </c>
      <c r="X29" s="6">
        <f t="shared" si="23"/>
        <v>4.1745655432001205E-2</v>
      </c>
      <c r="Y29" s="6">
        <f t="shared" si="0"/>
        <v>1.0984628171367631E-3</v>
      </c>
      <c r="Z29" s="6">
        <f t="shared" si="6"/>
        <v>0</v>
      </c>
      <c r="AA29" s="6">
        <f t="shared" si="1"/>
        <v>6.2693748192879694E-3</v>
      </c>
      <c r="AB29" s="6">
        <f t="shared" si="2"/>
        <v>3.4377817795576471E-2</v>
      </c>
      <c r="AC29" s="6">
        <f t="shared" ref="AC29:AC32" si="40">Y29+Z29</f>
        <v>1.0984628171367631E-3</v>
      </c>
      <c r="AD29" s="6">
        <f t="shared" si="7"/>
        <v>4.165891530926754E-2</v>
      </c>
      <c r="AE29" s="6">
        <f t="shared" si="8"/>
        <v>1.0961804047853266E-3</v>
      </c>
      <c r="AF29" s="6">
        <f t="shared" si="9"/>
        <v>0</v>
      </c>
      <c r="AG29" s="6">
        <f t="shared" si="10"/>
        <v>6.2563481621266239E-3</v>
      </c>
      <c r="AH29" s="6">
        <f t="shared" si="11"/>
        <v>3.4306386742355588E-2</v>
      </c>
      <c r="AI29" s="6">
        <f t="shared" ref="AI29:AI32" si="41">AE29+AF29</f>
        <v>1.0961804047853266E-3</v>
      </c>
      <c r="AJ29" s="22">
        <f t="shared" si="33"/>
        <v>3.4115262691763592E-4</v>
      </c>
      <c r="AK29">
        <f t="shared" si="34"/>
        <v>1.1788957328671811E-3</v>
      </c>
      <c r="AL29" s="25">
        <f t="shared" si="35"/>
        <v>3.5363576192124792E-4</v>
      </c>
      <c r="AM29">
        <f>AK29+AM28</f>
        <v>2.7546344849244814E-2</v>
      </c>
      <c r="AN29">
        <f>AL29+AN28</f>
        <v>4.5173860360040374E-3</v>
      </c>
      <c r="AO29" s="6">
        <f>AJ29+AO28</f>
        <v>4.578385871911699E-3</v>
      </c>
      <c r="AP29" s="19">
        <f t="shared" si="36"/>
        <v>0.35766826759860321</v>
      </c>
      <c r="AQ29">
        <f t="shared" ref="AQ29:AQ32" si="42">F29*100*T29/100</f>
        <v>2786.0442452002731</v>
      </c>
      <c r="AR29" s="6">
        <f t="shared" si="27"/>
        <v>14.57101140239743</v>
      </c>
      <c r="AS29" s="6">
        <f t="shared" si="28"/>
        <v>1.4279591174349482E-3</v>
      </c>
      <c r="AT29" s="6">
        <f t="shared" si="12"/>
        <v>2780.2553357372572</v>
      </c>
      <c r="AU29" s="6">
        <f t="shared" si="13"/>
        <v>14.540735405905856</v>
      </c>
      <c r="AV29" s="6">
        <f t="shared" si="14"/>
        <v>1.4249920697787738E-3</v>
      </c>
      <c r="AW29" s="6">
        <f t="shared" si="29"/>
        <v>4.5971279374095462E-4</v>
      </c>
      <c r="AX29" s="52">
        <f t="shared" si="30"/>
        <v>1.4394067083770309E-3</v>
      </c>
      <c r="AY29" s="53">
        <f t="shared" si="15"/>
        <v>0.11244794959583733</v>
      </c>
      <c r="AZ29" s="54">
        <f t="shared" si="32"/>
        <v>0.47011621719444052</v>
      </c>
      <c r="BA29" s="23">
        <f t="shared" si="16"/>
        <v>1.449434839049246</v>
      </c>
    </row>
    <row r="30" spans="1:60" ht="15" customHeight="1" x14ac:dyDescent="0.3">
      <c r="A30" t="s">
        <v>105</v>
      </c>
      <c r="B30">
        <v>2</v>
      </c>
      <c r="C30" s="2">
        <v>45063</v>
      </c>
      <c r="D30" s="11">
        <v>0.4201388888888889</v>
      </c>
      <c r="E30">
        <v>1025.7</v>
      </c>
      <c r="F30">
        <v>1129.3</v>
      </c>
      <c r="G30">
        <v>1125.8</v>
      </c>
      <c r="H30">
        <v>0</v>
      </c>
      <c r="I30">
        <v>0.57999999999999996</v>
      </c>
      <c r="J30">
        <v>20.57</v>
      </c>
      <c r="K30">
        <v>76.38</v>
      </c>
      <c r="L30">
        <v>1</v>
      </c>
      <c r="N30" t="s">
        <v>99</v>
      </c>
      <c r="O30">
        <v>847.33</v>
      </c>
      <c r="P30" s="3">
        <f t="shared" si="4"/>
        <v>45063.420138888891</v>
      </c>
      <c r="Q30" s="4">
        <f t="shared" si="5"/>
        <v>29.788888888891961</v>
      </c>
      <c r="R30">
        <f t="shared" si="17"/>
        <v>97.53</v>
      </c>
      <c r="S30">
        <f t="shared" si="18"/>
        <v>0</v>
      </c>
      <c r="T30">
        <f t="shared" si="19"/>
        <v>0.59468881369834914</v>
      </c>
      <c r="U30">
        <f t="shared" si="20"/>
        <v>21.090946375474214</v>
      </c>
      <c r="V30">
        <f t="shared" si="21"/>
        <v>78.314364810827442</v>
      </c>
      <c r="W30">
        <f t="shared" si="22"/>
        <v>100</v>
      </c>
      <c r="X30" s="10">
        <f t="shared" si="23"/>
        <v>4.4525282092329962E-2</v>
      </c>
      <c r="Y30" s="10">
        <f t="shared" si="0"/>
        <v>2.6478687187072051E-4</v>
      </c>
      <c r="Z30" s="10">
        <f t="shared" si="6"/>
        <v>0</v>
      </c>
      <c r="AA30" s="10">
        <f t="shared" si="1"/>
        <v>9.3908033696219351E-3</v>
      </c>
      <c r="AB30" s="10">
        <f t="shared" si="2"/>
        <v>3.4869691850837305E-2</v>
      </c>
      <c r="AC30" s="10">
        <f t="shared" si="40"/>
        <v>2.6478687187072051E-4</v>
      </c>
      <c r="AD30" s="10">
        <f t="shared" si="7"/>
        <v>4.4387286442526409E-2</v>
      </c>
      <c r="AE30" s="10">
        <f t="shared" si="8"/>
        <v>2.6396622717794846E-4</v>
      </c>
      <c r="AF30" s="10">
        <f t="shared" si="9"/>
        <v>0</v>
      </c>
      <c r="AG30" s="10">
        <f t="shared" si="10"/>
        <v>9.361698781121381E-3</v>
      </c>
      <c r="AH30" s="10">
        <f t="shared" si="11"/>
        <v>3.4761621434227084E-2</v>
      </c>
      <c r="AI30" s="10">
        <f t="shared" si="41"/>
        <v>2.6396622717794846E-4</v>
      </c>
      <c r="AJ30" s="22"/>
      <c r="AL30" s="25"/>
      <c r="AO30" s="6"/>
      <c r="AP30" s="19"/>
      <c r="AQ30" s="7">
        <f t="shared" si="42"/>
        <v>671.58207730954575</v>
      </c>
      <c r="AR30" s="10">
        <f t="shared" si="27"/>
        <v>3.5123742643289244</v>
      </c>
      <c r="AS30" s="6">
        <f t="shared" si="28"/>
        <v>3.4421267790423458E-4</v>
      </c>
      <c r="AT30" s="6">
        <f t="shared" si="12"/>
        <v>669.50066646160155</v>
      </c>
      <c r="AU30" s="6">
        <f t="shared" si="13"/>
        <v>3.5014884855941761</v>
      </c>
      <c r="AV30" s="6">
        <f t="shared" si="14"/>
        <v>3.4314587158822927E-4</v>
      </c>
      <c r="AW30" s="6">
        <f t="shared" si="29"/>
        <v>-1.0807793918745394E-3</v>
      </c>
      <c r="AX30" s="52">
        <f t="shared" si="30"/>
        <v>3.5862731650249157E-4</v>
      </c>
      <c r="AY30" s="53">
        <f t="shared" si="15"/>
        <v>2.8016339075723935E-2</v>
      </c>
      <c r="AZ30" s="54"/>
      <c r="BA30" s="23">
        <f t="shared" si="16"/>
        <v>0</v>
      </c>
    </row>
    <row r="31" spans="1:60" ht="15" customHeight="1" x14ac:dyDescent="0.3">
      <c r="A31" t="s">
        <v>105</v>
      </c>
      <c r="B31">
        <v>2</v>
      </c>
      <c r="C31" s="2">
        <v>45068</v>
      </c>
      <c r="D31" s="11">
        <v>0.59583333333333333</v>
      </c>
      <c r="E31">
        <v>1013.3</v>
      </c>
      <c r="F31">
        <v>1070.5</v>
      </c>
      <c r="G31">
        <v>1068.3</v>
      </c>
      <c r="H31">
        <v>0.17</v>
      </c>
      <c r="I31">
        <v>3.48</v>
      </c>
      <c r="J31">
        <v>14.43</v>
      </c>
      <c r="K31">
        <v>85.31</v>
      </c>
      <c r="L31">
        <v>0</v>
      </c>
      <c r="N31" t="s">
        <v>99</v>
      </c>
      <c r="P31" s="8">
        <f t="shared" si="4"/>
        <v>45068.595833333333</v>
      </c>
      <c r="Q31" s="9">
        <f t="shared" si="5"/>
        <v>34.964583333334303</v>
      </c>
      <c r="R31">
        <f t="shared" ref="R31:R32" si="43">SUM(H31:K31)</f>
        <v>103.39</v>
      </c>
      <c r="S31">
        <f t="shared" si="18"/>
        <v>0.16442595995744269</v>
      </c>
      <c r="T31">
        <f t="shared" si="19"/>
        <v>3.365896121481768</v>
      </c>
      <c r="U31">
        <f t="shared" si="20"/>
        <v>13.956862365799401</v>
      </c>
      <c r="V31">
        <f t="shared" si="21"/>
        <v>82.512815552761396</v>
      </c>
      <c r="W31">
        <f t="shared" si="22"/>
        <v>100</v>
      </c>
      <c r="X31" s="6">
        <f t="shared" si="23"/>
        <v>4.2206955175630237E-2</v>
      </c>
      <c r="Y31" s="6">
        <f t="shared" si="0"/>
        <v>1.4206422672520865E-3</v>
      </c>
      <c r="Z31" s="6">
        <f t="shared" si="6"/>
        <v>6.9399191216337568E-5</v>
      </c>
      <c r="AA31" s="6">
        <f t="shared" si="1"/>
        <v>5.8907666426573592E-3</v>
      </c>
      <c r="AB31" s="6">
        <f t="shared" si="2"/>
        <v>3.482614707450446E-2</v>
      </c>
      <c r="AC31" s="6">
        <f t="shared" si="40"/>
        <v>1.4900414584684241E-3</v>
      </c>
      <c r="AD31" s="6">
        <f t="shared" si="7"/>
        <v>4.2120215052896572E-2</v>
      </c>
      <c r="AE31" s="6">
        <f t="shared" si="8"/>
        <v>1.4177226848252256E-3</v>
      </c>
      <c r="AF31" s="6">
        <f t="shared" si="9"/>
        <v>6.9256567936864464E-5</v>
      </c>
      <c r="AG31" s="6">
        <f t="shared" si="10"/>
        <v>5.8786604431114954E-3</v>
      </c>
      <c r="AH31" s="6">
        <f t="shared" si="11"/>
        <v>3.475457535702299E-2</v>
      </c>
      <c r="AI31" s="6">
        <f t="shared" si="41"/>
        <v>1.4869792527620899E-3</v>
      </c>
      <c r="AJ31" s="22">
        <f t="shared" si="33"/>
        <v>1.2260752312904756E-3</v>
      </c>
      <c r="AK31">
        <f t="shared" si="34"/>
        <v>3.4709321384640219E-3</v>
      </c>
      <c r="AL31" s="25">
        <f t="shared" si="35"/>
        <v>1.1566760400741382E-3</v>
      </c>
      <c r="AM31">
        <f t="shared" ref="AM31:AN31" si="44">AK31+AM29</f>
        <v>3.1017276987708835E-2</v>
      </c>
      <c r="AN31">
        <f t="shared" si="44"/>
        <v>5.6740620760781756E-3</v>
      </c>
      <c r="AO31" s="6">
        <f t="shared" si="39"/>
        <v>5.8044611032021746E-3</v>
      </c>
      <c r="AP31" s="19">
        <f t="shared" si="36"/>
        <v>0.45345054025752934</v>
      </c>
      <c r="AQ31">
        <f t="shared" si="42"/>
        <v>3603.1917980462326</v>
      </c>
      <c r="AR31" s="6">
        <f t="shared" si="27"/>
        <v>18.844693103781797</v>
      </c>
      <c r="AS31" s="6">
        <f t="shared" si="28"/>
        <v>1.8467799241706161E-3</v>
      </c>
      <c r="AT31" s="6">
        <f t="shared" si="12"/>
        <v>3595.786826578973</v>
      </c>
      <c r="AU31" s="6">
        <f t="shared" si="13"/>
        <v>18.805965103008031</v>
      </c>
      <c r="AV31" s="6">
        <f t="shared" si="14"/>
        <v>1.8429845800947871E-3</v>
      </c>
      <c r="AW31" s="6">
        <f t="shared" si="29"/>
        <v>1.5036340525823868E-3</v>
      </c>
      <c r="AX31" s="52">
        <f t="shared" si="30"/>
        <v>1.8622613690848784E-3</v>
      </c>
      <c r="AY31" s="53">
        <f t="shared" si="15"/>
        <v>0.14548179562206145</v>
      </c>
      <c r="AZ31" s="54">
        <f>AY31+AP31</f>
        <v>0.59893233587959083</v>
      </c>
      <c r="BA31" s="23">
        <f t="shared" si="16"/>
        <v>1.3047096081186642</v>
      </c>
    </row>
    <row r="32" spans="1:60" ht="15" customHeight="1" x14ac:dyDescent="0.3">
      <c r="A32" t="s">
        <v>105</v>
      </c>
      <c r="B32">
        <v>2</v>
      </c>
      <c r="C32" s="2">
        <v>45068</v>
      </c>
      <c r="D32" s="11">
        <v>0.63541666666666663</v>
      </c>
      <c r="E32">
        <v>1013.6</v>
      </c>
      <c r="F32">
        <v>1112.5</v>
      </c>
      <c r="G32">
        <v>1109.5</v>
      </c>
      <c r="H32">
        <v>0</v>
      </c>
      <c r="I32">
        <v>0.75</v>
      </c>
      <c r="J32">
        <v>20.28</v>
      </c>
      <c r="K32">
        <v>75.56</v>
      </c>
      <c r="L32">
        <v>1</v>
      </c>
      <c r="N32" t="s">
        <v>99</v>
      </c>
      <c r="O32">
        <v>847.25</v>
      </c>
      <c r="P32" s="3">
        <f t="shared" si="4"/>
        <v>45068.635416666664</v>
      </c>
      <c r="Q32" s="4">
        <f t="shared" si="5"/>
        <v>35.004166666665697</v>
      </c>
      <c r="R32">
        <f t="shared" si="43"/>
        <v>96.59</v>
      </c>
      <c r="S32">
        <f t="shared" si="18"/>
        <v>0</v>
      </c>
      <c r="T32">
        <f t="shared" si="19"/>
        <v>0.77647789626255304</v>
      </c>
      <c r="U32">
        <f t="shared" si="20"/>
        <v>20.995962314939433</v>
      </c>
      <c r="V32">
        <f t="shared" si="21"/>
        <v>78.227559788798004</v>
      </c>
      <c r="W32">
        <f t="shared" si="22"/>
        <v>99.999999999999986</v>
      </c>
      <c r="X32" s="10">
        <f t="shared" si="23"/>
        <v>4.3862902973272902E-2</v>
      </c>
      <c r="Y32" s="10">
        <f t="shared" si="0"/>
        <v>3.4058574624655426E-4</v>
      </c>
      <c r="Z32" s="10">
        <f t="shared" si="6"/>
        <v>0</v>
      </c>
      <c r="AA32" s="10">
        <f t="shared" si="1"/>
        <v>9.2094385785068261E-3</v>
      </c>
      <c r="AB32" s="10">
        <f t="shared" si="2"/>
        <v>3.4312878648519514E-2</v>
      </c>
      <c r="AC32" s="10">
        <f t="shared" si="40"/>
        <v>3.4058574624655426E-4</v>
      </c>
      <c r="AD32" s="10">
        <f t="shared" si="7"/>
        <v>4.3744620987726995E-2</v>
      </c>
      <c r="AE32" s="10">
        <f t="shared" si="8"/>
        <v>3.3966731277352983E-4</v>
      </c>
      <c r="AF32" s="10">
        <f t="shared" si="9"/>
        <v>0</v>
      </c>
      <c r="AG32" s="10">
        <f t="shared" si="10"/>
        <v>9.1846041373962461E-3</v>
      </c>
      <c r="AH32" s="10">
        <f t="shared" si="11"/>
        <v>3.4220349537557218E-2</v>
      </c>
      <c r="AI32" s="10">
        <f t="shared" si="41"/>
        <v>3.3966731277352983E-4</v>
      </c>
      <c r="AJ32" s="22"/>
      <c r="AL32" s="25"/>
      <c r="AP32" s="19"/>
      <c r="AQ32" s="7">
        <f t="shared" si="42"/>
        <v>863.83165959209032</v>
      </c>
      <c r="AR32" s="10">
        <f t="shared" si="27"/>
        <v>4.5178395796666324</v>
      </c>
      <c r="AS32" s="6">
        <f t="shared" si="28"/>
        <v>4.4274827880732995E-4</v>
      </c>
      <c r="AT32" s="6">
        <f t="shared" si="12"/>
        <v>861.50222590330259</v>
      </c>
      <c r="AU32" s="6">
        <f t="shared" si="13"/>
        <v>4.5056566414742729</v>
      </c>
      <c r="AV32" s="6">
        <f t="shared" si="14"/>
        <v>4.4155435086447873E-4</v>
      </c>
      <c r="AW32" s="6">
        <f t="shared" si="29"/>
        <v>-1.4002363012874572E-3</v>
      </c>
      <c r="AX32" s="52">
        <f t="shared" si="30"/>
        <v>4.6202506779742113E-4</v>
      </c>
      <c r="AY32" s="53">
        <f t="shared" si="15"/>
        <v>3.6093878980373098E-2</v>
      </c>
      <c r="AZ32" s="54"/>
      <c r="BA32" s="23">
        <f t="shared" si="16"/>
        <v>0</v>
      </c>
    </row>
  </sheetData>
  <mergeCells count="12">
    <mergeCell ref="A9:O9"/>
    <mergeCell ref="P10:Q10"/>
    <mergeCell ref="R10:W10"/>
    <mergeCell ref="X10:AC10"/>
    <mergeCell ref="AD10:AI10"/>
    <mergeCell ref="AJ10:AL10"/>
    <mergeCell ref="AM10:AP10"/>
    <mergeCell ref="AZ10:BA10"/>
    <mergeCell ref="X9:AP9"/>
    <mergeCell ref="AQ9:AY9"/>
    <mergeCell ref="AQ10:AS10"/>
    <mergeCell ref="AT10:AV10"/>
  </mergeCells>
  <conditionalFormatting sqref="P13:BA32">
    <cfRule type="expression" dxfId="25" priority="1">
      <formula>$L13=0</formula>
    </cfRule>
    <cfRule type="expression" dxfId="24" priority="2">
      <formula>$L13=1</formula>
    </cfRule>
  </conditionalFormatting>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3031-CB83-45A4-A426-D1C46DE22EAA}">
  <dimension ref="A1:BD35"/>
  <sheetViews>
    <sheetView topLeftCell="AL1" zoomScale="115" zoomScaleNormal="115" workbookViewId="0">
      <selection activeCell="AP29" sqref="AP29"/>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117</v>
      </c>
      <c r="B13">
        <v>1</v>
      </c>
      <c r="C13" s="2">
        <v>45033</v>
      </c>
      <c r="D13" s="11">
        <v>0.63263888888888886</v>
      </c>
      <c r="E13">
        <v>1025.3</v>
      </c>
      <c r="F13">
        <f>SUM(F14:F35)/(34-14)</f>
        <v>1194.0250000000001</v>
      </c>
      <c r="M13" t="s">
        <v>4</v>
      </c>
      <c r="O13">
        <v>862.5</v>
      </c>
      <c r="P13" s="3">
        <f>C13+D13</f>
        <v>45033.632638888892</v>
      </c>
      <c r="Q13" s="4">
        <f>P13-$P$13</f>
        <v>0</v>
      </c>
      <c r="S13">
        <v>0</v>
      </c>
      <c r="T13">
        <v>0.03</v>
      </c>
      <c r="U13">
        <v>21.9</v>
      </c>
      <c r="V13">
        <v>78.069999999999993</v>
      </c>
      <c r="W13">
        <f>SUM(S13:V13)</f>
        <v>100</v>
      </c>
      <c r="X13" s="6">
        <f>F13*100*$D$3/($D$1*$D$2)</f>
        <v>4.7077215930482856E-2</v>
      </c>
      <c r="Y13" s="6">
        <f t="shared" ref="Y13:Y33" si="0">X13*T13/100</f>
        <v>1.4123164779144856E-5</v>
      </c>
      <c r="Z13" s="6">
        <f>X13*S13/100</f>
        <v>0</v>
      </c>
      <c r="AA13" s="6">
        <f t="shared" ref="AA13:AA33" si="1">X13*U13/100</f>
        <v>1.0309910288775745E-2</v>
      </c>
      <c r="AB13" s="6">
        <f t="shared" ref="AB13:AB33" si="2">X13*V13/100</f>
        <v>3.6753182476927965E-2</v>
      </c>
      <c r="AC13" s="6">
        <f>Y13+Z13</f>
        <v>1.4123164779144856E-5</v>
      </c>
      <c r="AD13" s="6">
        <f>X13</f>
        <v>4.7077215930482856E-2</v>
      </c>
      <c r="AE13" s="6">
        <f>Y13</f>
        <v>1.4123164779144856E-5</v>
      </c>
      <c r="AF13" s="6">
        <f t="shared" ref="AF13:AI13" si="3">Z13</f>
        <v>0</v>
      </c>
      <c r="AG13" s="6">
        <f t="shared" si="3"/>
        <v>1.0309910288775745E-2</v>
      </c>
      <c r="AH13" s="6">
        <f t="shared" si="3"/>
        <v>3.6753182476927965E-2</v>
      </c>
      <c r="AI13" s="6">
        <f t="shared" si="3"/>
        <v>1.4123164779144856E-5</v>
      </c>
      <c r="AJ13" s="22">
        <f>AC13-AI13</f>
        <v>0</v>
      </c>
      <c r="AK13" s="6">
        <f>AA13-AG13</f>
        <v>0</v>
      </c>
      <c r="AL13" s="23">
        <f>Y13-AE13</f>
        <v>0</v>
      </c>
      <c r="AM13" s="6">
        <f>AK13</f>
        <v>0</v>
      </c>
      <c r="AN13" s="6">
        <f>AL13</f>
        <v>0</v>
      </c>
      <c r="AO13" s="6">
        <f>AJ13</f>
        <v>0</v>
      </c>
      <c r="AP13" s="19">
        <f>AO13*$D$4*1000/$D$6</f>
        <v>0</v>
      </c>
      <c r="AQ13">
        <f>F13*100*T13/100</f>
        <v>35.820750000000004</v>
      </c>
      <c r="AR13" s="6">
        <f>AQ13*$D$7</f>
        <v>0.18734252250000002</v>
      </c>
      <c r="AS13" s="6">
        <f>AR13*$D$5/1000</f>
        <v>1.8359567205000004E-5</v>
      </c>
      <c r="AT13" s="6">
        <f>G13*100*T13/100</f>
        <v>0</v>
      </c>
      <c r="AU13" s="6">
        <f>AT13*$D$7</f>
        <v>0</v>
      </c>
      <c r="AV13" s="6">
        <f>AU13*$D$5/1000</f>
        <v>0</v>
      </c>
      <c r="AW13" s="6">
        <f>AS13-AV13</f>
        <v>1.8359567205000004E-5</v>
      </c>
      <c r="AX13" s="52">
        <f>AW13</f>
        <v>1.8359567205000004E-5</v>
      </c>
      <c r="AY13" s="53">
        <f>(AX13*$D$4*1000/$D$6)</f>
        <v>1.4342684910764395E-3</v>
      </c>
      <c r="AZ13" s="54">
        <f>AP13</f>
        <v>0</v>
      </c>
      <c r="BA13" s="23">
        <v>0</v>
      </c>
    </row>
    <row r="14" spans="1:56" ht="14.4" x14ac:dyDescent="0.3">
      <c r="A14" t="s">
        <v>117</v>
      </c>
      <c r="B14">
        <v>1</v>
      </c>
      <c r="C14" s="2">
        <v>45035</v>
      </c>
      <c r="D14" s="11">
        <v>0.64444444444444449</v>
      </c>
      <c r="E14">
        <v>1022.7</v>
      </c>
      <c r="F14">
        <v>982.5</v>
      </c>
      <c r="G14">
        <v>980.5</v>
      </c>
      <c r="H14">
        <v>0.33</v>
      </c>
      <c r="I14">
        <v>3.79</v>
      </c>
      <c r="J14">
        <v>3.39</v>
      </c>
      <c r="K14">
        <v>91.87</v>
      </c>
      <c r="L14">
        <v>0</v>
      </c>
      <c r="N14" t="s">
        <v>99</v>
      </c>
      <c r="P14" s="3">
        <f t="shared" ref="P14:P33" si="4">C14+D14</f>
        <v>45035.644444444442</v>
      </c>
      <c r="Q14" s="4">
        <f t="shared" ref="Q14:Q33" si="5">P14-$P$13</f>
        <v>2.0118055555503815</v>
      </c>
      <c r="R14">
        <f>SUM(H14:K14)</f>
        <v>99.38000000000001</v>
      </c>
      <c r="S14">
        <f>H14 * 100/R14</f>
        <v>0.33205876433890114</v>
      </c>
      <c r="T14">
        <f>I14* 100/R14</f>
        <v>3.813644596498289</v>
      </c>
      <c r="U14">
        <f>J14* 100/R14</f>
        <v>3.4111491245723484</v>
      </c>
      <c r="V14">
        <f>K14* 100/R14</f>
        <v>92.44314751459045</v>
      </c>
      <c r="W14">
        <f>SUM(S14:V14)</f>
        <v>99.999999999999986</v>
      </c>
      <c r="X14" s="6">
        <f>F14*100*$D$3/($D$1*$D$2)</f>
        <v>3.8737350266283707E-2</v>
      </c>
      <c r="Y14" s="6">
        <f t="shared" si="0"/>
        <v>1.4773048652567441E-3</v>
      </c>
      <c r="Z14" s="6">
        <f t="shared" ref="Z14:Z33" si="6">X14*S14/100</f>
        <v>1.286307666318537E-4</v>
      </c>
      <c r="AA14" s="6">
        <f t="shared" si="1"/>
        <v>1.3213887844908609E-3</v>
      </c>
      <c r="AB14" s="6">
        <f t="shared" si="2"/>
        <v>3.5810025849904246E-2</v>
      </c>
      <c r="AC14" s="6">
        <f>Y14+Z14</f>
        <v>1.6059356318885978E-3</v>
      </c>
      <c r="AD14" s="6">
        <f t="shared" ref="AD14:AD33" si="7">G14*100*$D$3/($D$1*$D$2)</f>
        <v>3.8658495609253107E-2</v>
      </c>
      <c r="AE14" s="6">
        <f t="shared" ref="AE14:AE33" si="8">AD14*T14/100</f>
        <v>1.4742976288898094E-3</v>
      </c>
      <c r="AF14" s="6">
        <f t="shared" ref="AF14:AF33" si="9">AD14*S14/100</f>
        <v>1.2836892283209423E-4</v>
      </c>
      <c r="AG14" s="6">
        <f t="shared" ref="AG14:AG33" si="10">AD14*U14/100</f>
        <v>1.3186989345478773E-3</v>
      </c>
      <c r="AH14" s="6">
        <f t="shared" ref="AH14:AH33" si="11">AD14*V14/100</f>
        <v>3.5737130122983324E-2</v>
      </c>
      <c r="AI14" s="6">
        <f>AE14+AF14</f>
        <v>1.6026665517219036E-3</v>
      </c>
      <c r="AJ14" s="22">
        <f>AC14-AI13</f>
        <v>1.5918124671094531E-3</v>
      </c>
      <c r="AK14">
        <f>(AA14-AG13)*-1</f>
        <v>8.988521504284884E-3</v>
      </c>
      <c r="AL14" s="25">
        <f>Y14-AE13</f>
        <v>1.4631817004775993E-3</v>
      </c>
      <c r="AM14" s="6">
        <f>AK14+AM13</f>
        <v>8.988521504284884E-3</v>
      </c>
      <c r="AN14" s="6">
        <f>AL14+AN13</f>
        <v>1.4631817004775993E-3</v>
      </c>
      <c r="AO14" s="6">
        <f>AJ14+AO13</f>
        <v>1.5918124671094531E-3</v>
      </c>
      <c r="AP14" s="19">
        <f>AO14*$D$4*1000/$D$6</f>
        <v>0.12435404602870861</v>
      </c>
      <c r="AQ14">
        <f>F14*100*T14/100</f>
        <v>3746.9058160595687</v>
      </c>
      <c r="AR14" s="6">
        <f>AQ14*$D$7</f>
        <v>19.596317417991546</v>
      </c>
      <c r="AS14" s="6">
        <f>AR14*$D$5/1000</f>
        <v>1.9204391069631717E-3</v>
      </c>
      <c r="AT14" s="6">
        <f t="shared" ref="AT14:AT33" si="12">G14*100*T14/100</f>
        <v>3739.2785268665721</v>
      </c>
      <c r="AU14" s="6">
        <f t="shared" ref="AU14:AU33" si="13">AT14*$D$7</f>
        <v>19.556426695512172</v>
      </c>
      <c r="AV14" s="6">
        <f t="shared" ref="AV14:AV33" si="14">AU14*$D$5/1000</f>
        <v>1.916529816160193E-3</v>
      </c>
      <c r="AW14" s="6">
        <f>AS14-AV13</f>
        <v>1.9204391069631717E-3</v>
      </c>
      <c r="AX14" s="52">
        <f>AW14+AX13</f>
        <v>1.9387986741681718E-3</v>
      </c>
      <c r="AY14" s="53">
        <f t="shared" ref="AY14:AY33" si="15">(AX14*$D$4*1000/$D$6)</f>
        <v>0.15146096952344715</v>
      </c>
      <c r="AZ14" s="54">
        <f>AY14+AP14</f>
        <v>0.27581501555215576</v>
      </c>
      <c r="BA14" s="23">
        <f t="shared" ref="BA14:BA33" si="16">AK14/(AL14+AW14)</f>
        <v>2.6564801482833489</v>
      </c>
    </row>
    <row r="15" spans="1:56" ht="14.4" x14ac:dyDescent="0.3">
      <c r="A15" t="s">
        <v>117</v>
      </c>
      <c r="B15">
        <v>1</v>
      </c>
      <c r="C15" s="2">
        <v>45035</v>
      </c>
      <c r="D15" s="11">
        <v>0.73055555555555562</v>
      </c>
      <c r="E15">
        <v>1021.4</v>
      </c>
      <c r="F15">
        <v>1132.3</v>
      </c>
      <c r="G15">
        <v>1125.5999999999999</v>
      </c>
      <c r="H15">
        <v>0</v>
      </c>
      <c r="I15">
        <v>0.91</v>
      </c>
      <c r="J15">
        <v>20.420000000000002</v>
      </c>
      <c r="K15">
        <v>76.099999999999994</v>
      </c>
      <c r="L15">
        <v>1</v>
      </c>
      <c r="M15" t="s">
        <v>118</v>
      </c>
      <c r="N15" t="s">
        <v>99</v>
      </c>
      <c r="O15">
        <v>862.49</v>
      </c>
      <c r="P15" s="3">
        <f t="shared" si="4"/>
        <v>45035.730555555558</v>
      </c>
      <c r="Q15" s="4">
        <f t="shared" si="5"/>
        <v>2.0979166666656965</v>
      </c>
      <c r="R15">
        <f t="shared" ref="R15:R31" si="17">SUM(H15:K15)</f>
        <v>97.429999999999993</v>
      </c>
      <c r="S15">
        <f t="shared" ref="S15:S33" si="18">H15 * 100/R15</f>
        <v>0</v>
      </c>
      <c r="T15">
        <f t="shared" ref="T15:T33" si="19">I15* 100/R15</f>
        <v>0.93400390023606694</v>
      </c>
      <c r="U15">
        <f t="shared" ref="U15:U33" si="20">J15* 100/R15</f>
        <v>20.958636970132407</v>
      </c>
      <c r="V15">
        <f t="shared" ref="V15:V33" si="21">K15* 100/R15</f>
        <v>78.107359129631533</v>
      </c>
      <c r="W15">
        <f t="shared" ref="W15:W33" si="22">SUM(S15:V15)</f>
        <v>100</v>
      </c>
      <c r="X15" s="6">
        <f t="shared" ref="X15:X33" si="23">F15*100*$D$3/($D$1*$D$2)</f>
        <v>4.4643564077875869E-2</v>
      </c>
      <c r="Y15" s="6">
        <f t="shared" si="0"/>
        <v>4.1697262969174839E-4</v>
      </c>
      <c r="Z15" s="6">
        <f t="shared" si="6"/>
        <v>0</v>
      </c>
      <c r="AA15" s="6">
        <f t="shared" si="1"/>
        <v>9.3566825256104422E-3</v>
      </c>
      <c r="AB15" s="6">
        <f t="shared" si="2"/>
        <v>3.4869908922573682E-2</v>
      </c>
      <c r="AC15" s="6">
        <f t="shared" ref="AC15:AC28" si="24">Y15+Z15</f>
        <v>4.1697262969174839E-4</v>
      </c>
      <c r="AD15" s="6">
        <f t="shared" si="7"/>
        <v>4.4379400976823344E-2</v>
      </c>
      <c r="AE15" s="6">
        <f t="shared" si="8"/>
        <v>4.1450533602493326E-4</v>
      </c>
      <c r="AF15" s="6">
        <f t="shared" si="9"/>
        <v>0</v>
      </c>
      <c r="AG15" s="6">
        <f t="shared" si="10"/>
        <v>9.3013175402517998E-3</v>
      </c>
      <c r="AH15" s="6">
        <f t="shared" si="11"/>
        <v>3.4663578100546613E-2</v>
      </c>
      <c r="AI15" s="6">
        <f t="shared" ref="AI15:AI28" si="25">AE15+AF15</f>
        <v>4.1450533602493326E-4</v>
      </c>
      <c r="AJ15" s="22"/>
      <c r="AL15" s="25"/>
      <c r="AM15" s="6"/>
      <c r="AN15" s="6"/>
      <c r="AO15" s="6"/>
      <c r="AP15" s="19"/>
      <c r="AQ15">
        <f t="shared" ref="AQ15:AQ28" si="26">F15*100*T15/100</f>
        <v>1057.5726162372987</v>
      </c>
      <c r="AR15" s="6">
        <f t="shared" ref="AR15:AR33" si="27">AQ15*$D$7</f>
        <v>5.531104782921072</v>
      </c>
      <c r="AS15" s="6">
        <f t="shared" ref="AS15:AS33" si="28">AR15*$D$5/1000</f>
        <v>5.4204826872626514E-4</v>
      </c>
      <c r="AT15" s="6">
        <f t="shared" si="12"/>
        <v>1051.3147901057168</v>
      </c>
      <c r="AU15" s="6">
        <f t="shared" si="13"/>
        <v>5.4983763522528992</v>
      </c>
      <c r="AV15" s="6">
        <f t="shared" si="14"/>
        <v>5.3884088252078406E-4</v>
      </c>
      <c r="AW15" s="6">
        <f t="shared" ref="AW15:AW33" si="29">AS15-AV14</f>
        <v>-1.3744815474339279E-3</v>
      </c>
      <c r="AX15" s="52">
        <f t="shared" ref="AX15:AX33" si="30">AW15+AX14</f>
        <v>5.6431712673424392E-4</v>
      </c>
      <c r="AY15" s="53">
        <f t="shared" si="15"/>
        <v>4.4085041047660999E-2</v>
      </c>
      <c r="AZ15" s="54"/>
      <c r="BA15" s="23">
        <f t="shared" si="16"/>
        <v>0</v>
      </c>
    </row>
    <row r="16" spans="1:56" s="7" customFormat="1" ht="14.4" x14ac:dyDescent="0.3">
      <c r="A16" t="s">
        <v>117</v>
      </c>
      <c r="B16">
        <v>1</v>
      </c>
      <c r="C16" s="2">
        <v>45040</v>
      </c>
      <c r="D16" s="11">
        <v>0.44513888888888892</v>
      </c>
      <c r="E16">
        <v>1002.9</v>
      </c>
      <c r="F16">
        <v>995.8</v>
      </c>
      <c r="G16">
        <v>992.2</v>
      </c>
      <c r="H16">
        <v>0.04</v>
      </c>
      <c r="I16">
        <v>6.63</v>
      </c>
      <c r="J16">
        <v>4.9800000000000004</v>
      </c>
      <c r="K16">
        <v>88.14</v>
      </c>
      <c r="L16">
        <v>0</v>
      </c>
      <c r="M16"/>
      <c r="N16" t="s">
        <v>99</v>
      </c>
      <c r="O16"/>
      <c r="P16" s="8">
        <f t="shared" si="4"/>
        <v>45040.445138888892</v>
      </c>
      <c r="Q16" s="9">
        <f t="shared" si="5"/>
        <v>6.8125</v>
      </c>
      <c r="R16">
        <f t="shared" si="17"/>
        <v>99.79</v>
      </c>
      <c r="S16">
        <f t="shared" si="18"/>
        <v>4.008417677121956E-2</v>
      </c>
      <c r="T16">
        <f t="shared" si="19"/>
        <v>6.6439522998296416</v>
      </c>
      <c r="U16">
        <f t="shared" si="20"/>
        <v>4.9904800080168359</v>
      </c>
      <c r="V16">
        <f t="shared" si="21"/>
        <v>88.325483515382302</v>
      </c>
      <c r="W16">
        <f t="shared" si="22"/>
        <v>100</v>
      </c>
      <c r="X16" s="10">
        <f t="shared" si="23"/>
        <v>3.9261733735537215E-2</v>
      </c>
      <c r="Y16" s="10">
        <f t="shared" si="0"/>
        <v>2.6085308614752149E-3</v>
      </c>
      <c r="Z16" s="10">
        <f t="shared" si="6"/>
        <v>1.5737742753998282E-5</v>
      </c>
      <c r="AA16" s="10">
        <f t="shared" si="1"/>
        <v>1.9593489728727863E-3</v>
      </c>
      <c r="AB16" s="10">
        <f t="shared" si="2"/>
        <v>3.4678116158435211E-2</v>
      </c>
      <c r="AC16" s="10">
        <f t="shared" si="24"/>
        <v>2.624268604229213E-3</v>
      </c>
      <c r="AD16" s="10">
        <f t="shared" si="7"/>
        <v>3.9119795352882132E-2</v>
      </c>
      <c r="AE16" s="10">
        <f t="shared" si="8"/>
        <v>2.5991005430364617E-3</v>
      </c>
      <c r="AF16" s="10">
        <f t="shared" si="9"/>
        <v>1.5680847921788608E-5</v>
      </c>
      <c r="AG16" s="10">
        <f t="shared" si="10"/>
        <v>1.952265566262682E-3</v>
      </c>
      <c r="AH16" s="10">
        <f t="shared" si="11"/>
        <v>3.4552748395661199E-2</v>
      </c>
      <c r="AI16" s="10">
        <f t="shared" si="25"/>
        <v>2.6147813909582502E-3</v>
      </c>
      <c r="AJ16" s="22">
        <f t="shared" ref="AJ16:AJ34" si="31">AC16-AI15</f>
        <v>2.20976326820428E-3</v>
      </c>
      <c r="AK16">
        <f t="shared" ref="AK16:AK34" si="32">(AA16-AG15)*-1</f>
        <v>7.3419685673790135E-3</v>
      </c>
      <c r="AL16" s="25">
        <f t="shared" ref="AL16:AL34" si="33">Y16-AE15</f>
        <v>2.1940255254502819E-3</v>
      </c>
      <c r="AM16">
        <f>AK16+AM14</f>
        <v>1.6330490071663897E-2</v>
      </c>
      <c r="AN16" s="6">
        <f>AL16+AN14</f>
        <v>3.6572072259278814E-3</v>
      </c>
      <c r="AO16">
        <f>AJ16+AO14</f>
        <v>3.8015757353137333E-3</v>
      </c>
      <c r="AP16" s="19">
        <f t="shared" ref="AP16:AP34" si="34">AO16*$D$4*1000/$D$6</f>
        <v>0.29698305154580756</v>
      </c>
      <c r="AQ16" s="7">
        <f t="shared" si="26"/>
        <v>6616.0477001703575</v>
      </c>
      <c r="AR16" s="10">
        <f t="shared" si="27"/>
        <v>34.601929471890969</v>
      </c>
      <c r="AS16" s="6">
        <f t="shared" si="28"/>
        <v>3.3909890882453152E-3</v>
      </c>
      <c r="AT16" s="6">
        <f t="shared" si="12"/>
        <v>6592.1294718909703</v>
      </c>
      <c r="AU16" s="6">
        <f t="shared" si="13"/>
        <v>34.476837137989776</v>
      </c>
      <c r="AV16" s="6">
        <f t="shared" si="14"/>
        <v>3.3787300395229981E-3</v>
      </c>
      <c r="AW16" s="6">
        <f t="shared" si="29"/>
        <v>2.8521482057245313E-3</v>
      </c>
      <c r="AX16" s="52">
        <f t="shared" si="30"/>
        <v>3.4164653324587754E-3</v>
      </c>
      <c r="AY16" s="53">
        <f t="shared" si="15"/>
        <v>0.26689782621161806</v>
      </c>
      <c r="AZ16" s="54">
        <f t="shared" ref="AZ16:AZ34" si="35">AY16+AP16</f>
        <v>0.56388087775742557</v>
      </c>
      <c r="BA16" s="23">
        <f t="shared" si="16"/>
        <v>1.4549575497214819</v>
      </c>
      <c r="BB16"/>
      <c r="BC16"/>
      <c r="BD16"/>
    </row>
    <row r="17" spans="1:56" ht="14.4" x14ac:dyDescent="0.3">
      <c r="A17" t="s">
        <v>117</v>
      </c>
      <c r="B17">
        <v>1</v>
      </c>
      <c r="C17" s="2">
        <v>45040</v>
      </c>
      <c r="D17" s="11">
        <v>0.48819444444444443</v>
      </c>
      <c r="E17">
        <v>1003.6</v>
      </c>
      <c r="F17">
        <v>1103.5999999999999</v>
      </c>
      <c r="G17">
        <v>1100.8</v>
      </c>
      <c r="H17">
        <v>0</v>
      </c>
      <c r="I17">
        <v>1.23</v>
      </c>
      <c r="J17">
        <v>20.309999999999999</v>
      </c>
      <c r="K17">
        <v>75.790000000000006</v>
      </c>
      <c r="L17">
        <v>1</v>
      </c>
      <c r="N17" t="s">
        <v>99</v>
      </c>
      <c r="O17">
        <v>862.41</v>
      </c>
      <c r="P17" s="3">
        <f t="shared" si="4"/>
        <v>45040.488194444442</v>
      </c>
      <c r="Q17" s="4">
        <f t="shared" si="5"/>
        <v>6.8555555555503815</v>
      </c>
      <c r="R17">
        <f t="shared" si="17"/>
        <v>97.330000000000013</v>
      </c>
      <c r="S17">
        <f t="shared" si="18"/>
        <v>0</v>
      </c>
      <c r="T17">
        <f t="shared" si="19"/>
        <v>1.263741908969485</v>
      </c>
      <c r="U17">
        <f t="shared" si="20"/>
        <v>20.867152984691252</v>
      </c>
      <c r="V17">
        <f t="shared" si="21"/>
        <v>77.869105106339262</v>
      </c>
      <c r="W17">
        <f t="shared" si="22"/>
        <v>100</v>
      </c>
      <c r="X17" s="6">
        <f t="shared" si="23"/>
        <v>4.3511999749486711E-2</v>
      </c>
      <c r="Y17" s="6">
        <f t="shared" si="0"/>
        <v>5.4987937626496089E-4</v>
      </c>
      <c r="Z17" s="6">
        <f t="shared" si="6"/>
        <v>0</v>
      </c>
      <c r="AA17" s="6">
        <f t="shared" si="1"/>
        <v>9.0797155544238665E-3</v>
      </c>
      <c r="AB17" s="6">
        <f t="shared" si="2"/>
        <v>3.3882404818797882E-2</v>
      </c>
      <c r="AC17" s="6">
        <f t="shared" si="24"/>
        <v>5.4987937626496089E-4</v>
      </c>
      <c r="AD17" s="6">
        <f t="shared" si="7"/>
        <v>4.340160322964387E-2</v>
      </c>
      <c r="AE17" s="6">
        <f t="shared" si="8"/>
        <v>5.4848424917766311E-4</v>
      </c>
      <c r="AF17" s="6">
        <f t="shared" si="9"/>
        <v>0</v>
      </c>
      <c r="AG17" s="6">
        <f t="shared" si="10"/>
        <v>9.0566789437384852E-3</v>
      </c>
      <c r="AH17" s="6">
        <f t="shared" si="11"/>
        <v>3.3796440036727722E-2</v>
      </c>
      <c r="AI17" s="6">
        <f t="shared" si="25"/>
        <v>5.4848424917766311E-4</v>
      </c>
      <c r="AJ17" s="22"/>
      <c r="AL17" s="25"/>
      <c r="AM17" s="6"/>
      <c r="AN17" s="6"/>
      <c r="AO17" s="6"/>
      <c r="AP17" s="19"/>
      <c r="AQ17">
        <f t="shared" si="26"/>
        <v>1394.6655707387235</v>
      </c>
      <c r="AR17" s="6">
        <f t="shared" si="27"/>
        <v>7.2941009349635246</v>
      </c>
      <c r="AS17" s="6">
        <f t="shared" si="28"/>
        <v>7.1482189162642539E-4</v>
      </c>
      <c r="AT17" s="6">
        <f t="shared" si="12"/>
        <v>1391.1270933936091</v>
      </c>
      <c r="AU17" s="6">
        <f t="shared" si="13"/>
        <v>7.2755946984485762</v>
      </c>
      <c r="AV17" s="6">
        <f t="shared" si="14"/>
        <v>7.1300828044796054E-4</v>
      </c>
      <c r="AW17" s="6">
        <f t="shared" si="29"/>
        <v>-2.6639081478965726E-3</v>
      </c>
      <c r="AX17" s="52">
        <f t="shared" si="30"/>
        <v>7.5255718456220281E-4</v>
      </c>
      <c r="AY17" s="53">
        <f t="shared" si="15"/>
        <v>5.8790550207349725E-2</v>
      </c>
      <c r="AZ17" s="54"/>
      <c r="BA17" s="23">
        <f t="shared" si="16"/>
        <v>0</v>
      </c>
    </row>
    <row r="18" spans="1:56" s="7" customFormat="1" ht="14.4" x14ac:dyDescent="0.3">
      <c r="A18" t="s">
        <v>117</v>
      </c>
      <c r="B18">
        <v>1</v>
      </c>
      <c r="C18" s="2">
        <v>45042</v>
      </c>
      <c r="D18" s="11">
        <v>0.37777777777777777</v>
      </c>
      <c r="E18">
        <v>1017.1</v>
      </c>
      <c r="F18">
        <v>1059.5999999999999</v>
      </c>
      <c r="G18">
        <v>1055.5999999999999</v>
      </c>
      <c r="H18">
        <v>0</v>
      </c>
      <c r="I18">
        <v>3.27</v>
      </c>
      <c r="J18">
        <v>15.78</v>
      </c>
      <c r="K18">
        <v>80.540000000000006</v>
      </c>
      <c r="L18">
        <v>0</v>
      </c>
      <c r="M18"/>
      <c r="N18" t="s">
        <v>99</v>
      </c>
      <c r="O18"/>
      <c r="P18" s="8">
        <f t="shared" si="4"/>
        <v>45042.37777777778</v>
      </c>
      <c r="Q18" s="9">
        <f t="shared" si="5"/>
        <v>8.7451388888875954</v>
      </c>
      <c r="R18">
        <f t="shared" si="17"/>
        <v>99.59</v>
      </c>
      <c r="S18">
        <f t="shared" si="18"/>
        <v>0</v>
      </c>
      <c r="T18">
        <f t="shared" si="19"/>
        <v>3.283462194999498</v>
      </c>
      <c r="U18">
        <f t="shared" si="20"/>
        <v>15.844964353850788</v>
      </c>
      <c r="V18">
        <f t="shared" si="21"/>
        <v>80.871573451149715</v>
      </c>
      <c r="W18">
        <f t="shared" si="22"/>
        <v>100</v>
      </c>
      <c r="X18" s="10">
        <f t="shared" si="23"/>
        <v>4.1777197294813447E-2</v>
      </c>
      <c r="Y18" s="10">
        <f t="shared" si="0"/>
        <v>1.3717384793055527E-3</v>
      </c>
      <c r="Z18" s="10">
        <f t="shared" si="6"/>
        <v>0</v>
      </c>
      <c r="AA18" s="10">
        <f t="shared" si="1"/>
        <v>6.6195820194011054E-3</v>
      </c>
      <c r="AB18" s="10">
        <f t="shared" si="2"/>
        <v>3.3785876796106791E-2</v>
      </c>
      <c r="AC18" s="10">
        <f t="shared" si="24"/>
        <v>1.3717384793055527E-3</v>
      </c>
      <c r="AD18" s="10">
        <f t="shared" si="7"/>
        <v>4.161948798075224E-2</v>
      </c>
      <c r="AE18" s="10">
        <f t="shared" si="8"/>
        <v>1.3665601536003596E-3</v>
      </c>
      <c r="AF18" s="10">
        <f t="shared" si="9"/>
        <v>0</v>
      </c>
      <c r="AG18" s="10">
        <f t="shared" si="10"/>
        <v>6.5945930348054052E-3</v>
      </c>
      <c r="AH18" s="10">
        <f t="shared" si="11"/>
        <v>3.3658334792346471E-2</v>
      </c>
      <c r="AI18" s="10">
        <f t="shared" si="25"/>
        <v>1.3665601536003596E-3</v>
      </c>
      <c r="AJ18" s="22">
        <f t="shared" si="31"/>
        <v>8.2325423012788955E-4</v>
      </c>
      <c r="AK18">
        <f t="shared" si="32"/>
        <v>2.4370969243373798E-3</v>
      </c>
      <c r="AL18" s="25">
        <f t="shared" si="33"/>
        <v>8.2325423012788955E-4</v>
      </c>
      <c r="AM18">
        <f>AK18+AM16</f>
        <v>1.8767586996001277E-2</v>
      </c>
      <c r="AN18" s="6">
        <f>AL18+AN16</f>
        <v>4.4804614560557711E-3</v>
      </c>
      <c r="AO18">
        <f>AJ18+AO16</f>
        <v>4.6248299654416229E-3</v>
      </c>
      <c r="AP18" s="19">
        <f t="shared" si="34"/>
        <v>0.36129652850490801</v>
      </c>
      <c r="AQ18" s="7">
        <f t="shared" si="26"/>
        <v>3479.1565418214677</v>
      </c>
      <c r="AR18" s="10">
        <f t="shared" si="27"/>
        <v>18.195988713726276</v>
      </c>
      <c r="AS18" s="6">
        <f t="shared" si="28"/>
        <v>1.7832068939451751E-3</v>
      </c>
      <c r="AT18" s="6">
        <f t="shared" si="12"/>
        <v>3466.0226930414692</v>
      </c>
      <c r="AU18" s="6">
        <f t="shared" si="13"/>
        <v>18.127298684606885</v>
      </c>
      <c r="AV18" s="6">
        <f t="shared" si="14"/>
        <v>1.7764752710914748E-3</v>
      </c>
      <c r="AW18" s="6">
        <f t="shared" si="29"/>
        <v>1.0701986134972145E-3</v>
      </c>
      <c r="AX18" s="52">
        <f t="shared" si="30"/>
        <v>1.8227557980594173E-3</v>
      </c>
      <c r="AY18" s="53">
        <f t="shared" si="15"/>
        <v>0.14239557931254138</v>
      </c>
      <c r="AZ18" s="54">
        <f t="shared" si="35"/>
        <v>0.50369210781744944</v>
      </c>
      <c r="BA18" s="23">
        <f t="shared" si="16"/>
        <v>1.2871178347760928</v>
      </c>
      <c r="BB18"/>
      <c r="BC18"/>
      <c r="BD18"/>
    </row>
    <row r="19" spans="1:56" ht="14.4" x14ac:dyDescent="0.3">
      <c r="A19" t="s">
        <v>117</v>
      </c>
      <c r="B19">
        <v>1</v>
      </c>
      <c r="C19" s="2">
        <v>45042</v>
      </c>
      <c r="D19" s="11">
        <v>0.42222222222222222</v>
      </c>
      <c r="E19">
        <v>1017.3</v>
      </c>
      <c r="F19">
        <v>1123.8</v>
      </c>
      <c r="G19">
        <v>1120.0999999999999</v>
      </c>
      <c r="H19">
        <v>0</v>
      </c>
      <c r="I19">
        <v>0.83</v>
      </c>
      <c r="J19">
        <v>20.53</v>
      </c>
      <c r="K19">
        <v>76.31</v>
      </c>
      <c r="L19">
        <v>1</v>
      </c>
      <c r="N19" t="s">
        <v>99</v>
      </c>
      <c r="O19">
        <v>862.27</v>
      </c>
      <c r="P19" s="3">
        <f t="shared" si="4"/>
        <v>45042.422222222223</v>
      </c>
      <c r="Q19" s="4">
        <f t="shared" si="5"/>
        <v>8.7895833333313931</v>
      </c>
      <c r="R19">
        <f t="shared" si="17"/>
        <v>97.67</v>
      </c>
      <c r="S19">
        <f t="shared" si="18"/>
        <v>0</v>
      </c>
      <c r="T19">
        <f t="shared" si="19"/>
        <v>0.84980034811098593</v>
      </c>
      <c r="U19">
        <f t="shared" si="20"/>
        <v>21.019760417733181</v>
      </c>
      <c r="V19">
        <f t="shared" si="21"/>
        <v>78.13043923415583</v>
      </c>
      <c r="W19">
        <f t="shared" si="22"/>
        <v>100</v>
      </c>
      <c r="X19" s="6">
        <f t="shared" si="23"/>
        <v>4.4308431785495803E-2</v>
      </c>
      <c r="Y19" s="6">
        <f t="shared" si="0"/>
        <v>3.7653320755566202E-4</v>
      </c>
      <c r="Z19" s="6">
        <f t="shared" si="6"/>
        <v>0</v>
      </c>
      <c r="AA19" s="6">
        <f t="shared" si="1"/>
        <v>9.3135262061659549E-3</v>
      </c>
      <c r="AB19" s="6">
        <f t="shared" si="2"/>
        <v>3.4618372371774189E-2</v>
      </c>
      <c r="AC19" s="6">
        <f t="shared" si="24"/>
        <v>3.7653320755566202E-4</v>
      </c>
      <c r="AD19" s="6">
        <f t="shared" si="7"/>
        <v>4.4162550669989184E-2</v>
      </c>
      <c r="AE19" s="6">
        <f t="shared" si="8"/>
        <v>3.7529350932825862E-4</v>
      </c>
      <c r="AF19" s="6">
        <f t="shared" si="9"/>
        <v>0</v>
      </c>
      <c r="AG19" s="6">
        <f t="shared" si="10"/>
        <v>9.2828623451917461E-3</v>
      </c>
      <c r="AH19" s="6">
        <f t="shared" si="11"/>
        <v>3.4504394815469179E-2</v>
      </c>
      <c r="AI19" s="6">
        <f t="shared" si="25"/>
        <v>3.7529350932825862E-4</v>
      </c>
      <c r="AJ19" s="22"/>
      <c r="AL19" s="25"/>
      <c r="AM19" s="6"/>
      <c r="AN19" s="6"/>
      <c r="AO19" s="6"/>
      <c r="AP19" s="19"/>
      <c r="AQ19">
        <f t="shared" si="26"/>
        <v>955.00563120712604</v>
      </c>
      <c r="AR19" s="6">
        <f t="shared" si="27"/>
        <v>4.9946794512132691</v>
      </c>
      <c r="AS19" s="6">
        <f t="shared" si="28"/>
        <v>4.8947858621890036E-4</v>
      </c>
      <c r="AT19" s="6">
        <f t="shared" si="12"/>
        <v>951.86136991911519</v>
      </c>
      <c r="AU19" s="6">
        <f t="shared" si="13"/>
        <v>4.9782349646769726</v>
      </c>
      <c r="AV19" s="6">
        <f t="shared" si="14"/>
        <v>4.8786702653834336E-4</v>
      </c>
      <c r="AW19" s="6">
        <f t="shared" si="29"/>
        <v>-1.2869966848725743E-3</v>
      </c>
      <c r="AX19" s="52">
        <f t="shared" si="30"/>
        <v>5.3575911318684295E-4</v>
      </c>
      <c r="AY19" s="53">
        <f t="shared" si="15"/>
        <v>4.185405931800365E-2</v>
      </c>
      <c r="AZ19" s="54"/>
      <c r="BA19" s="23">
        <f t="shared" si="16"/>
        <v>0</v>
      </c>
    </row>
    <row r="20" spans="1:56" ht="14.4" x14ac:dyDescent="0.3">
      <c r="A20" t="s">
        <v>117</v>
      </c>
      <c r="B20">
        <v>1</v>
      </c>
      <c r="C20" s="2">
        <v>45044</v>
      </c>
      <c r="D20" s="11">
        <v>0.41388888888888892</v>
      </c>
      <c r="E20">
        <v>1006.9</v>
      </c>
      <c r="F20">
        <v>1084.9000000000001</v>
      </c>
      <c r="G20">
        <v>1081.3</v>
      </c>
      <c r="H20">
        <v>0</v>
      </c>
      <c r="I20">
        <v>2.44</v>
      </c>
      <c r="J20">
        <v>16.37</v>
      </c>
      <c r="K20">
        <v>81.86</v>
      </c>
      <c r="L20">
        <v>0</v>
      </c>
      <c r="N20" t="s">
        <v>99</v>
      </c>
      <c r="P20" s="3">
        <f t="shared" si="4"/>
        <v>45044.413888888892</v>
      </c>
      <c r="Q20" s="4">
        <f t="shared" si="5"/>
        <v>10.78125</v>
      </c>
      <c r="R20">
        <f t="shared" si="17"/>
        <v>100.67</v>
      </c>
      <c r="S20">
        <f t="shared" si="18"/>
        <v>0</v>
      </c>
      <c r="T20">
        <f t="shared" si="19"/>
        <v>2.4237608026224295</v>
      </c>
      <c r="U20">
        <f t="shared" si="20"/>
        <v>16.261050958577531</v>
      </c>
      <c r="V20">
        <f t="shared" si="21"/>
        <v>81.315188238800033</v>
      </c>
      <c r="W20">
        <f t="shared" si="22"/>
        <v>100</v>
      </c>
      <c r="X20" s="6">
        <f t="shared" si="23"/>
        <v>4.2774708706250587E-2</v>
      </c>
      <c r="Y20" s="6">
        <f t="shared" si="0"/>
        <v>1.0367566230580255E-3</v>
      </c>
      <c r="Z20" s="6">
        <f t="shared" si="6"/>
        <v>0</v>
      </c>
      <c r="AA20" s="6">
        <f t="shared" si="1"/>
        <v>6.9556171801065077E-3</v>
      </c>
      <c r="AB20" s="6">
        <f t="shared" si="2"/>
        <v>3.4782334903086048E-2</v>
      </c>
      <c r="AC20" s="6">
        <f t="shared" si="24"/>
        <v>1.0367566230580255E-3</v>
      </c>
      <c r="AD20" s="6">
        <f t="shared" si="7"/>
        <v>4.2632770323595491E-2</v>
      </c>
      <c r="AE20" s="6">
        <f t="shared" si="8"/>
        <v>1.033316376175355E-3</v>
      </c>
      <c r="AF20" s="6">
        <f t="shared" si="9"/>
        <v>0</v>
      </c>
      <c r="AG20" s="6">
        <f t="shared" si="10"/>
        <v>6.9325365073731812E-3</v>
      </c>
      <c r="AH20" s="6">
        <f t="shared" si="11"/>
        <v>3.4666917440046949E-2</v>
      </c>
      <c r="AI20" s="6">
        <f t="shared" si="25"/>
        <v>1.033316376175355E-3</v>
      </c>
      <c r="AJ20" s="22">
        <f t="shared" si="31"/>
        <v>6.6146311372976686E-4</v>
      </c>
      <c r="AK20">
        <f t="shared" si="32"/>
        <v>2.3272451650852384E-3</v>
      </c>
      <c r="AL20" s="25">
        <f t="shared" si="33"/>
        <v>6.6146311372976686E-4</v>
      </c>
      <c r="AM20">
        <f>AK20+AM18</f>
        <v>2.1094832161086517E-2</v>
      </c>
      <c r="AN20" s="6">
        <f>AL20+AN18</f>
        <v>5.1419245697855382E-3</v>
      </c>
      <c r="AO20">
        <f>AJ20+AO18</f>
        <v>5.28629307917139E-3</v>
      </c>
      <c r="AP20" s="19">
        <f t="shared" si="34"/>
        <v>0.41297071512590555</v>
      </c>
      <c r="AQ20">
        <f t="shared" si="26"/>
        <v>2629.5380947650742</v>
      </c>
      <c r="AR20" s="6">
        <f t="shared" si="27"/>
        <v>13.752484235621338</v>
      </c>
      <c r="AS20" s="6">
        <f t="shared" si="28"/>
        <v>1.3477434550908912E-3</v>
      </c>
      <c r="AT20" s="6">
        <f t="shared" si="12"/>
        <v>2620.8125558756328</v>
      </c>
      <c r="AU20" s="6">
        <f t="shared" si="13"/>
        <v>13.706849667229561</v>
      </c>
      <c r="AV20" s="6">
        <f t="shared" si="14"/>
        <v>1.343271267388497E-3</v>
      </c>
      <c r="AW20" s="6">
        <f t="shared" si="29"/>
        <v>8.5987642855254781E-4</v>
      </c>
      <c r="AX20" s="52">
        <f t="shared" si="30"/>
        <v>1.3956355417393909E-3</v>
      </c>
      <c r="AY20" s="53">
        <f t="shared" si="15"/>
        <v>0.10902850051923133</v>
      </c>
      <c r="AZ20" s="54">
        <f t="shared" si="35"/>
        <v>0.52199921564513685</v>
      </c>
      <c r="BA20" s="23">
        <f t="shared" si="16"/>
        <v>1.5297342246122807</v>
      </c>
    </row>
    <row r="21" spans="1:56" ht="14.4" x14ac:dyDescent="0.3">
      <c r="A21" t="s">
        <v>117</v>
      </c>
      <c r="B21">
        <v>1</v>
      </c>
      <c r="C21" s="2">
        <v>45044</v>
      </c>
      <c r="D21" s="11">
        <v>0.4145833333333333</v>
      </c>
      <c r="E21">
        <v>1006.9</v>
      </c>
      <c r="F21">
        <f t="shared" ref="F21:K21" si="36">AVERAGE(F15,F17,F19,F23,F25,F27,F30,F32,F35)</f>
        <v>1120.9000000000001</v>
      </c>
      <c r="G21">
        <f t="shared" si="36"/>
        <v>1117.1444444444444</v>
      </c>
      <c r="H21">
        <f t="shared" si="36"/>
        <v>0</v>
      </c>
      <c r="I21">
        <f t="shared" si="36"/>
        <v>0.88222222222222235</v>
      </c>
      <c r="J21">
        <f t="shared" si="36"/>
        <v>20.336666666666666</v>
      </c>
      <c r="K21">
        <f t="shared" si="36"/>
        <v>75.655555555555551</v>
      </c>
      <c r="L21">
        <f>AVERAGE(L15,L17,L19,L23,L25,L27,L30,L32,L35)</f>
        <v>1</v>
      </c>
      <c r="N21" t="s">
        <v>99</v>
      </c>
      <c r="O21">
        <v>862.17</v>
      </c>
      <c r="P21" s="3">
        <f t="shared" si="4"/>
        <v>45044.414583333331</v>
      </c>
      <c r="Q21" s="4">
        <f t="shared" si="5"/>
        <v>10.781944444439432</v>
      </c>
      <c r="R21">
        <f t="shared" ref="R21" si="37">SUM(H21:K21)</f>
        <v>96.874444444444435</v>
      </c>
      <c r="S21">
        <f t="shared" ref="S21" si="38">H21 * 100/R21</f>
        <v>0</v>
      </c>
      <c r="T21">
        <f t="shared" ref="T21" si="39">I21* 100/R21</f>
        <v>0.91068622615756956</v>
      </c>
      <c r="U21">
        <f t="shared" ref="U21" si="40">J21* 100/R21</f>
        <v>20.99280856090931</v>
      </c>
      <c r="V21">
        <f t="shared" ref="V21" si="41">K21* 100/R21</f>
        <v>78.096505212933124</v>
      </c>
      <c r="W21">
        <f t="shared" ref="W21" si="42">SUM(S21:V21)</f>
        <v>100</v>
      </c>
      <c r="X21" s="6">
        <f t="shared" ref="X21" si="43">F21*100*$D$3/($D$1*$D$2)</f>
        <v>4.4194092532801432E-2</v>
      </c>
      <c r="Y21" s="6">
        <f t="shared" ref="Y21" si="44">X21*T21/100</f>
        <v>4.024695134715536E-4</v>
      </c>
      <c r="Z21" s="6">
        <f t="shared" ref="Z21" si="45">X21*S21/100</f>
        <v>0</v>
      </c>
      <c r="AA21" s="6">
        <f t="shared" ref="AA21" si="46">X21*U21/100</f>
        <v>9.2775812406421208E-3</v>
      </c>
      <c r="AB21" s="6">
        <f t="shared" ref="AB21" si="47">X21*V21/100</f>
        <v>3.4514041778687755E-2</v>
      </c>
      <c r="AC21" s="6">
        <f t="shared" ref="AC21" si="48">Y21+Z21</f>
        <v>4.024695134715536E-4</v>
      </c>
      <c r="AD21" s="6">
        <f t="shared" ref="AD21" si="49">G21*100*$D$3/($D$1*$D$2)</f>
        <v>4.4046021010155069E-2</v>
      </c>
      <c r="AE21" s="6">
        <f t="shared" ref="AE21" si="50">AD21*T21/100</f>
        <v>4.0112104650995143E-4</v>
      </c>
      <c r="AF21" s="6">
        <f t="shared" ref="AF21" si="51">AD21*S21/100</f>
        <v>0</v>
      </c>
      <c r="AG21" s="6">
        <f t="shared" ref="AG21" si="52">AD21*U21/100</f>
        <v>9.2464968693597473E-3</v>
      </c>
      <c r="AH21" s="6">
        <f t="shared" ref="AH21" si="53">AD21*V21/100</f>
        <v>3.4398403094285372E-2</v>
      </c>
      <c r="AI21" s="6">
        <f t="shared" ref="AI21" si="54">AE21+AF21</f>
        <v>4.0112104650995143E-4</v>
      </c>
      <c r="AJ21" s="22"/>
      <c r="AL21" s="25"/>
      <c r="AN21" s="6"/>
      <c r="AP21" s="19"/>
      <c r="AQ21">
        <f t="shared" ref="AQ21" si="55">F21*100*T21/100</f>
        <v>1020.7881909000198</v>
      </c>
      <c r="AR21" s="6">
        <f t="shared" ref="AR21" si="56">AQ21*$D$7</f>
        <v>5.3387222384071036</v>
      </c>
      <c r="AS21" s="6">
        <f t="shared" ref="AS21" si="57">AR21*$D$5/1000</f>
        <v>5.2319477936389617E-4</v>
      </c>
      <c r="AT21" s="6">
        <f t="shared" ref="AT21" si="58">G21*100*T21/100</f>
        <v>1017.3680581840057</v>
      </c>
      <c r="AU21" s="6">
        <f t="shared" ref="AU21" si="59">AT21*$D$7</f>
        <v>5.3208349443023497</v>
      </c>
      <c r="AV21" s="6">
        <f t="shared" ref="AV21" si="60">AU21*$D$5/1000</f>
        <v>5.2144182454163027E-4</v>
      </c>
      <c r="AW21" s="6">
        <f t="shared" ref="AW21" si="61">AS21-AV20</f>
        <v>-8.2007648802460086E-4</v>
      </c>
      <c r="AX21" s="52">
        <f t="shared" ref="AX21" si="62">AW21+AX20</f>
        <v>5.7555905371479E-4</v>
      </c>
      <c r="AY21" s="53">
        <f t="shared" ref="AY21" si="63">(AX21*$D$4*1000/$D$6)</f>
        <v>4.4963272079315615E-2</v>
      </c>
      <c r="AZ21" s="54"/>
      <c r="BA21" s="23">
        <f t="shared" si="16"/>
        <v>0</v>
      </c>
    </row>
    <row r="22" spans="1:56" s="7" customFormat="1" ht="14.4" x14ac:dyDescent="0.3">
      <c r="A22" t="s">
        <v>117</v>
      </c>
      <c r="B22">
        <v>1</v>
      </c>
      <c r="C22" s="2">
        <v>45047</v>
      </c>
      <c r="D22" s="11">
        <v>0.58333333333333337</v>
      </c>
      <c r="E22">
        <v>1013.1</v>
      </c>
      <c r="F22">
        <v>1058.5</v>
      </c>
      <c r="G22">
        <v>1055.0999999999999</v>
      </c>
      <c r="H22">
        <v>0.01</v>
      </c>
      <c r="I22">
        <v>2.89</v>
      </c>
      <c r="J22">
        <v>14.15</v>
      </c>
      <c r="K22">
        <v>81.19</v>
      </c>
      <c r="L22">
        <v>0</v>
      </c>
      <c r="M22"/>
      <c r="N22" t="s">
        <v>99</v>
      </c>
      <c r="O22"/>
      <c r="P22" s="8">
        <f t="shared" si="4"/>
        <v>45047.583333333336</v>
      </c>
      <c r="Q22" s="9">
        <f t="shared" si="5"/>
        <v>13.950694444443798</v>
      </c>
      <c r="R22">
        <f t="shared" si="17"/>
        <v>98.24</v>
      </c>
      <c r="S22">
        <f t="shared" si="18"/>
        <v>1.0179153094462542E-2</v>
      </c>
      <c r="T22">
        <f t="shared" si="19"/>
        <v>2.9417752442996745</v>
      </c>
      <c r="U22">
        <f t="shared" si="20"/>
        <v>14.403501628664495</v>
      </c>
      <c r="V22">
        <f t="shared" si="21"/>
        <v>82.644543973941367</v>
      </c>
      <c r="W22">
        <f t="shared" si="22"/>
        <v>100</v>
      </c>
      <c r="X22" s="10">
        <f t="shared" si="23"/>
        <v>4.1733827233446617E-2</v>
      </c>
      <c r="Y22" s="10">
        <f t="shared" si="0"/>
        <v>1.2277153980523284E-3</v>
      </c>
      <c r="Z22" s="10">
        <f t="shared" si="6"/>
        <v>4.248150166271032E-6</v>
      </c>
      <c r="AA22" s="10">
        <f t="shared" si="1"/>
        <v>6.0111324852735104E-3</v>
      </c>
      <c r="AB22" s="10">
        <f t="shared" si="2"/>
        <v>3.4490731199954508E-2</v>
      </c>
      <c r="AC22" s="10">
        <f t="shared" si="24"/>
        <v>1.2319635482185994E-3</v>
      </c>
      <c r="AD22" s="10">
        <f t="shared" si="7"/>
        <v>4.1599774316494587E-2</v>
      </c>
      <c r="AE22" s="10">
        <f t="shared" si="8"/>
        <v>1.2237718625271719E-3</v>
      </c>
      <c r="AF22" s="10">
        <f t="shared" si="9"/>
        <v>4.2345047146268923E-6</v>
      </c>
      <c r="AG22" s="10">
        <f t="shared" si="10"/>
        <v>5.991824171197052E-3</v>
      </c>
      <c r="AH22" s="10">
        <f t="shared" si="11"/>
        <v>3.4379943778055734E-2</v>
      </c>
      <c r="AI22" s="10">
        <f t="shared" si="25"/>
        <v>1.2280063672417988E-3</v>
      </c>
      <c r="AJ22" s="22">
        <f t="shared" ref="AJ22" si="64">AC22-AI21</f>
        <v>8.3084250170864797E-4</v>
      </c>
      <c r="AK22">
        <f t="shared" ref="AK22" si="65">(AA22-AG21)*-1</f>
        <v>3.2353643840862369E-3</v>
      </c>
      <c r="AL22" s="25">
        <f t="shared" ref="AL22" si="66">Y22-AE21</f>
        <v>8.2659435154237696E-4</v>
      </c>
      <c r="AM22" s="6">
        <f>AK22+AM20</f>
        <v>2.4330196545172753E-2</v>
      </c>
      <c r="AN22" s="6">
        <f t="shared" ref="AN22" si="67">AL22+AN20</f>
        <v>5.9685189213279149E-3</v>
      </c>
      <c r="AO22" s="6">
        <f t="shared" ref="AO22" si="68">AJ22+AO20</f>
        <v>6.1171355808800378E-3</v>
      </c>
      <c r="AP22" s="19">
        <f t="shared" si="34"/>
        <v>0.47787699575562015</v>
      </c>
      <c r="AQ22" s="7">
        <f t="shared" si="26"/>
        <v>3113.8690960912058</v>
      </c>
      <c r="AR22" s="10">
        <f t="shared" si="27"/>
        <v>16.285535372557007</v>
      </c>
      <c r="AS22" s="6">
        <f t="shared" si="28"/>
        <v>1.5959824665105868E-3</v>
      </c>
      <c r="AT22" s="6">
        <f t="shared" si="12"/>
        <v>3103.8670602605866</v>
      </c>
      <c r="AU22" s="6">
        <f t="shared" si="13"/>
        <v>16.23322472516287</v>
      </c>
      <c r="AV22" s="6">
        <f t="shared" si="14"/>
        <v>1.5908560230659613E-3</v>
      </c>
      <c r="AW22" s="6">
        <f>AS22-AV21</f>
        <v>1.0745406419689564E-3</v>
      </c>
      <c r="AX22" s="52">
        <f>AW22+AX21</f>
        <v>1.6500996956837464E-3</v>
      </c>
      <c r="AY22" s="53">
        <f t="shared" si="15"/>
        <v>0.12890750496610187</v>
      </c>
      <c r="AZ22" s="54">
        <f t="shared" si="35"/>
        <v>0.60678450072172208</v>
      </c>
      <c r="BA22" s="23">
        <f t="shared" si="16"/>
        <v>1.7018067602399058</v>
      </c>
      <c r="BB22"/>
      <c r="BC22"/>
      <c r="BD22"/>
    </row>
    <row r="23" spans="1:56" ht="14.4" x14ac:dyDescent="0.3">
      <c r="A23" t="s">
        <v>117</v>
      </c>
      <c r="B23">
        <v>1</v>
      </c>
      <c r="C23" s="2">
        <v>45047</v>
      </c>
      <c r="D23" s="11">
        <v>0.62430555555555556</v>
      </c>
      <c r="E23">
        <v>1013.3</v>
      </c>
      <c r="F23">
        <v>1117.9000000000001</v>
      </c>
      <c r="G23">
        <v>1114</v>
      </c>
      <c r="H23">
        <v>0</v>
      </c>
      <c r="I23">
        <v>0.87</v>
      </c>
      <c r="J23">
        <v>20.49</v>
      </c>
      <c r="K23">
        <v>76.16</v>
      </c>
      <c r="L23">
        <v>1</v>
      </c>
      <c r="N23" t="s">
        <v>99</v>
      </c>
      <c r="O23">
        <v>862.08</v>
      </c>
      <c r="P23" s="3">
        <f t="shared" si="4"/>
        <v>45047.624305555553</v>
      </c>
      <c r="Q23" s="4">
        <f t="shared" si="5"/>
        <v>13.991666666661331</v>
      </c>
      <c r="R23">
        <f t="shared" si="17"/>
        <v>97.52</v>
      </c>
      <c r="S23">
        <f t="shared" si="18"/>
        <v>0</v>
      </c>
      <c r="T23">
        <f t="shared" si="19"/>
        <v>0.89212469237079572</v>
      </c>
      <c r="U23">
        <f t="shared" si="20"/>
        <v>21.011074651353571</v>
      </c>
      <c r="V23">
        <f t="shared" si="21"/>
        <v>78.096800656275633</v>
      </c>
      <c r="W23">
        <f t="shared" si="22"/>
        <v>100</v>
      </c>
      <c r="X23" s="6">
        <f t="shared" si="23"/>
        <v>4.4075810547255533E-2</v>
      </c>
      <c r="Y23" s="6">
        <f t="shared" si="0"/>
        <v>3.9321118925463819E-4</v>
      </c>
      <c r="Z23" s="6">
        <f t="shared" si="6"/>
        <v>0</v>
      </c>
      <c r="AA23" s="6">
        <f t="shared" si="1"/>
        <v>9.260801457273031E-3</v>
      </c>
      <c r="AB23" s="6">
        <f t="shared" si="2"/>
        <v>3.4421797900727864E-2</v>
      </c>
      <c r="AC23" s="6">
        <f t="shared" si="24"/>
        <v>3.9321118925463819E-4</v>
      </c>
      <c r="AD23" s="6">
        <f t="shared" si="7"/>
        <v>4.3922043966045848E-2</v>
      </c>
      <c r="AE23" s="6">
        <f t="shared" si="8"/>
        <v>3.9183939961505215E-4</v>
      </c>
      <c r="AF23" s="6">
        <f t="shared" si="9"/>
        <v>0</v>
      </c>
      <c r="AG23" s="6">
        <f t="shared" si="10"/>
        <v>9.2284934461062292E-3</v>
      </c>
      <c r="AH23" s="6">
        <f t="shared" si="11"/>
        <v>3.4301711120324568E-2</v>
      </c>
      <c r="AI23" s="6">
        <f t="shared" si="25"/>
        <v>3.9183939961505215E-4</v>
      </c>
      <c r="AJ23" s="22"/>
      <c r="AL23" s="25"/>
      <c r="AM23" s="6"/>
      <c r="AN23" s="6"/>
      <c r="AO23" s="6"/>
      <c r="AP23" s="19"/>
      <c r="AQ23">
        <f>F23*100*T23/100</f>
        <v>997.30619360131266</v>
      </c>
      <c r="AR23" s="6">
        <f>AQ23*$D$7</f>
        <v>5.2159113925348652</v>
      </c>
      <c r="AS23" s="6">
        <f t="shared" si="28"/>
        <v>5.1115931646841686E-4</v>
      </c>
      <c r="AT23" s="6">
        <f t="shared" si="12"/>
        <v>993.8269073010664</v>
      </c>
      <c r="AU23" s="6">
        <f t="shared" si="13"/>
        <v>5.1977147251845777</v>
      </c>
      <c r="AV23" s="6">
        <f t="shared" si="14"/>
        <v>5.0937604306808856E-4</v>
      </c>
      <c r="AW23" s="6">
        <f t="shared" si="29"/>
        <v>-1.0796967065975446E-3</v>
      </c>
      <c r="AX23" s="52">
        <f t="shared" si="30"/>
        <v>5.7040298908620185E-4</v>
      </c>
      <c r="AY23" s="53">
        <f t="shared" si="15"/>
        <v>4.4560474946237015E-2</v>
      </c>
      <c r="AZ23" s="54"/>
      <c r="BA23" s="23">
        <f t="shared" si="16"/>
        <v>0</v>
      </c>
    </row>
    <row r="24" spans="1:56" s="7" customFormat="1" ht="14.4" x14ac:dyDescent="0.3">
      <c r="A24" t="s">
        <v>117</v>
      </c>
      <c r="B24">
        <v>1</v>
      </c>
      <c r="C24" s="2">
        <v>45050</v>
      </c>
      <c r="D24" s="11">
        <v>0.4145833333333333</v>
      </c>
      <c r="E24">
        <v>1017.6</v>
      </c>
      <c r="F24">
        <v>1063.3</v>
      </c>
      <c r="G24">
        <v>1060</v>
      </c>
      <c r="H24">
        <v>0</v>
      </c>
      <c r="I24">
        <v>2.61</v>
      </c>
      <c r="J24">
        <v>15.34</v>
      </c>
      <c r="K24">
        <v>79.790000000000006</v>
      </c>
      <c r="L24">
        <v>0</v>
      </c>
      <c r="M24"/>
      <c r="N24" t="s">
        <v>99</v>
      </c>
      <c r="O24"/>
      <c r="P24" s="8">
        <f t="shared" si="4"/>
        <v>45050.414583333331</v>
      </c>
      <c r="Q24" s="9">
        <f t="shared" si="5"/>
        <v>16.781944444439432</v>
      </c>
      <c r="R24">
        <f t="shared" si="17"/>
        <v>97.740000000000009</v>
      </c>
      <c r="S24">
        <f t="shared" si="18"/>
        <v>0</v>
      </c>
      <c r="T24">
        <f t="shared" si="19"/>
        <v>2.6703499079189683</v>
      </c>
      <c r="U24">
        <f t="shared" si="20"/>
        <v>15.694700225086963</v>
      </c>
      <c r="V24">
        <f t="shared" si="21"/>
        <v>81.634949866994063</v>
      </c>
      <c r="W24">
        <f t="shared" si="22"/>
        <v>100</v>
      </c>
      <c r="X24" s="10">
        <f t="shared" si="23"/>
        <v>4.1923078410320065E-2</v>
      </c>
      <c r="Y24" s="10">
        <f t="shared" si="0"/>
        <v>1.1194928857267787E-3</v>
      </c>
      <c r="Z24" s="10">
        <f t="shared" si="6"/>
        <v>0</v>
      </c>
      <c r="AA24" s="10">
        <f t="shared" si="1"/>
        <v>6.5797014816278872E-3</v>
      </c>
      <c r="AB24" s="10">
        <f t="shared" si="2"/>
        <v>3.4223884042965398E-2</v>
      </c>
      <c r="AC24" s="10">
        <f t="shared" si="24"/>
        <v>1.1194928857267787E-3</v>
      </c>
      <c r="AD24" s="10">
        <f t="shared" si="7"/>
        <v>4.1792968226219571E-2</v>
      </c>
      <c r="AE24" s="10">
        <f t="shared" si="8"/>
        <v>1.1160184885454581E-3</v>
      </c>
      <c r="AF24" s="10">
        <f t="shared" si="9"/>
        <v>0</v>
      </c>
      <c r="AG24" s="10">
        <f t="shared" si="10"/>
        <v>6.5592810782710061E-3</v>
      </c>
      <c r="AH24" s="10">
        <f t="shared" si="11"/>
        <v>3.4117668659403105E-2</v>
      </c>
      <c r="AI24" s="10">
        <f t="shared" si="25"/>
        <v>1.1160184885454581E-3</v>
      </c>
      <c r="AJ24" s="22">
        <f t="shared" si="31"/>
        <v>7.2765348611172659E-4</v>
      </c>
      <c r="AK24">
        <f t="shared" si="32"/>
        <v>2.648791964478342E-3</v>
      </c>
      <c r="AL24" s="25">
        <f t="shared" si="33"/>
        <v>7.2765348611172659E-4</v>
      </c>
      <c r="AM24">
        <f>AK24+AM22</f>
        <v>2.6978988509651095E-2</v>
      </c>
      <c r="AN24" s="6">
        <f>AL24+AN22</f>
        <v>6.6961724074396413E-3</v>
      </c>
      <c r="AO24">
        <f>AJ24+AO22</f>
        <v>6.8447890669917641E-3</v>
      </c>
      <c r="AP24" s="19">
        <f t="shared" si="34"/>
        <v>0.53472204313057969</v>
      </c>
      <c r="AQ24" s="7">
        <f t="shared" si="26"/>
        <v>2839.3830570902392</v>
      </c>
      <c r="AR24" s="10">
        <f t="shared" si="27"/>
        <v>14.849973388581951</v>
      </c>
      <c r="AS24" s="6">
        <f t="shared" si="28"/>
        <v>1.4552973920810312E-3</v>
      </c>
      <c r="AT24" s="6">
        <f t="shared" si="12"/>
        <v>2830.5709023941063</v>
      </c>
      <c r="AU24" s="6">
        <f t="shared" si="13"/>
        <v>14.803885819521177</v>
      </c>
      <c r="AV24" s="6">
        <f t="shared" si="14"/>
        <v>1.4507808103130756E-3</v>
      </c>
      <c r="AW24" s="6">
        <f t="shared" si="29"/>
        <v>9.4592134901294264E-4</v>
      </c>
      <c r="AX24" s="52">
        <f t="shared" si="30"/>
        <v>1.5163243380991445E-3</v>
      </c>
      <c r="AY24" s="53">
        <f t="shared" si="15"/>
        <v>0.11845683485369177</v>
      </c>
      <c r="AZ24" s="54">
        <f t="shared" si="35"/>
        <v>0.65317887798427143</v>
      </c>
      <c r="BA24" s="23">
        <f t="shared" si="16"/>
        <v>1.5827149816584247</v>
      </c>
      <c r="BB24"/>
      <c r="BC24"/>
      <c r="BD24"/>
    </row>
    <row r="25" spans="1:56" ht="14.4" x14ac:dyDescent="0.3">
      <c r="A25" t="s">
        <v>117</v>
      </c>
      <c r="B25">
        <v>1</v>
      </c>
      <c r="C25" s="2">
        <v>45050</v>
      </c>
      <c r="D25" s="11">
        <v>0.45347222222222222</v>
      </c>
      <c r="E25">
        <v>1017.1</v>
      </c>
      <c r="F25">
        <v>1123.5999999999999</v>
      </c>
      <c r="G25">
        <v>1120.2</v>
      </c>
      <c r="H25">
        <v>0</v>
      </c>
      <c r="I25">
        <v>0.79</v>
      </c>
      <c r="J25">
        <v>20.260000000000002</v>
      </c>
      <c r="K25">
        <v>75.3</v>
      </c>
      <c r="L25">
        <v>1</v>
      </c>
      <c r="N25" t="s">
        <v>99</v>
      </c>
      <c r="O25">
        <v>861.95</v>
      </c>
      <c r="P25" s="3">
        <f t="shared" si="4"/>
        <v>45050.453472222223</v>
      </c>
      <c r="Q25" s="4">
        <f t="shared" si="5"/>
        <v>16.820833333331393</v>
      </c>
      <c r="R25">
        <f t="shared" si="17"/>
        <v>96.35</v>
      </c>
      <c r="S25">
        <f t="shared" si="18"/>
        <v>0</v>
      </c>
      <c r="T25">
        <f t="shared" si="19"/>
        <v>0.81992734820965241</v>
      </c>
      <c r="U25">
        <f t="shared" si="20"/>
        <v>21.027503892060199</v>
      </c>
      <c r="V25">
        <f t="shared" si="21"/>
        <v>78.152568759730158</v>
      </c>
      <c r="W25">
        <f t="shared" si="22"/>
        <v>100.00000000000001</v>
      </c>
      <c r="X25" s="6">
        <f t="shared" si="23"/>
        <v>4.4300546319792737E-2</v>
      </c>
      <c r="Y25" s="6">
        <f t="shared" si="0"/>
        <v>3.6323229468226531E-4</v>
      </c>
      <c r="Z25" s="6">
        <f t="shared" si="6"/>
        <v>0</v>
      </c>
      <c r="AA25" s="6">
        <f t="shared" si="1"/>
        <v>9.3152991015983486E-3</v>
      </c>
      <c r="AB25" s="6">
        <f t="shared" si="2"/>
        <v>3.4622014923512127E-2</v>
      </c>
      <c r="AC25" s="6">
        <f t="shared" si="24"/>
        <v>3.6323229468226531E-4</v>
      </c>
      <c r="AD25" s="6">
        <f t="shared" si="7"/>
        <v>4.416649340284072E-2</v>
      </c>
      <c r="AE25" s="6">
        <f t="shared" si="8"/>
        <v>3.62133158155103E-4</v>
      </c>
      <c r="AF25" s="6">
        <f t="shared" si="9"/>
        <v>0</v>
      </c>
      <c r="AG25" s="6">
        <f t="shared" si="10"/>
        <v>9.2871111192688437E-3</v>
      </c>
      <c r="AH25" s="6">
        <f t="shared" si="11"/>
        <v>3.4517249125416781E-2</v>
      </c>
      <c r="AI25" s="6">
        <f t="shared" si="25"/>
        <v>3.62133158155103E-4</v>
      </c>
      <c r="AJ25" s="22"/>
      <c r="AL25" s="25"/>
      <c r="AM25" s="6"/>
      <c r="AN25" s="6"/>
      <c r="AO25" s="6"/>
      <c r="AP25" s="19"/>
      <c r="AQ25">
        <f t="shared" si="26"/>
        <v>921.27036844836539</v>
      </c>
      <c r="AR25" s="6">
        <f t="shared" si="27"/>
        <v>4.8182440269849511</v>
      </c>
      <c r="AS25" s="6">
        <f t="shared" si="28"/>
        <v>4.7218791464452526E-4</v>
      </c>
      <c r="AT25" s="6">
        <f t="shared" si="12"/>
        <v>918.48261546445269</v>
      </c>
      <c r="AU25" s="6">
        <f t="shared" si="13"/>
        <v>4.8036640788790876</v>
      </c>
      <c r="AV25" s="6">
        <f t="shared" si="14"/>
        <v>4.7075907973015061E-4</v>
      </c>
      <c r="AW25" s="6">
        <f t="shared" si="29"/>
        <v>-9.7859289566855031E-4</v>
      </c>
      <c r="AX25" s="52">
        <f t="shared" si="30"/>
        <v>5.3773144243059417E-4</v>
      </c>
      <c r="AY25" s="53">
        <f t="shared" si="15"/>
        <v>4.2008139730507633E-2</v>
      </c>
      <c r="AZ25" s="54"/>
      <c r="BA25" s="23">
        <f t="shared" si="16"/>
        <v>0</v>
      </c>
    </row>
    <row r="26" spans="1:56" s="7" customFormat="1" ht="14.4" x14ac:dyDescent="0.3">
      <c r="A26" t="s">
        <v>117</v>
      </c>
      <c r="B26">
        <v>1</v>
      </c>
      <c r="C26" s="2">
        <v>45054</v>
      </c>
      <c r="D26" s="11">
        <v>0.37638888888888888</v>
      </c>
      <c r="E26">
        <v>1018.7</v>
      </c>
      <c r="F26">
        <v>1066.5</v>
      </c>
      <c r="G26">
        <v>1063.7</v>
      </c>
      <c r="H26">
        <v>0.52</v>
      </c>
      <c r="I26">
        <v>3.21</v>
      </c>
      <c r="J26">
        <v>14.16</v>
      </c>
      <c r="K26">
        <v>81.28</v>
      </c>
      <c r="L26">
        <v>0</v>
      </c>
      <c r="M26"/>
      <c r="N26" t="s">
        <v>99</v>
      </c>
      <c r="O26"/>
      <c r="P26" s="8">
        <f t="shared" si="4"/>
        <v>45054.376388888886</v>
      </c>
      <c r="Q26" s="9">
        <f t="shared" si="5"/>
        <v>20.743749999994179</v>
      </c>
      <c r="R26">
        <f t="shared" si="17"/>
        <v>99.17</v>
      </c>
      <c r="S26">
        <f t="shared" si="18"/>
        <v>0.52435212261772712</v>
      </c>
      <c r="T26">
        <f t="shared" si="19"/>
        <v>3.2368659876978922</v>
      </c>
      <c r="U26">
        <f t="shared" si="20"/>
        <v>14.278511646667338</v>
      </c>
      <c r="V26">
        <f t="shared" si="21"/>
        <v>81.960270243017035</v>
      </c>
      <c r="W26">
        <f t="shared" si="22"/>
        <v>100</v>
      </c>
      <c r="X26" s="10">
        <f t="shared" si="23"/>
        <v>4.204924586156903E-2</v>
      </c>
      <c r="Y26" s="10">
        <f t="shared" si="0"/>
        <v>1.3610777373765915E-3</v>
      </c>
      <c r="Z26" s="10">
        <f t="shared" si="6"/>
        <v>2.2048611321988401E-4</v>
      </c>
      <c r="AA26" s="10">
        <f t="shared" si="1"/>
        <v>6.0040064676799175E-3</v>
      </c>
      <c r="AB26" s="10">
        <f t="shared" si="2"/>
        <v>3.4463675543292632E-2</v>
      </c>
      <c r="AC26" s="10">
        <f t="shared" si="24"/>
        <v>1.5815638505964754E-3</v>
      </c>
      <c r="AD26" s="10">
        <f t="shared" si="7"/>
        <v>4.1938849341726182E-2</v>
      </c>
      <c r="AE26" s="10">
        <f t="shared" si="8"/>
        <v>1.3575043499741962E-3</v>
      </c>
      <c r="AF26" s="10">
        <f t="shared" si="9"/>
        <v>2.1990724672479189E-4</v>
      </c>
      <c r="AG26" s="10">
        <f t="shared" si="10"/>
        <v>5.9882434877366409E-3</v>
      </c>
      <c r="AH26" s="10">
        <f t="shared" si="11"/>
        <v>3.4373194257290553E-2</v>
      </c>
      <c r="AI26" s="10">
        <f t="shared" si="25"/>
        <v>1.5774115966989881E-3</v>
      </c>
      <c r="AJ26" s="22">
        <f t="shared" si="31"/>
        <v>1.2194306924413725E-3</v>
      </c>
      <c r="AK26">
        <f t="shared" si="32"/>
        <v>3.2831046515889263E-3</v>
      </c>
      <c r="AL26" s="25">
        <f t="shared" si="33"/>
        <v>9.9894457922148835E-4</v>
      </c>
      <c r="AM26">
        <f>AK26+AM24</f>
        <v>3.0262093161240022E-2</v>
      </c>
      <c r="AN26" s="6">
        <f>AL26+AN24</f>
        <v>7.6951169866611296E-3</v>
      </c>
      <c r="AO26">
        <f>AJ26+AO24</f>
        <v>8.0642197594331371E-3</v>
      </c>
      <c r="AP26" s="19">
        <f t="shared" si="34"/>
        <v>0.62998523750173385</v>
      </c>
      <c r="AQ26" s="7">
        <f t="shared" si="26"/>
        <v>3452.1175758798017</v>
      </c>
      <c r="AR26" s="10">
        <f>AQ26*$D$7</f>
        <v>18.054574921851366</v>
      </c>
      <c r="AS26" s="6">
        <f t="shared" si="28"/>
        <v>1.7693483423414339E-3</v>
      </c>
      <c r="AT26" s="6">
        <f t="shared" si="12"/>
        <v>3443.0543511142478</v>
      </c>
      <c r="AU26" s="6">
        <f t="shared" si="13"/>
        <v>18.007174256327517</v>
      </c>
      <c r="AV26" s="6">
        <f t="shared" si="14"/>
        <v>1.7647030771200966E-3</v>
      </c>
      <c r="AW26" s="6">
        <f t="shared" si="29"/>
        <v>1.2985892626112831E-3</v>
      </c>
      <c r="AX26" s="52">
        <f t="shared" si="30"/>
        <v>1.8363207050418773E-3</v>
      </c>
      <c r="AY26" s="53">
        <f t="shared" si="15"/>
        <v>0.14345528395873949</v>
      </c>
      <c r="AZ26" s="54">
        <f t="shared" si="35"/>
        <v>0.77344052146047337</v>
      </c>
      <c r="BA26" s="23">
        <f t="shared" si="16"/>
        <v>1.428969006597941</v>
      </c>
      <c r="BB26"/>
      <c r="BC26"/>
      <c r="BD26"/>
    </row>
    <row r="27" spans="1:56" ht="14.4" x14ac:dyDescent="0.3">
      <c r="A27" t="s">
        <v>117</v>
      </c>
      <c r="B27">
        <v>1</v>
      </c>
      <c r="C27" s="2">
        <v>45054</v>
      </c>
      <c r="D27" s="11">
        <v>0.41597222222222219</v>
      </c>
      <c r="E27">
        <v>1018.7</v>
      </c>
      <c r="F27">
        <v>1125.4000000000001</v>
      </c>
      <c r="G27">
        <v>1122.4000000000001</v>
      </c>
      <c r="H27">
        <v>0</v>
      </c>
      <c r="I27">
        <v>0.86</v>
      </c>
      <c r="J27">
        <v>20.16</v>
      </c>
      <c r="K27">
        <v>75.099999999999994</v>
      </c>
      <c r="L27">
        <v>1</v>
      </c>
      <c r="N27" t="s">
        <v>99</v>
      </c>
      <c r="O27">
        <v>861.87</v>
      </c>
      <c r="P27" s="3">
        <f t="shared" si="4"/>
        <v>45054.415972222225</v>
      </c>
      <c r="Q27" s="4">
        <f t="shared" si="5"/>
        <v>20.783333333332848</v>
      </c>
      <c r="R27">
        <f t="shared" si="17"/>
        <v>96.11999999999999</v>
      </c>
      <c r="S27">
        <f t="shared" si="18"/>
        <v>0</v>
      </c>
      <c r="T27">
        <f t="shared" si="19"/>
        <v>0.89471493965875992</v>
      </c>
      <c r="U27">
        <f t="shared" si="20"/>
        <v>20.973782771535582</v>
      </c>
      <c r="V27">
        <f t="shared" si="21"/>
        <v>78.131502288805663</v>
      </c>
      <c r="W27">
        <f t="shared" si="22"/>
        <v>100</v>
      </c>
      <c r="X27" s="6">
        <f t="shared" si="23"/>
        <v>4.4371515511120299E-2</v>
      </c>
      <c r="Y27" s="6">
        <f t="shared" si="0"/>
        <v>3.9699857823099723E-4</v>
      </c>
      <c r="Z27" s="6">
        <f t="shared" si="6"/>
        <v>0</v>
      </c>
      <c r="AA27" s="6">
        <f t="shared" si="1"/>
        <v>9.306385275740587E-3</v>
      </c>
      <c r="AB27" s="6">
        <f t="shared" si="2"/>
        <v>3.4668131657148715E-2</v>
      </c>
      <c r="AC27" s="6">
        <f t="shared" si="24"/>
        <v>3.9699857823099723E-4</v>
      </c>
      <c r="AD27" s="6">
        <f t="shared" si="7"/>
        <v>4.4253233525574392E-2</v>
      </c>
      <c r="AE27" s="6">
        <f t="shared" si="8"/>
        <v>3.9594029163539303E-4</v>
      </c>
      <c r="AF27" s="6">
        <f t="shared" si="9"/>
        <v>0</v>
      </c>
      <c r="AG27" s="6">
        <f t="shared" si="10"/>
        <v>9.2815770690343295E-3</v>
      </c>
      <c r="AH27" s="6">
        <f t="shared" si="11"/>
        <v>3.4575716164904673E-2</v>
      </c>
      <c r="AI27" s="6">
        <f t="shared" si="25"/>
        <v>3.9594029163539303E-4</v>
      </c>
      <c r="AJ27" s="22"/>
      <c r="AL27" s="25"/>
      <c r="AM27" s="6"/>
      <c r="AN27" s="6"/>
      <c r="AO27" s="6"/>
      <c r="AP27" s="19"/>
      <c r="AQ27">
        <f t="shared" si="26"/>
        <v>1006.9121930919686</v>
      </c>
      <c r="AR27" s="6">
        <f t="shared" si="27"/>
        <v>5.266150769870996</v>
      </c>
      <c r="AS27" s="6">
        <f t="shared" si="28"/>
        <v>5.1608277544735754E-4</v>
      </c>
      <c r="AT27" s="6">
        <f t="shared" si="12"/>
        <v>1004.2280482729923</v>
      </c>
      <c r="AU27" s="6">
        <f t="shared" si="13"/>
        <v>5.2521126924677501</v>
      </c>
      <c r="AV27" s="6">
        <f t="shared" si="14"/>
        <v>5.147070438618395E-4</v>
      </c>
      <c r="AW27" s="6">
        <f t="shared" si="29"/>
        <v>-1.2486203016727391E-3</v>
      </c>
      <c r="AX27" s="52">
        <f t="shared" si="30"/>
        <v>5.8770040336913825E-4</v>
      </c>
      <c r="AY27" s="53">
        <f t="shared" si="15"/>
        <v>4.5911766945993679E-2</v>
      </c>
      <c r="AZ27" s="54"/>
      <c r="BA27" s="23">
        <f t="shared" si="16"/>
        <v>0</v>
      </c>
    </row>
    <row r="28" spans="1:56" s="7" customFormat="1" ht="14.4" x14ac:dyDescent="0.3">
      <c r="A28" t="s">
        <v>117</v>
      </c>
      <c r="B28">
        <v>1</v>
      </c>
      <c r="C28" s="2">
        <v>45056</v>
      </c>
      <c r="D28" s="11">
        <v>0.40833333333333338</v>
      </c>
      <c r="E28">
        <v>1007.7</v>
      </c>
      <c r="F28">
        <v>1090</v>
      </c>
      <c r="G28">
        <v>1087.7</v>
      </c>
      <c r="H28">
        <v>0</v>
      </c>
      <c r="I28">
        <v>2.19</v>
      </c>
      <c r="J28">
        <v>17.48</v>
      </c>
      <c r="K28">
        <v>79.69</v>
      </c>
      <c r="L28">
        <v>0</v>
      </c>
      <c r="M28"/>
      <c r="N28" t="s">
        <v>99</v>
      </c>
      <c r="O28"/>
      <c r="P28" s="8">
        <f t="shared" si="4"/>
        <v>45056.408333333333</v>
      </c>
      <c r="Q28" s="9">
        <f t="shared" si="5"/>
        <v>22.775694444440887</v>
      </c>
      <c r="R28">
        <f t="shared" si="17"/>
        <v>99.36</v>
      </c>
      <c r="S28">
        <f t="shared" si="18"/>
        <v>0</v>
      </c>
      <c r="T28">
        <f t="shared" si="19"/>
        <v>2.2041062801932365</v>
      </c>
      <c r="U28">
        <f t="shared" si="20"/>
        <v>17.592592592592592</v>
      </c>
      <c r="V28">
        <f t="shared" si="21"/>
        <v>80.203301127214175</v>
      </c>
      <c r="W28">
        <f t="shared" si="22"/>
        <v>100</v>
      </c>
      <c r="X28" s="10">
        <f t="shared" si="23"/>
        <v>4.2975788081678616E-2</v>
      </c>
      <c r="Y28" s="10">
        <f t="shared" si="0"/>
        <v>9.4723204407081481E-4</v>
      </c>
      <c r="Z28" s="10">
        <f t="shared" si="6"/>
        <v>0</v>
      </c>
      <c r="AA28" s="10">
        <f t="shared" si="1"/>
        <v>7.5605553106656816E-3</v>
      </c>
      <c r="AB28" s="10">
        <f t="shared" si="2"/>
        <v>3.4468000726942123E-2</v>
      </c>
      <c r="AC28" s="10">
        <f t="shared" si="24"/>
        <v>9.4723204407081481E-4</v>
      </c>
      <c r="AD28" s="10">
        <f t="shared" si="7"/>
        <v>4.2885105226093422E-2</v>
      </c>
      <c r="AE28" s="10">
        <f t="shared" si="8"/>
        <v>9.4523329755580299E-4</v>
      </c>
      <c r="AF28" s="10">
        <f t="shared" si="9"/>
        <v>0</v>
      </c>
      <c r="AG28" s="10">
        <f t="shared" si="10"/>
        <v>7.54460184533125E-3</v>
      </c>
      <c r="AH28" s="10">
        <f t="shared" si="11"/>
        <v>3.4395270083206371E-2</v>
      </c>
      <c r="AI28" s="10">
        <f t="shared" si="25"/>
        <v>9.4523329755580299E-4</v>
      </c>
      <c r="AJ28" s="22">
        <f t="shared" si="31"/>
        <v>5.5129175243542178E-4</v>
      </c>
      <c r="AK28">
        <f t="shared" si="32"/>
        <v>1.7210217583686479E-3</v>
      </c>
      <c r="AL28" s="25">
        <f t="shared" si="33"/>
        <v>5.5129175243542178E-4</v>
      </c>
      <c r="AM28">
        <f>AK28+AM26</f>
        <v>3.1983114919608667E-2</v>
      </c>
      <c r="AN28" s="6">
        <f>AL28+AN26</f>
        <v>8.2464087390965515E-3</v>
      </c>
      <c r="AO28">
        <f>AJ28+AO26</f>
        <v>8.615511511868559E-3</v>
      </c>
      <c r="AP28" s="19">
        <f t="shared" si="34"/>
        <v>0.6730527227577644</v>
      </c>
      <c r="AQ28" s="7">
        <f t="shared" si="26"/>
        <v>2402.4758454106277</v>
      </c>
      <c r="AR28" s="10">
        <f t="shared" si="27"/>
        <v>12.564948671497584</v>
      </c>
      <c r="AS28" s="6">
        <f t="shared" si="28"/>
        <v>1.2313649698067633E-3</v>
      </c>
      <c r="AT28" s="6">
        <f t="shared" si="12"/>
        <v>2397.4064009661834</v>
      </c>
      <c r="AU28" s="6">
        <f t="shared" si="13"/>
        <v>12.53843547705314</v>
      </c>
      <c r="AV28" s="6">
        <f t="shared" si="14"/>
        <v>1.2287666767512079E-3</v>
      </c>
      <c r="AW28" s="6">
        <f t="shared" si="29"/>
        <v>7.1665792594492381E-4</v>
      </c>
      <c r="AX28" s="52">
        <f t="shared" si="30"/>
        <v>1.304358329314062E-3</v>
      </c>
      <c r="AY28" s="53">
        <f t="shared" si="15"/>
        <v>0.1018978297211045</v>
      </c>
      <c r="AZ28" s="54">
        <f t="shared" si="35"/>
        <v>0.7749505524788689</v>
      </c>
      <c r="BA28" s="23">
        <f t="shared" si="16"/>
        <v>1.3573265467183586</v>
      </c>
      <c r="BB28"/>
      <c r="BC28"/>
      <c r="BD28"/>
    </row>
    <row r="29" spans="1:56" ht="15" customHeight="1" x14ac:dyDescent="0.3">
      <c r="A29" t="s">
        <v>117</v>
      </c>
      <c r="B29">
        <v>1</v>
      </c>
      <c r="C29" s="2">
        <v>45058</v>
      </c>
      <c r="D29" s="11">
        <v>0.38750000000000001</v>
      </c>
      <c r="E29">
        <v>1014.6</v>
      </c>
      <c r="F29">
        <v>1061.3</v>
      </c>
      <c r="G29">
        <v>1058.2</v>
      </c>
      <c r="H29">
        <v>0</v>
      </c>
      <c r="I29">
        <v>3.36</v>
      </c>
      <c r="J29">
        <v>12.27</v>
      </c>
      <c r="K29">
        <v>81.22</v>
      </c>
      <c r="L29">
        <v>0</v>
      </c>
      <c r="N29" t="s">
        <v>99</v>
      </c>
      <c r="P29" s="3">
        <f t="shared" si="4"/>
        <v>45058.387499999997</v>
      </c>
      <c r="Q29" s="4">
        <f t="shared" si="5"/>
        <v>24.754861111105129</v>
      </c>
      <c r="R29">
        <f t="shared" si="17"/>
        <v>96.85</v>
      </c>
      <c r="S29">
        <f t="shared" si="18"/>
        <v>0</v>
      </c>
      <c r="T29">
        <f t="shared" si="19"/>
        <v>3.4692823954568923</v>
      </c>
      <c r="U29">
        <f t="shared" si="20"/>
        <v>12.669075890552401</v>
      </c>
      <c r="V29">
        <f t="shared" si="21"/>
        <v>83.861641713990707</v>
      </c>
      <c r="W29">
        <f t="shared" si="22"/>
        <v>100</v>
      </c>
      <c r="X29" s="6">
        <f t="shared" si="23"/>
        <v>4.1844223753289458E-2</v>
      </c>
      <c r="Y29" s="6">
        <f t="shared" si="0"/>
        <v>1.4516942881884626E-3</v>
      </c>
      <c r="Z29" s="6">
        <f t="shared" si="6"/>
        <v>0</v>
      </c>
      <c r="AA29" s="6">
        <f t="shared" si="1"/>
        <v>5.3012764631167955E-3</v>
      </c>
      <c r="AB29" s="6">
        <f t="shared" si="2"/>
        <v>3.50912530019842E-2</v>
      </c>
      <c r="AC29" s="6">
        <f>Y29+Z29</f>
        <v>1.4516942881884626E-3</v>
      </c>
      <c r="AD29" s="6">
        <f t="shared" si="7"/>
        <v>4.1721999034892022E-2</v>
      </c>
      <c r="AE29" s="6">
        <f t="shared" si="8"/>
        <v>1.4474539675502036E-3</v>
      </c>
      <c r="AF29" s="6">
        <f t="shared" si="9"/>
        <v>0</v>
      </c>
      <c r="AG29" s="6">
        <f t="shared" si="10"/>
        <v>5.2857917207860105E-3</v>
      </c>
      <c r="AH29" s="6">
        <f t="shared" si="11"/>
        <v>3.4988753346555809E-2</v>
      </c>
      <c r="AI29" s="6">
        <f>AE29+AF29</f>
        <v>1.4474539675502036E-3</v>
      </c>
      <c r="AJ29" s="22">
        <f t="shared" si="31"/>
        <v>5.0646099063265959E-4</v>
      </c>
      <c r="AK29">
        <f t="shared" si="32"/>
        <v>2.2433253822144545E-3</v>
      </c>
      <c r="AL29" s="25">
        <f t="shared" si="33"/>
        <v>5.0646099063265959E-4</v>
      </c>
      <c r="AM29" s="6">
        <f>AK29+AM28</f>
        <v>3.4226440301823119E-2</v>
      </c>
      <c r="AN29" s="6">
        <f t="shared" ref="AN29" si="69">AL29+AN28</f>
        <v>8.752869729729211E-3</v>
      </c>
      <c r="AO29" s="6">
        <f t="shared" ref="AO29" si="70">AJ29+AO28</f>
        <v>9.1219725025012185E-3</v>
      </c>
      <c r="AP29" s="19">
        <f t="shared" si="34"/>
        <v>0.71261798226050233</v>
      </c>
      <c r="AQ29">
        <f>F29*100*T29/100</f>
        <v>3681.9494062983995</v>
      </c>
      <c r="AR29" s="6">
        <f t="shared" si="27"/>
        <v>19.256595394940629</v>
      </c>
      <c r="AS29" s="6">
        <f t="shared" si="28"/>
        <v>1.8871463487041818E-3</v>
      </c>
      <c r="AT29" s="6">
        <f t="shared" si="12"/>
        <v>3671.1946308724832</v>
      </c>
      <c r="AU29" s="6">
        <f t="shared" si="13"/>
        <v>19.200347919463088</v>
      </c>
      <c r="AV29" s="6">
        <f t="shared" si="14"/>
        <v>1.8816340961073828E-3</v>
      </c>
      <c r="AW29" s="6">
        <f t="shared" si="29"/>
        <v>6.583796719529739E-4</v>
      </c>
      <c r="AX29" s="52">
        <f t="shared" si="30"/>
        <v>1.9627380012670359E-3</v>
      </c>
      <c r="AY29" s="53">
        <f t="shared" si="15"/>
        <v>0.15333113466253182</v>
      </c>
      <c r="AZ29" s="54">
        <f t="shared" si="35"/>
        <v>0.86594911692303411</v>
      </c>
      <c r="BA29" s="23">
        <f t="shared" si="16"/>
        <v>1.9258645875521505</v>
      </c>
    </row>
    <row r="30" spans="1:56" ht="15" customHeight="1" x14ac:dyDescent="0.3">
      <c r="A30" t="s">
        <v>117</v>
      </c>
      <c r="B30">
        <v>1</v>
      </c>
      <c r="C30" s="2">
        <v>45058</v>
      </c>
      <c r="D30" s="11">
        <v>0.42708333333333331</v>
      </c>
      <c r="E30">
        <v>1014.9</v>
      </c>
      <c r="F30">
        <v>1122.2</v>
      </c>
      <c r="G30">
        <v>1119.5</v>
      </c>
      <c r="H30">
        <v>0</v>
      </c>
      <c r="I30">
        <v>0.76</v>
      </c>
      <c r="J30">
        <v>20.18</v>
      </c>
      <c r="K30">
        <v>74.900000000000006</v>
      </c>
      <c r="L30">
        <v>1</v>
      </c>
      <c r="N30" t="s">
        <v>99</v>
      </c>
      <c r="O30">
        <v>861.81</v>
      </c>
      <c r="P30" s="8">
        <f t="shared" si="4"/>
        <v>45058.427083333336</v>
      </c>
      <c r="Q30" s="9">
        <f t="shared" si="5"/>
        <v>24.794444444443798</v>
      </c>
      <c r="R30">
        <f t="shared" si="17"/>
        <v>95.84</v>
      </c>
      <c r="S30">
        <f t="shared" si="18"/>
        <v>0</v>
      </c>
      <c r="T30">
        <f t="shared" si="19"/>
        <v>0.79298831385642732</v>
      </c>
      <c r="U30">
        <f t="shared" si="20"/>
        <v>21.0559265442404</v>
      </c>
      <c r="V30">
        <f t="shared" si="21"/>
        <v>78.151085141903181</v>
      </c>
      <c r="W30">
        <f t="shared" si="22"/>
        <v>100</v>
      </c>
      <c r="X30" s="6">
        <f t="shared" si="23"/>
        <v>4.4245348059871327E-2</v>
      </c>
      <c r="Y30" s="6">
        <f t="shared" si="0"/>
        <v>3.5086043953988109E-4</v>
      </c>
      <c r="Z30" s="6">
        <f t="shared" si="6"/>
        <v>0</v>
      </c>
      <c r="AA30" s="6">
        <f t="shared" si="1"/>
        <v>9.3162679867300011E-3</v>
      </c>
      <c r="AB30" s="6">
        <f t="shared" si="2"/>
        <v>3.4578219633601442E-2</v>
      </c>
      <c r="AC30" s="6">
        <f t="shared" ref="AC30:AC33" si="71">Y30+Z30</f>
        <v>3.5086043953988109E-4</v>
      </c>
      <c r="AD30" s="6">
        <f t="shared" si="7"/>
        <v>4.4138894272880008E-2</v>
      </c>
      <c r="AE30" s="6">
        <f t="shared" si="8"/>
        <v>3.5001627344938231E-4</v>
      </c>
      <c r="AF30" s="6">
        <f t="shared" si="9"/>
        <v>0</v>
      </c>
      <c r="AG30" s="6">
        <f t="shared" si="10"/>
        <v>9.2938531555375476E-3</v>
      </c>
      <c r="AH30" s="6">
        <f t="shared" si="11"/>
        <v>3.449502484389308E-2</v>
      </c>
      <c r="AI30" s="6">
        <f t="shared" ref="AI30:AI33" si="72">AE30+AF30</f>
        <v>3.5001627344938231E-4</v>
      </c>
      <c r="AJ30" s="22"/>
      <c r="AL30" s="25"/>
      <c r="AM30" s="6"/>
      <c r="AN30" s="6"/>
      <c r="AO30" s="6"/>
      <c r="AP30" s="19"/>
      <c r="AQ30">
        <f t="shared" ref="AQ30:AQ33" si="73">F30*100*T30/100</f>
        <v>889.89148580968276</v>
      </c>
      <c r="AR30" s="6">
        <f t="shared" si="27"/>
        <v>4.6541324707846412</v>
      </c>
      <c r="AS30" s="6">
        <f t="shared" si="28"/>
        <v>4.5610498213689485E-4</v>
      </c>
      <c r="AT30" s="6">
        <f t="shared" si="12"/>
        <v>887.75041736227035</v>
      </c>
      <c r="AU30" s="6">
        <f t="shared" si="13"/>
        <v>4.6429346828046745</v>
      </c>
      <c r="AV30" s="6">
        <f t="shared" si="14"/>
        <v>4.5500759891485809E-4</v>
      </c>
      <c r="AW30" s="6">
        <f t="shared" si="29"/>
        <v>-1.425529113970488E-3</v>
      </c>
      <c r="AX30" s="52">
        <f t="shared" si="30"/>
        <v>5.3720888729654782E-4</v>
      </c>
      <c r="AY30" s="53">
        <f t="shared" si="15"/>
        <v>4.1967317179777308E-2</v>
      </c>
      <c r="AZ30" s="54"/>
      <c r="BA30" s="23">
        <f t="shared" si="16"/>
        <v>0</v>
      </c>
    </row>
    <row r="31" spans="1:56" ht="15" customHeight="1" x14ac:dyDescent="0.3">
      <c r="A31" t="s">
        <v>117</v>
      </c>
      <c r="B31">
        <v>1</v>
      </c>
      <c r="C31" s="2">
        <v>45061</v>
      </c>
      <c r="D31" s="11">
        <v>0.4152777777777778</v>
      </c>
      <c r="E31">
        <v>1012.7</v>
      </c>
      <c r="F31">
        <v>1081.2</v>
      </c>
      <c r="G31">
        <v>1077.4000000000001</v>
      </c>
      <c r="H31">
        <v>0</v>
      </c>
      <c r="I31">
        <v>2.79</v>
      </c>
      <c r="J31">
        <v>16.38</v>
      </c>
      <c r="K31">
        <v>82.02</v>
      </c>
      <c r="L31">
        <v>0</v>
      </c>
      <c r="N31" t="s">
        <v>99</v>
      </c>
      <c r="P31" s="3">
        <f t="shared" si="4"/>
        <v>45061.415277777778</v>
      </c>
      <c r="Q31" s="4">
        <f t="shared" si="5"/>
        <v>27.78263888888614</v>
      </c>
      <c r="R31">
        <f t="shared" si="17"/>
        <v>101.19</v>
      </c>
      <c r="S31">
        <f t="shared" si="18"/>
        <v>0</v>
      </c>
      <c r="T31">
        <f t="shared" si="19"/>
        <v>2.7571894455973913</v>
      </c>
      <c r="U31">
        <f t="shared" si="20"/>
        <v>16.187370293507264</v>
      </c>
      <c r="V31">
        <f t="shared" si="21"/>
        <v>81.055440260895352</v>
      </c>
      <c r="W31">
        <f t="shared" si="22"/>
        <v>100</v>
      </c>
      <c r="X31" s="10">
        <f t="shared" si="23"/>
        <v>4.2628827590743962E-2</v>
      </c>
      <c r="Y31" s="10">
        <f t="shared" si="0"/>
        <v>1.1753575351139012E-3</v>
      </c>
      <c r="Z31" s="10">
        <f t="shared" si="6"/>
        <v>0</v>
      </c>
      <c r="AA31" s="10">
        <f t="shared" si="1"/>
        <v>6.9004861738945168E-3</v>
      </c>
      <c r="AB31" s="10">
        <f t="shared" si="2"/>
        <v>3.4552983881735548E-2</v>
      </c>
      <c r="AC31" s="10">
        <f t="shared" si="71"/>
        <v>1.1753575351139012E-3</v>
      </c>
      <c r="AD31" s="10">
        <f t="shared" si="7"/>
        <v>4.2479003742385821E-2</v>
      </c>
      <c r="AE31" s="10">
        <f t="shared" si="8"/>
        <v>1.1712266077799826E-3</v>
      </c>
      <c r="AF31" s="10">
        <f t="shared" si="9"/>
        <v>0</v>
      </c>
      <c r="AG31" s="10">
        <f t="shared" si="10"/>
        <v>6.876233632772801E-3</v>
      </c>
      <c r="AH31" s="10">
        <f t="shared" si="11"/>
        <v>3.4431543501833042E-2</v>
      </c>
      <c r="AI31" s="10">
        <f t="shared" si="72"/>
        <v>1.1712266077799826E-3</v>
      </c>
      <c r="AJ31" s="22">
        <f t="shared" si="31"/>
        <v>8.2534126166451888E-4</v>
      </c>
      <c r="AK31">
        <f t="shared" si="32"/>
        <v>2.3933669816430308E-3</v>
      </c>
      <c r="AL31" s="25">
        <f t="shared" si="33"/>
        <v>8.2534126166451888E-4</v>
      </c>
      <c r="AM31">
        <f>AK31+AM29</f>
        <v>3.6619807283466151E-2</v>
      </c>
      <c r="AN31" s="6">
        <f>AL31+AN29</f>
        <v>9.5782109913937295E-3</v>
      </c>
      <c r="AO31">
        <f>AJ31+AO29</f>
        <v>9.9473137641657369E-3</v>
      </c>
      <c r="AP31" s="19">
        <f t="shared" si="34"/>
        <v>0.77709450029456106</v>
      </c>
      <c r="AQ31" s="7">
        <f t="shared" si="73"/>
        <v>2981.0732285798995</v>
      </c>
      <c r="AR31" s="10">
        <f t="shared" si="27"/>
        <v>15.591012985472876</v>
      </c>
      <c r="AS31" s="6">
        <f t="shared" si="28"/>
        <v>1.5279192725763419E-3</v>
      </c>
      <c r="AT31" s="6">
        <f t="shared" si="12"/>
        <v>2970.5959086866296</v>
      </c>
      <c r="AU31" s="6">
        <f t="shared" si="13"/>
        <v>15.536216602431073</v>
      </c>
      <c r="AV31" s="6">
        <f t="shared" si="14"/>
        <v>1.5225492270382452E-3</v>
      </c>
      <c r="AW31" s="6">
        <f t="shared" si="29"/>
        <v>1.0729116736614838E-3</v>
      </c>
      <c r="AX31" s="52">
        <f t="shared" si="30"/>
        <v>1.6101205609580316E-3</v>
      </c>
      <c r="AY31" s="53">
        <f t="shared" si="15"/>
        <v>0.12578429336762931</v>
      </c>
      <c r="AZ31" s="54">
        <f t="shared" si="35"/>
        <v>0.90287879366219037</v>
      </c>
      <c r="BA31" s="23">
        <f t="shared" si="16"/>
        <v>1.260826171846271</v>
      </c>
    </row>
    <row r="32" spans="1:56" ht="15" customHeight="1" x14ac:dyDescent="0.3">
      <c r="A32" t="s">
        <v>117</v>
      </c>
      <c r="B32">
        <v>1</v>
      </c>
      <c r="C32" s="2">
        <v>45061</v>
      </c>
      <c r="D32" s="11">
        <v>0.4465277777777778</v>
      </c>
      <c r="E32">
        <v>1012.8</v>
      </c>
      <c r="F32">
        <v>1119.3</v>
      </c>
      <c r="G32">
        <v>1115.4000000000001</v>
      </c>
      <c r="H32">
        <v>0</v>
      </c>
      <c r="I32">
        <v>0.71</v>
      </c>
      <c r="J32">
        <v>20.440000000000001</v>
      </c>
      <c r="K32">
        <v>75.900000000000006</v>
      </c>
      <c r="L32">
        <v>1</v>
      </c>
      <c r="N32" t="s">
        <v>99</v>
      </c>
      <c r="O32">
        <v>861.7</v>
      </c>
      <c r="P32" s="8">
        <f t="shared" si="4"/>
        <v>45061.446527777778</v>
      </c>
      <c r="Q32" s="9">
        <f t="shared" si="5"/>
        <v>27.81388888888614</v>
      </c>
      <c r="R32">
        <f t="shared" ref="R32:R33" si="74">SUM(H32:K32)</f>
        <v>97.050000000000011</v>
      </c>
      <c r="S32">
        <f t="shared" si="18"/>
        <v>0</v>
      </c>
      <c r="T32">
        <f t="shared" si="19"/>
        <v>0.73158165893869131</v>
      </c>
      <c r="U32">
        <f t="shared" si="20"/>
        <v>21.061308603812467</v>
      </c>
      <c r="V32">
        <f t="shared" si="21"/>
        <v>78.207109737248842</v>
      </c>
      <c r="W32">
        <f t="shared" si="22"/>
        <v>100</v>
      </c>
      <c r="X32" s="6">
        <f t="shared" si="23"/>
        <v>4.413100880717695E-2</v>
      </c>
      <c r="Y32" s="6">
        <f t="shared" si="0"/>
        <v>3.2285436633792513E-4</v>
      </c>
      <c r="Z32" s="6">
        <f t="shared" si="6"/>
        <v>0</v>
      </c>
      <c r="AA32" s="6">
        <f t="shared" si="1"/>
        <v>9.2945679548551968E-3</v>
      </c>
      <c r="AB32" s="6">
        <f t="shared" si="2"/>
        <v>3.4513586485983828E-2</v>
      </c>
      <c r="AC32" s="6">
        <f t="shared" si="71"/>
        <v>3.2285436633792513E-4</v>
      </c>
      <c r="AD32" s="6">
        <f t="shared" si="7"/>
        <v>4.3977242225967279E-2</v>
      </c>
      <c r="AE32" s="6">
        <f t="shared" si="8"/>
        <v>3.2172943823221807E-4</v>
      </c>
      <c r="AF32" s="6">
        <f t="shared" si="9"/>
        <v>0</v>
      </c>
      <c r="AG32" s="6">
        <f t="shared" si="10"/>
        <v>9.2621827006570956E-3</v>
      </c>
      <c r="AH32" s="6">
        <f t="shared" si="11"/>
        <v>3.439333008707797E-2</v>
      </c>
      <c r="AI32" s="6">
        <f t="shared" si="72"/>
        <v>3.2172943823221807E-4</v>
      </c>
      <c r="AJ32" s="22"/>
      <c r="AL32" s="25"/>
      <c r="AM32" s="6"/>
      <c r="AN32" s="6"/>
      <c r="AO32" s="6"/>
      <c r="AP32" s="19"/>
      <c r="AQ32">
        <f t="shared" si="73"/>
        <v>818.85935085007713</v>
      </c>
      <c r="AR32" s="6">
        <f t="shared" si="27"/>
        <v>4.2826344049459033</v>
      </c>
      <c r="AS32" s="6">
        <f t="shared" si="28"/>
        <v>4.1969817168469855E-4</v>
      </c>
      <c r="AT32" s="6">
        <f t="shared" si="12"/>
        <v>816.00618238021639</v>
      </c>
      <c r="AU32" s="6">
        <f t="shared" si="13"/>
        <v>4.2677123338485323</v>
      </c>
      <c r="AV32" s="6">
        <f t="shared" si="14"/>
        <v>4.1823580871715621E-4</v>
      </c>
      <c r="AW32" s="6">
        <f t="shared" si="29"/>
        <v>-1.1028510553535466E-3</v>
      </c>
      <c r="AX32" s="52">
        <f t="shared" si="30"/>
        <v>5.0726950560448501E-4</v>
      </c>
      <c r="AY32" s="53">
        <f t="shared" si="15"/>
        <v>3.9628421533504009E-2</v>
      </c>
      <c r="AZ32" s="54"/>
      <c r="BA32" s="23">
        <f t="shared" si="16"/>
        <v>0</v>
      </c>
    </row>
    <row r="33" spans="1:53" ht="15" customHeight="1" x14ac:dyDescent="0.3">
      <c r="A33" t="s">
        <v>117</v>
      </c>
      <c r="B33">
        <v>1</v>
      </c>
      <c r="C33" s="2">
        <v>45063</v>
      </c>
      <c r="D33" s="11">
        <v>0.37708333333333338</v>
      </c>
      <c r="E33">
        <v>1025.2</v>
      </c>
      <c r="F33">
        <v>1091.4000000000001</v>
      </c>
      <c r="G33">
        <v>1088.8</v>
      </c>
      <c r="H33">
        <v>0</v>
      </c>
      <c r="I33">
        <v>1.92</v>
      </c>
      <c r="J33">
        <v>18.350000000000001</v>
      </c>
      <c r="K33">
        <v>81.09</v>
      </c>
      <c r="L33">
        <v>0</v>
      </c>
      <c r="N33" t="s">
        <v>99</v>
      </c>
      <c r="P33" s="3">
        <f t="shared" si="4"/>
        <v>45063.377083333333</v>
      </c>
      <c r="Q33" s="4">
        <f t="shared" si="5"/>
        <v>29.744444444440887</v>
      </c>
      <c r="R33">
        <f t="shared" si="74"/>
        <v>101.36000000000001</v>
      </c>
      <c r="S33">
        <f t="shared" si="18"/>
        <v>0</v>
      </c>
      <c r="T33">
        <f t="shared" si="19"/>
        <v>1.8942383583267559</v>
      </c>
      <c r="U33">
        <f t="shared" si="20"/>
        <v>18.103788476716652</v>
      </c>
      <c r="V33">
        <f t="shared" si="21"/>
        <v>80.001973164956581</v>
      </c>
      <c r="W33">
        <f t="shared" si="22"/>
        <v>99.999999999999986</v>
      </c>
      <c r="X33" s="10">
        <f t="shared" si="23"/>
        <v>4.303098634160004E-2</v>
      </c>
      <c r="Y33" s="10">
        <f t="shared" si="0"/>
        <v>8.151094492489351E-4</v>
      </c>
      <c r="Z33" s="10">
        <f t="shared" si="6"/>
        <v>0</v>
      </c>
      <c r="AA33" s="10">
        <f t="shared" si="1"/>
        <v>7.7902387467281044E-3</v>
      </c>
      <c r="AB33" s="10">
        <f t="shared" si="2"/>
        <v>3.4425638145622994E-2</v>
      </c>
      <c r="AC33" s="10">
        <f t="shared" si="71"/>
        <v>8.151094492489351E-4</v>
      </c>
      <c r="AD33" s="10">
        <f t="shared" si="7"/>
        <v>4.2928475287460251E-2</v>
      </c>
      <c r="AE33" s="10">
        <f t="shared" si="8"/>
        <v>8.1316764553989406E-4</v>
      </c>
      <c r="AF33" s="10">
        <f t="shared" si="9"/>
        <v>0</v>
      </c>
      <c r="AG33" s="10">
        <f t="shared" si="10"/>
        <v>7.7716803623213851E-3</v>
      </c>
      <c r="AH33" s="10">
        <f t="shared" si="11"/>
        <v>3.4343627279598971E-2</v>
      </c>
      <c r="AI33" s="10">
        <f t="shared" si="72"/>
        <v>8.1316764553989406E-4</v>
      </c>
      <c r="AJ33" s="22">
        <f t="shared" si="31"/>
        <v>4.9338001101671702E-4</v>
      </c>
      <c r="AK33">
        <f t="shared" si="32"/>
        <v>1.4719439539289912E-3</v>
      </c>
      <c r="AL33" s="25">
        <f t="shared" si="33"/>
        <v>4.9338001101671702E-4</v>
      </c>
      <c r="AM33">
        <f>AK33+AM31</f>
        <v>3.8091751237395138E-2</v>
      </c>
      <c r="AN33" s="6">
        <f>AL33+AN31</f>
        <v>1.0071591002410446E-2</v>
      </c>
      <c r="AO33">
        <f>AJ33+AO31</f>
        <v>1.0440693775182454E-2</v>
      </c>
      <c r="AP33" s="19">
        <f t="shared" si="34"/>
        <v>0.81563786006044414</v>
      </c>
      <c r="AQ33" s="7">
        <f t="shared" si="73"/>
        <v>2067.3717442778216</v>
      </c>
      <c r="AR33" s="10">
        <f t="shared" si="27"/>
        <v>10.812354222573008</v>
      </c>
      <c r="AS33" s="6">
        <f t="shared" si="28"/>
        <v>1.0596107138121549E-3</v>
      </c>
      <c r="AT33" s="6">
        <f t="shared" si="12"/>
        <v>2062.4467245461719</v>
      </c>
      <c r="AU33" s="6">
        <f t="shared" si="13"/>
        <v>10.786596369376479</v>
      </c>
      <c r="AV33" s="6">
        <f t="shared" si="14"/>
        <v>1.0570864441988949E-3</v>
      </c>
      <c r="AW33" s="6">
        <f t="shared" si="29"/>
        <v>6.4137490509499863E-4</v>
      </c>
      <c r="AX33" s="52">
        <f t="shared" si="30"/>
        <v>1.1486444106994836E-3</v>
      </c>
      <c r="AY33" s="53">
        <f t="shared" si="15"/>
        <v>8.9733296396478646E-2</v>
      </c>
      <c r="AZ33" s="54">
        <f t="shared" si="35"/>
        <v>0.90537115645692279</v>
      </c>
      <c r="BA33" s="23">
        <f t="shared" si="16"/>
        <v>1.2971470165316998</v>
      </c>
    </row>
    <row r="34" spans="1:53" ht="15" customHeight="1" x14ac:dyDescent="0.3">
      <c r="A34" t="s">
        <v>117</v>
      </c>
      <c r="B34">
        <v>1</v>
      </c>
      <c r="C34" s="2">
        <v>45068</v>
      </c>
      <c r="D34" s="11">
        <v>0.59791666666666665</v>
      </c>
      <c r="E34">
        <v>1013.3</v>
      </c>
      <c r="F34">
        <v>1036.5</v>
      </c>
      <c r="G34">
        <v>1034.0999999999999</v>
      </c>
      <c r="H34">
        <v>0.23</v>
      </c>
      <c r="I34">
        <v>5.7</v>
      </c>
      <c r="J34">
        <v>10.52</v>
      </c>
      <c r="K34">
        <v>86.1</v>
      </c>
      <c r="L34">
        <v>0</v>
      </c>
      <c r="M34" t="s">
        <v>13</v>
      </c>
      <c r="N34" t="s">
        <v>99</v>
      </c>
      <c r="P34" s="3">
        <f t="shared" ref="P34:P35" si="75">C34+D34</f>
        <v>45068.597916666666</v>
      </c>
      <c r="Q34" s="4">
        <f t="shared" ref="Q34:Q35" si="76">P34-$P$13</f>
        <v>34.965277777773736</v>
      </c>
      <c r="R34">
        <f t="shared" ref="R34:R35" si="77">SUM(H34:K34)</f>
        <v>102.55</v>
      </c>
      <c r="S34">
        <f t="shared" ref="S34:S35" si="78">H34 * 100/R34</f>
        <v>0.22428083861530962</v>
      </c>
      <c r="T34">
        <f t="shared" ref="T34:T35" si="79">I34* 100/R34</f>
        <v>5.5582642613359337</v>
      </c>
      <c r="U34">
        <f t="shared" ref="U34:U35" si="80">J34* 100/R34</f>
        <v>10.258410531448074</v>
      </c>
      <c r="V34">
        <f t="shared" ref="V34:V35" si="81">K34* 100/R34</f>
        <v>83.959044368600686</v>
      </c>
      <c r="W34">
        <f t="shared" ref="W34:W35" si="82">SUM(S34:V34)</f>
        <v>100</v>
      </c>
      <c r="X34" s="10">
        <f t="shared" ref="X34:X35" si="83">F34*100*$D$3/($D$1*$D$2)</f>
        <v>4.0866426006109985E-2</v>
      </c>
      <c r="Y34" s="10">
        <f t="shared" ref="Y34:Y35" si="84">X34*T34/100</f>
        <v>2.271463951582905E-3</v>
      </c>
      <c r="Z34" s="10">
        <f t="shared" ref="Z34:Z35" si="85">X34*S34/100</f>
        <v>9.1655562958608457E-5</v>
      </c>
      <c r="AA34" s="10">
        <f t="shared" ref="AA34:AA35" si="86">X34*U34/100</f>
        <v>4.1922457492372216E-3</v>
      </c>
      <c r="AB34" s="10">
        <f t="shared" ref="AB34:AB35" si="87">X34*V34/100</f>
        <v>3.4311060742331249E-2</v>
      </c>
      <c r="AC34" s="10">
        <f t="shared" ref="AC34:AC35" si="88">Y34+Z34</f>
        <v>2.3631195145415135E-3</v>
      </c>
      <c r="AD34" s="10">
        <f t="shared" ref="AD34:AD35" si="89">G34*100*$D$3/($D$1*$D$2)</f>
        <v>4.0771800417673254E-2</v>
      </c>
      <c r="AE34" s="10">
        <f t="shared" ref="AE34:AE35" si="90">AD34*T34/100</f>
        <v>2.2662044113187473E-3</v>
      </c>
      <c r="AF34" s="10">
        <f t="shared" ref="AF34:AF35" si="91">AD34*S34/100</f>
        <v>9.1443335895317893E-5</v>
      </c>
      <c r="AG34" s="10">
        <f t="shared" ref="AG34:AG35" si="92">AD34*U34/100</f>
        <v>4.1825386679075829E-3</v>
      </c>
      <c r="AH34" s="10">
        <f t="shared" ref="AH34:AH35" si="93">AD34*V34/100</f>
        <v>3.4231614002551612E-2</v>
      </c>
      <c r="AI34" s="10">
        <f t="shared" ref="AI34:AI35" si="94">AE34+AF34</f>
        <v>2.357647747214065E-3</v>
      </c>
      <c r="AJ34" s="22">
        <f t="shared" si="31"/>
        <v>1.5499518690016193E-3</v>
      </c>
      <c r="AK34">
        <f t="shared" si="32"/>
        <v>3.5794346130841636E-3</v>
      </c>
      <c r="AL34" s="25">
        <f t="shared" si="33"/>
        <v>1.4582963060430108E-3</v>
      </c>
      <c r="AM34" s="6">
        <f>AK34+AM33</f>
        <v>4.1671185850479305E-2</v>
      </c>
      <c r="AN34" s="6">
        <f t="shared" ref="AN34" si="95">AL34+AN33</f>
        <v>1.1529887308453456E-2</v>
      </c>
      <c r="AO34" s="6">
        <f t="shared" ref="AO34" si="96">AJ34+AO33</f>
        <v>1.1990645644184074E-2</v>
      </c>
      <c r="AP34" s="19">
        <f t="shared" si="34"/>
        <v>0.93672171261382231</v>
      </c>
      <c r="AQ34" s="7">
        <f t="shared" ref="AQ34:AQ35" si="97">F34*100*T34/100</f>
        <v>5761.1409068746962</v>
      </c>
      <c r="AR34" s="10">
        <f t="shared" ref="AR34:AR35" si="98">AQ34*$D$7</f>
        <v>30.130766942954661</v>
      </c>
      <c r="AS34" s="6">
        <f t="shared" ref="AS34:AS35" si="99">AR34*$D$5/1000</f>
        <v>2.9528151604095569E-3</v>
      </c>
      <c r="AT34" s="6">
        <f t="shared" ref="AT34:AT35" si="100">G34*100*T34/100</f>
        <v>5747.8010726474877</v>
      </c>
      <c r="AU34" s="6">
        <f t="shared" ref="AU34:AU35" si="101">AT34*$D$7</f>
        <v>30.060999609946361</v>
      </c>
      <c r="AV34" s="6">
        <f t="shared" ref="AV34:AV35" si="102">AU34*$D$5/1000</f>
        <v>2.9459779617747434E-3</v>
      </c>
      <c r="AW34" s="6">
        <f t="shared" ref="AW34:AW35" si="103">AS34-AV33</f>
        <v>1.8957287162106619E-3</v>
      </c>
      <c r="AX34" s="52">
        <f t="shared" ref="AX34:AX35" si="104">AW34+AX33</f>
        <v>3.0443731269101455E-3</v>
      </c>
      <c r="AY34" s="53">
        <f t="shared" ref="AY34:AY35" si="105">(AX34*$D$4*1000/$D$6)</f>
        <v>0.23782959599493866</v>
      </c>
      <c r="AZ34" s="54">
        <f t="shared" si="35"/>
        <v>1.1745513086087609</v>
      </c>
      <c r="BA34" s="23">
        <f t="shared" ref="BA34:BA35" si="106">AK34/(AL34+AW34)</f>
        <v>1.0672056974336557</v>
      </c>
    </row>
    <row r="35" spans="1:53" ht="15" customHeight="1" x14ac:dyDescent="0.3">
      <c r="A35" t="s">
        <v>117</v>
      </c>
      <c r="B35">
        <v>1</v>
      </c>
      <c r="C35" s="2">
        <v>45068</v>
      </c>
      <c r="D35" s="11">
        <v>0.63680555555555551</v>
      </c>
      <c r="E35">
        <v>1013.6</v>
      </c>
      <c r="F35">
        <v>1120</v>
      </c>
      <c r="G35">
        <v>1116.3</v>
      </c>
      <c r="H35">
        <v>0</v>
      </c>
      <c r="I35">
        <v>0.98</v>
      </c>
      <c r="J35">
        <v>20.239999999999998</v>
      </c>
      <c r="K35">
        <v>75.34</v>
      </c>
      <c r="L35">
        <v>1</v>
      </c>
      <c r="N35" t="s">
        <v>99</v>
      </c>
      <c r="O35">
        <v>861.61</v>
      </c>
      <c r="P35" s="3">
        <f t="shared" si="75"/>
        <v>45068.636805555558</v>
      </c>
      <c r="Q35" s="4">
        <f t="shared" si="76"/>
        <v>35.004166666665697</v>
      </c>
      <c r="R35">
        <f t="shared" si="77"/>
        <v>96.56</v>
      </c>
      <c r="S35">
        <f t="shared" si="78"/>
        <v>0</v>
      </c>
      <c r="T35">
        <f t="shared" si="79"/>
        <v>1.0149130074565038</v>
      </c>
      <c r="U35">
        <f t="shared" si="80"/>
        <v>20.961060480530236</v>
      </c>
      <c r="V35">
        <f t="shared" si="81"/>
        <v>78.024026512013251</v>
      </c>
      <c r="W35">
        <f t="shared" si="82"/>
        <v>99.999999999999986</v>
      </c>
      <c r="X35" s="10">
        <f t="shared" si="83"/>
        <v>4.4158607937137662E-2</v>
      </c>
      <c r="Y35" s="10">
        <f t="shared" si="84"/>
        <v>4.4817145586573023E-4</v>
      </c>
      <c r="Z35" s="10">
        <f t="shared" si="85"/>
        <v>0</v>
      </c>
      <c r="AA35" s="10">
        <f t="shared" si="86"/>
        <v>9.2561125170636509E-3</v>
      </c>
      <c r="AB35" s="10">
        <f t="shared" si="87"/>
        <v>3.4454323964208278E-2</v>
      </c>
      <c r="AC35" s="10">
        <f t="shared" si="88"/>
        <v>4.4817145586573023E-4</v>
      </c>
      <c r="AD35" s="10">
        <f t="shared" si="89"/>
        <v>4.4012726821631043E-2</v>
      </c>
      <c r="AE35" s="10">
        <f t="shared" si="90"/>
        <v>4.4669088944903089E-4</v>
      </c>
      <c r="AF35" s="10">
        <f t="shared" si="91"/>
        <v>0</v>
      </c>
      <c r="AG35" s="10">
        <f t="shared" si="92"/>
        <v>9.2255342882126348E-3</v>
      </c>
      <c r="AH35" s="10">
        <f t="shared" si="93"/>
        <v>3.4340501643969373E-2</v>
      </c>
      <c r="AI35" s="10">
        <f t="shared" si="94"/>
        <v>4.4669088944903089E-4</v>
      </c>
      <c r="AJ35" s="22"/>
      <c r="AL35" s="25"/>
      <c r="AM35" s="6"/>
      <c r="AN35" s="6"/>
      <c r="AO35" s="6"/>
      <c r="AP35" s="19"/>
      <c r="AQ35" s="7">
        <f t="shared" si="97"/>
        <v>1136.7025683512843</v>
      </c>
      <c r="AR35" s="10">
        <f t="shared" si="98"/>
        <v>5.9449544324772168</v>
      </c>
      <c r="AS35" s="6">
        <f t="shared" si="99"/>
        <v>5.8260553438276735E-4</v>
      </c>
      <c r="AT35" s="6">
        <f t="shared" si="100"/>
        <v>1132.9473902236953</v>
      </c>
      <c r="AU35" s="6">
        <f t="shared" si="101"/>
        <v>5.9253148508699267</v>
      </c>
      <c r="AV35" s="6">
        <f t="shared" si="102"/>
        <v>5.8068085538525284E-4</v>
      </c>
      <c r="AW35" s="6">
        <f t="shared" si="103"/>
        <v>-2.3633724273919758E-3</v>
      </c>
      <c r="AX35" s="52">
        <f t="shared" si="104"/>
        <v>6.810006995181697E-4</v>
      </c>
      <c r="AY35" s="53">
        <f t="shared" si="105"/>
        <v>5.3200483149402469E-2</v>
      </c>
      <c r="AZ35" s="54"/>
      <c r="BA35" s="23">
        <f t="shared" si="10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5">
    <cfRule type="expression" dxfId="23" priority="1">
      <formula>$L13=0</formula>
    </cfRule>
    <cfRule type="expression" dxfId="22" priority="2">
      <formula>$L13=1</formula>
    </cfRule>
  </conditionalFormatting>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F7D1-8001-4A10-AA43-BDF7665F5027}">
  <dimension ref="A1:BD36"/>
  <sheetViews>
    <sheetView topLeftCell="AD1" zoomScale="87" zoomScaleNormal="40" workbookViewId="0">
      <selection activeCell="AX23" sqref="AX23"/>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117</v>
      </c>
      <c r="B13">
        <v>2</v>
      </c>
      <c r="C13" s="2">
        <v>45033</v>
      </c>
      <c r="D13" s="11">
        <v>0.63402777777777775</v>
      </c>
      <c r="E13">
        <v>1025.4000000000001</v>
      </c>
      <c r="F13">
        <f>SUM(F14:F36)/(35-14)</f>
        <v>1189.6009523809525</v>
      </c>
      <c r="M13" t="s">
        <v>4</v>
      </c>
      <c r="O13">
        <v>789.74</v>
      </c>
      <c r="P13" s="3">
        <f>C13+D13</f>
        <v>45033.634027777778</v>
      </c>
      <c r="Q13" s="4">
        <f>P13-$P$13</f>
        <v>0</v>
      </c>
      <c r="S13">
        <v>0</v>
      </c>
      <c r="T13">
        <v>0.03</v>
      </c>
      <c r="U13">
        <v>21.9</v>
      </c>
      <c r="V13">
        <v>78.069999999999993</v>
      </c>
      <c r="W13">
        <f>SUM(S13:V13)</f>
        <v>100</v>
      </c>
      <c r="X13" s="6">
        <f>F13*100*$D$3/($D$1*$D$2)</f>
        <v>4.6902787551639326E-2</v>
      </c>
      <c r="Y13" s="6">
        <f t="shared" ref="Y13:Y35" si="0">X13*T13/100</f>
        <v>1.4070836265491797E-5</v>
      </c>
      <c r="Z13" s="6">
        <f>X13*S13/100</f>
        <v>0</v>
      </c>
      <c r="AA13" s="6">
        <f t="shared" ref="AA13:AA35" si="1">X13*U13/100</f>
        <v>1.0271710473809013E-2</v>
      </c>
      <c r="AB13" s="6">
        <f t="shared" ref="AB13:AB35" si="2">X13*V13/100</f>
        <v>3.6617006241564817E-2</v>
      </c>
      <c r="AC13" s="6">
        <f>Y13+Z13</f>
        <v>1.4070836265491797E-5</v>
      </c>
      <c r="AD13" s="6">
        <f>X13</f>
        <v>4.6902787551639326E-2</v>
      </c>
      <c r="AE13" s="6">
        <f>Y13</f>
        <v>1.4070836265491797E-5</v>
      </c>
      <c r="AF13" s="6">
        <f t="shared" ref="AF13:AI13" si="3">Z13</f>
        <v>0</v>
      </c>
      <c r="AG13" s="6">
        <f t="shared" si="3"/>
        <v>1.0271710473809013E-2</v>
      </c>
      <c r="AH13" s="6">
        <f t="shared" si="3"/>
        <v>3.6617006241564817E-2</v>
      </c>
      <c r="AI13" s="6">
        <f t="shared" si="3"/>
        <v>1.4070836265491797E-5</v>
      </c>
      <c r="AJ13" s="22">
        <f>AC13-AI13</f>
        <v>0</v>
      </c>
      <c r="AK13" s="6">
        <f>AA13-AG13</f>
        <v>0</v>
      </c>
      <c r="AL13" s="23">
        <f>Y13-AE13</f>
        <v>0</v>
      </c>
      <c r="AM13" s="6">
        <f>AK13</f>
        <v>0</v>
      </c>
      <c r="AN13" s="6">
        <f>AL13</f>
        <v>0</v>
      </c>
      <c r="AO13" s="6">
        <f>AJ13</f>
        <v>0</v>
      </c>
      <c r="AP13" s="19">
        <f>AO13*$D$4*1000/$D$6</f>
        <v>0</v>
      </c>
      <c r="AQ13">
        <f>F13*100*T13/100</f>
        <v>35.688028571428575</v>
      </c>
      <c r="AR13" s="6">
        <f>AQ13*$D$7</f>
        <v>0.18664838942857145</v>
      </c>
      <c r="AS13" s="6">
        <f>AR13*$D$5/1000</f>
        <v>1.8291542164000003E-5</v>
      </c>
      <c r="AT13" s="6">
        <f>G13*100*T13/100</f>
        <v>0</v>
      </c>
      <c r="AU13" s="6">
        <f>AT13*$D$7</f>
        <v>0</v>
      </c>
      <c r="AV13" s="6">
        <f>AU13*$D$5/1000</f>
        <v>0</v>
      </c>
      <c r="AW13" s="6">
        <f>AS13-AV13</f>
        <v>1.8291542164000003E-5</v>
      </c>
      <c r="AX13" s="52">
        <f>AW13</f>
        <v>1.8291542164000003E-5</v>
      </c>
      <c r="AY13" s="53">
        <f>(AX13*$D$4*1000/$D$6)</f>
        <v>1.428954304101274E-3</v>
      </c>
      <c r="AZ13" s="54">
        <f>AP13</f>
        <v>0</v>
      </c>
      <c r="BA13" s="23">
        <v>0</v>
      </c>
    </row>
    <row r="14" spans="1:56" ht="14.4" x14ac:dyDescent="0.3">
      <c r="A14" t="s">
        <v>117</v>
      </c>
      <c r="B14">
        <v>2</v>
      </c>
      <c r="C14" s="2">
        <v>45035</v>
      </c>
      <c r="D14" s="11">
        <v>0.64722222222222225</v>
      </c>
      <c r="E14">
        <v>1022.8</v>
      </c>
      <c r="F14">
        <v>974.3</v>
      </c>
      <c r="G14">
        <v>971.6</v>
      </c>
      <c r="H14">
        <v>7.0000000000000007E-2</v>
      </c>
      <c r="I14">
        <v>2.74</v>
      </c>
      <c r="J14">
        <v>4.1399999999999997</v>
      </c>
      <c r="K14">
        <v>92.9</v>
      </c>
      <c r="L14">
        <v>0</v>
      </c>
      <c r="N14" t="s">
        <v>99</v>
      </c>
      <c r="P14" s="3">
        <f t="shared" ref="P14:P35" si="4">C14+D14</f>
        <v>45035.647222222222</v>
      </c>
      <c r="Q14" s="4">
        <f t="shared" ref="Q14:Q35" si="5">P14-$P$13</f>
        <v>2.0131944444437977</v>
      </c>
      <c r="R14">
        <f>SUM(H14:K14)</f>
        <v>99.850000000000009</v>
      </c>
      <c r="S14">
        <f>H14 * 100/R14</f>
        <v>7.0105157736604903E-2</v>
      </c>
      <c r="T14">
        <f>I14* 100/R14</f>
        <v>2.744116174261392</v>
      </c>
      <c r="U14">
        <f>J14* 100/R14</f>
        <v>4.1462193289934897</v>
      </c>
      <c r="V14">
        <f>K14* 100/R14</f>
        <v>93.039559339008505</v>
      </c>
      <c r="W14">
        <f>SUM(S14:V14)</f>
        <v>99.999999999999986</v>
      </c>
      <c r="X14" s="6">
        <f>F14*100*$D$3/($D$1*$D$2)</f>
        <v>3.8414046172458235E-2</v>
      </c>
      <c r="Y14" s="6">
        <f t="shared" si="0"/>
        <v>1.0541260542066657E-3</v>
      </c>
      <c r="Z14" s="6">
        <f t="shared" ref="Z14:Z35" si="6">X14*S14/100</f>
        <v>2.6930227662214087E-5</v>
      </c>
      <c r="AA14" s="6">
        <f t="shared" si="1"/>
        <v>1.5927306074509471E-3</v>
      </c>
      <c r="AB14" s="6">
        <f t="shared" si="2"/>
        <v>3.5740259283138405E-2</v>
      </c>
      <c r="AC14" s="6">
        <f>Y14+Z14</f>
        <v>1.0810562818688797E-3</v>
      </c>
      <c r="AD14" s="6">
        <f t="shared" ref="AD14:AD35" si="7">G14*100*$D$3/($D$1*$D$2)</f>
        <v>3.8307592385466917E-2</v>
      </c>
      <c r="AE14" s="6">
        <f t="shared" ref="AE14:AE35" si="8">AD14*T14/100</f>
        <v>1.051204838619723E-3</v>
      </c>
      <c r="AF14" s="6">
        <f t="shared" ref="AF14:AF35" si="9">AD14*S14/100</f>
        <v>2.6855598066927233E-5</v>
      </c>
      <c r="AG14" s="6">
        <f t="shared" ref="AG14:AG35" si="10">AD14*U14/100</f>
        <v>1.5883167999582676E-3</v>
      </c>
      <c r="AH14" s="6">
        <f t="shared" ref="AH14:AH35" si="11">AD14*V14/100</f>
        <v>3.5641215148821993E-2</v>
      </c>
      <c r="AI14" s="6">
        <f>AE14+AF14</f>
        <v>1.0780604366866502E-3</v>
      </c>
      <c r="AJ14" s="22">
        <f>AC14-AI13</f>
        <v>1.0669854456033879E-3</v>
      </c>
      <c r="AK14">
        <f>(AA14-AG13)*-1</f>
        <v>8.678979866358065E-3</v>
      </c>
      <c r="AL14" s="25">
        <f>Y14-AE13</f>
        <v>1.0400552179411738E-3</v>
      </c>
      <c r="AM14" s="6">
        <f>AK14+AM13</f>
        <v>8.678979866358065E-3</v>
      </c>
      <c r="AN14" s="6">
        <f>AL14+AN13</f>
        <v>1.0400552179411738E-3</v>
      </c>
      <c r="AO14" s="6">
        <f>AJ14+AO13</f>
        <v>1.0669854456033879E-3</v>
      </c>
      <c r="AP14" s="19">
        <f>AO14*$D$4*1000/$D$6</f>
        <v>8.3354013086393619E-2</v>
      </c>
      <c r="AQ14">
        <f>F14*100*T14/100</f>
        <v>2673.5923885828738</v>
      </c>
      <c r="AR14" s="6">
        <f>AQ14*$D$7</f>
        <v>13.982888192288431</v>
      </c>
      <c r="AS14" s="6">
        <f>AR14*$D$5/1000</f>
        <v>1.3703230428442662E-3</v>
      </c>
      <c r="AT14" s="6">
        <f t="shared" ref="AT14:AT35" si="12">G14*100*T14/100</f>
        <v>2666.1832749123687</v>
      </c>
      <c r="AU14" s="6">
        <f t="shared" ref="AU14:AU35" si="13">AT14*$D$7</f>
        <v>13.944138527791688</v>
      </c>
      <c r="AV14" s="6">
        <f t="shared" ref="AV14:AV35" si="14">AU14*$D$5/1000</f>
        <v>1.3665255757235855E-3</v>
      </c>
      <c r="AW14" s="6">
        <f>AS14-AV13</f>
        <v>1.3703230428442662E-3</v>
      </c>
      <c r="AX14" s="52">
        <f>AW14+AX13</f>
        <v>1.3886145850082663E-3</v>
      </c>
      <c r="AY14" s="53">
        <f t="shared" ref="AY14:AY35" si="15">(AX14*$D$4*1000/$D$6)</f>
        <v>0.10848001607489646</v>
      </c>
      <c r="AZ14" s="54">
        <f>AY14+AP14</f>
        <v>0.19183402916129008</v>
      </c>
      <c r="BA14" s="23">
        <f t="shared" ref="BA14:BA35" si="16">AK14/(AL14+AW14)</f>
        <v>3.6006713168454954</v>
      </c>
    </row>
    <row r="15" spans="1:56" ht="14.4" x14ac:dyDescent="0.3">
      <c r="A15" t="s">
        <v>117</v>
      </c>
      <c r="B15">
        <v>2</v>
      </c>
      <c r="C15" s="2">
        <v>45035</v>
      </c>
      <c r="D15" s="11">
        <v>0.7319444444444444</v>
      </c>
      <c r="E15">
        <v>1021.3</v>
      </c>
      <c r="F15">
        <v>1128.3</v>
      </c>
      <c r="G15">
        <v>1122.2</v>
      </c>
      <c r="H15">
        <v>0</v>
      </c>
      <c r="I15">
        <v>0.66</v>
      </c>
      <c r="J15">
        <v>20.51</v>
      </c>
      <c r="K15">
        <v>76.38</v>
      </c>
      <c r="L15">
        <v>1</v>
      </c>
      <c r="M15" t="s">
        <v>119</v>
      </c>
      <c r="N15" t="s">
        <v>99</v>
      </c>
      <c r="O15">
        <v>789.74</v>
      </c>
      <c r="P15" s="3">
        <f t="shared" si="4"/>
        <v>45035.731944444444</v>
      </c>
      <c r="Q15" s="4">
        <f t="shared" si="5"/>
        <v>2.0979166666656965</v>
      </c>
      <c r="R15">
        <f t="shared" ref="R15:R31" si="17">SUM(H15:K15)</f>
        <v>97.55</v>
      </c>
      <c r="S15">
        <f t="shared" ref="S15:S35" si="18">H15 * 100/R15</f>
        <v>0</v>
      </c>
      <c r="T15">
        <f t="shared" ref="T15:T35" si="19">I15* 100/R15</f>
        <v>0.67657611481291646</v>
      </c>
      <c r="U15">
        <f t="shared" ref="U15:U35" si="20">J15* 100/R15</f>
        <v>21.025115325474115</v>
      </c>
      <c r="V15">
        <f t="shared" ref="V15:V35" si="21">K15* 100/R15</f>
        <v>78.298308559712964</v>
      </c>
      <c r="W15">
        <f t="shared" ref="W15:W35" si="22">SUM(S15:V15)</f>
        <v>100</v>
      </c>
      <c r="X15" s="6">
        <f t="shared" ref="X15:X35" si="23">F15*100*$D$3/($D$1*$D$2)</f>
        <v>4.4485854763814663E-2</v>
      </c>
      <c r="Y15" s="6">
        <f t="shared" si="0"/>
        <v>3.0098066780233395E-4</v>
      </c>
      <c r="Z15" s="6">
        <f t="shared" si="6"/>
        <v>0</v>
      </c>
      <c r="AA15" s="6">
        <f t="shared" si="1"/>
        <v>9.3532022676149525E-3</v>
      </c>
      <c r="AB15" s="6">
        <f t="shared" si="2"/>
        <v>3.4831671828397373E-2</v>
      </c>
      <c r="AC15" s="6">
        <f t="shared" ref="AC15:AC28" si="24">Y15+Z15</f>
        <v>3.0098066780233395E-4</v>
      </c>
      <c r="AD15" s="6">
        <f t="shared" si="7"/>
        <v>4.4245348059871327E-2</v>
      </c>
      <c r="AE15" s="6">
        <f t="shared" si="8"/>
        <v>2.9935345688892955E-4</v>
      </c>
      <c r="AF15" s="6">
        <f t="shared" si="9"/>
        <v>0</v>
      </c>
      <c r="AG15" s="6">
        <f t="shared" si="10"/>
        <v>9.3026354557453703E-3</v>
      </c>
      <c r="AH15" s="6">
        <f t="shared" si="11"/>
        <v>3.4643359147237027E-2</v>
      </c>
      <c r="AI15" s="6">
        <f t="shared" ref="AI15:AI28" si="25">AE15+AF15</f>
        <v>2.9935345688892955E-4</v>
      </c>
      <c r="AJ15" s="22"/>
      <c r="AL15" s="25"/>
      <c r="AM15" s="6"/>
      <c r="AN15" s="6"/>
      <c r="AO15" s="6"/>
      <c r="AP15" s="19"/>
      <c r="AQ15">
        <f t="shared" ref="AQ15:AQ28" si="26">F15*100*T15/100</f>
        <v>763.38083034341366</v>
      </c>
      <c r="AR15" s="6">
        <f t="shared" ref="AR15:AR35" si="27">AQ15*$D$7</f>
        <v>3.9924817426960537</v>
      </c>
      <c r="AS15" s="6">
        <f t="shared" ref="AS15:AS35" si="28">AR15*$D$5/1000</f>
        <v>3.9126321078421326E-4</v>
      </c>
      <c r="AT15" s="6">
        <f t="shared" si="12"/>
        <v>759.25371604305485</v>
      </c>
      <c r="AU15" s="6">
        <f t="shared" si="13"/>
        <v>3.970896934905177</v>
      </c>
      <c r="AV15" s="6">
        <f t="shared" si="14"/>
        <v>3.8914789962070736E-4</v>
      </c>
      <c r="AW15" s="6">
        <f t="shared" ref="AW15:AW35" si="29">AS15-AV14</f>
        <v>-9.752623649393723E-4</v>
      </c>
      <c r="AX15" s="52">
        <f t="shared" ref="AX15:AX35" si="30">AW15+AX14</f>
        <v>4.1335222006889396E-4</v>
      </c>
      <c r="AY15" s="53">
        <f t="shared" si="15"/>
        <v>3.2291505477310557E-2</v>
      </c>
      <c r="AZ15" s="54"/>
      <c r="BA15" s="23">
        <f t="shared" si="16"/>
        <v>0</v>
      </c>
    </row>
    <row r="16" spans="1:56" s="7" customFormat="1" ht="14.4" x14ac:dyDescent="0.3">
      <c r="A16" t="s">
        <v>117</v>
      </c>
      <c r="B16">
        <v>2</v>
      </c>
      <c r="C16" s="2">
        <v>45040</v>
      </c>
      <c r="D16" s="11">
        <v>0.44722222222222219</v>
      </c>
      <c r="E16">
        <v>1003</v>
      </c>
      <c r="F16">
        <v>993.2</v>
      </c>
      <c r="G16">
        <v>989.4</v>
      </c>
      <c r="H16">
        <v>0.01</v>
      </c>
      <c r="I16">
        <v>6.16</v>
      </c>
      <c r="J16">
        <v>5.44</v>
      </c>
      <c r="K16">
        <v>87.98</v>
      </c>
      <c r="L16">
        <v>0</v>
      </c>
      <c r="M16"/>
      <c r="N16" t="s">
        <v>99</v>
      </c>
      <c r="O16"/>
      <c r="P16" s="8">
        <f t="shared" si="4"/>
        <v>45040.447222222225</v>
      </c>
      <c r="Q16" s="9">
        <f t="shared" si="5"/>
        <v>6.8131944444467081</v>
      </c>
      <c r="R16">
        <f t="shared" si="17"/>
        <v>99.59</v>
      </c>
      <c r="S16">
        <f t="shared" si="18"/>
        <v>1.0041168792047394E-2</v>
      </c>
      <c r="T16">
        <f t="shared" si="19"/>
        <v>6.1853599759011946</v>
      </c>
      <c r="U16">
        <f t="shared" si="20"/>
        <v>5.4623958228737823</v>
      </c>
      <c r="V16">
        <f t="shared" si="21"/>
        <v>88.342203032432977</v>
      </c>
      <c r="W16">
        <f t="shared" si="22"/>
        <v>100</v>
      </c>
      <c r="X16" s="10">
        <f t="shared" si="23"/>
        <v>3.9159222681397432E-2</v>
      </c>
      <c r="Y16" s="10">
        <f t="shared" si="0"/>
        <v>2.4221388866091792E-3</v>
      </c>
      <c r="Z16" s="10">
        <f t="shared" si="6"/>
        <v>3.9320436470928241E-6</v>
      </c>
      <c r="AA16" s="10">
        <f t="shared" si="1"/>
        <v>2.1390317440184961E-3</v>
      </c>
      <c r="AB16" s="10">
        <f t="shared" si="2"/>
        <v>3.459412000712267E-2</v>
      </c>
      <c r="AC16" s="10">
        <f t="shared" si="24"/>
        <v>2.426070930256272E-3</v>
      </c>
      <c r="AD16" s="10">
        <f t="shared" si="7"/>
        <v>3.9009398833039284E-2</v>
      </c>
      <c r="AE16" s="10">
        <f t="shared" si="8"/>
        <v>2.4128717422584795E-3</v>
      </c>
      <c r="AF16" s="10">
        <f t="shared" si="9"/>
        <v>3.9169995815884414E-6</v>
      </c>
      <c r="AG16" s="10">
        <f t="shared" si="10"/>
        <v>2.1308477723841119E-3</v>
      </c>
      <c r="AH16" s="10">
        <f t="shared" si="11"/>
        <v>3.4461762318815106E-2</v>
      </c>
      <c r="AI16" s="10">
        <f t="shared" si="25"/>
        <v>2.4167887418400681E-3</v>
      </c>
      <c r="AJ16" s="22">
        <f t="shared" ref="AJ16:AJ33" si="31">AC16-AI15</f>
        <v>2.1267174733673425E-3</v>
      </c>
      <c r="AK16">
        <f t="shared" ref="AK16:AK33" si="32">(AA16-AG15)*-1</f>
        <v>7.1636037117268746E-3</v>
      </c>
      <c r="AL16" s="25">
        <f t="shared" ref="AL16:AL33" si="33">Y16-AE15</f>
        <v>2.1227854297202497E-3</v>
      </c>
      <c r="AM16" s="6">
        <f>AK16+AM14</f>
        <v>1.5842583578084941E-2</v>
      </c>
      <c r="AN16" s="6">
        <f>AL16+AN14</f>
        <v>3.1628406476614237E-3</v>
      </c>
      <c r="AO16" s="6">
        <f>AJ16+AO14</f>
        <v>3.1937029189707303E-3</v>
      </c>
      <c r="AP16" s="19">
        <f t="shared" ref="AP16:AP35" si="34">AO16*$D$4*1000/$D$6</f>
        <v>0.24949539471121582</v>
      </c>
      <c r="AQ16" s="7">
        <f t="shared" si="26"/>
        <v>6143.2995280650666</v>
      </c>
      <c r="AR16" s="10">
        <f t="shared" si="27"/>
        <v>32.129456531780299</v>
      </c>
      <c r="AS16" s="6">
        <f t="shared" si="28"/>
        <v>3.1486867401144692E-3</v>
      </c>
      <c r="AT16" s="6">
        <f t="shared" si="12"/>
        <v>6119.7951601566419</v>
      </c>
      <c r="AU16" s="6">
        <f t="shared" si="13"/>
        <v>32.006528687619237</v>
      </c>
      <c r="AV16" s="6">
        <f t="shared" si="14"/>
        <v>3.1366398113866854E-3</v>
      </c>
      <c r="AW16" s="6">
        <f t="shared" si="29"/>
        <v>2.759538840493762E-3</v>
      </c>
      <c r="AX16" s="52">
        <f t="shared" si="30"/>
        <v>3.1728910605626562E-3</v>
      </c>
      <c r="AY16" s="53">
        <f t="shared" si="15"/>
        <v>0.24786955068002781</v>
      </c>
      <c r="AZ16" s="54">
        <f t="shared" ref="AZ16:AZ35" si="35">AY16+AP16</f>
        <v>0.49736494539124365</v>
      </c>
      <c r="BA16" s="23">
        <f t="shared" si="16"/>
        <v>1.4672527499720673</v>
      </c>
      <c r="BB16"/>
      <c r="BC16"/>
      <c r="BD16"/>
    </row>
    <row r="17" spans="1:56" ht="14.4" x14ac:dyDescent="0.3">
      <c r="A17" t="s">
        <v>117</v>
      </c>
      <c r="B17">
        <v>2</v>
      </c>
      <c r="C17" s="2">
        <v>45040</v>
      </c>
      <c r="D17" s="11">
        <v>0.4909722222222222</v>
      </c>
      <c r="E17">
        <v>1003.6</v>
      </c>
      <c r="F17">
        <v>1105</v>
      </c>
      <c r="G17">
        <v>1100.8</v>
      </c>
      <c r="H17">
        <v>0</v>
      </c>
      <c r="I17">
        <v>1.1200000000000001</v>
      </c>
      <c r="J17">
        <v>20.309999999999999</v>
      </c>
      <c r="K17">
        <v>75.72</v>
      </c>
      <c r="L17">
        <v>1</v>
      </c>
      <c r="N17" t="s">
        <v>99</v>
      </c>
      <c r="O17">
        <v>789.7</v>
      </c>
      <c r="P17" s="3">
        <f t="shared" si="4"/>
        <v>45040.490972222222</v>
      </c>
      <c r="Q17" s="4">
        <f t="shared" si="5"/>
        <v>6.8569444444437977</v>
      </c>
      <c r="R17">
        <f t="shared" si="17"/>
        <v>97.15</v>
      </c>
      <c r="S17">
        <f t="shared" si="18"/>
        <v>0</v>
      </c>
      <c r="T17">
        <f t="shared" si="19"/>
        <v>1.1528564076170871</v>
      </c>
      <c r="U17">
        <f t="shared" si="20"/>
        <v>20.905815748841995</v>
      </c>
      <c r="V17">
        <f t="shared" si="21"/>
        <v>77.941327843540918</v>
      </c>
      <c r="W17">
        <f t="shared" si="22"/>
        <v>100</v>
      </c>
      <c r="X17" s="6">
        <f t="shared" si="23"/>
        <v>4.3567198009408142E-2</v>
      </c>
      <c r="Y17" s="6">
        <f t="shared" si="0"/>
        <v>5.0226723387068576E-4</v>
      </c>
      <c r="Z17" s="6">
        <f t="shared" si="6"/>
        <v>0</v>
      </c>
      <c r="AA17" s="6">
        <f t="shared" si="1"/>
        <v>9.1080781427800243E-3</v>
      </c>
      <c r="AB17" s="6">
        <f t="shared" si="2"/>
        <v>3.3956852632757432E-2</v>
      </c>
      <c r="AC17" s="6">
        <f t="shared" si="24"/>
        <v>5.0226723387068576E-4</v>
      </c>
      <c r="AD17" s="6">
        <f t="shared" si="7"/>
        <v>4.340160322964387E-2</v>
      </c>
      <c r="AE17" s="6">
        <f t="shared" si="8"/>
        <v>5.0035816384149398E-4</v>
      </c>
      <c r="AF17" s="6">
        <f t="shared" si="9"/>
        <v>0</v>
      </c>
      <c r="AG17" s="6">
        <f t="shared" si="10"/>
        <v>9.0734592032328046E-3</v>
      </c>
      <c r="AH17" s="6">
        <f t="shared" si="11"/>
        <v>3.382778586256957E-2</v>
      </c>
      <c r="AI17" s="6">
        <f t="shared" si="25"/>
        <v>5.0035816384149398E-4</v>
      </c>
      <c r="AJ17" s="22"/>
      <c r="AL17" s="25"/>
      <c r="AM17" s="6"/>
      <c r="AN17" s="6"/>
      <c r="AO17" s="6"/>
      <c r="AP17" s="19"/>
      <c r="AQ17">
        <f t="shared" si="26"/>
        <v>1273.9063304168812</v>
      </c>
      <c r="AR17" s="6">
        <f t="shared" si="27"/>
        <v>6.662530108080289</v>
      </c>
      <c r="AS17" s="6">
        <f t="shared" si="28"/>
        <v>6.5292795059186833E-4</v>
      </c>
      <c r="AT17" s="6">
        <f t="shared" si="12"/>
        <v>1269.0643335048894</v>
      </c>
      <c r="AU17" s="6">
        <f t="shared" si="13"/>
        <v>6.6372064642305721</v>
      </c>
      <c r="AV17" s="6">
        <f t="shared" si="14"/>
        <v>6.5044623349459611E-4</v>
      </c>
      <c r="AW17" s="6">
        <f t="shared" si="29"/>
        <v>-2.4837118607948169E-3</v>
      </c>
      <c r="AX17" s="52">
        <f t="shared" si="30"/>
        <v>6.8917919976783926E-4</v>
      </c>
      <c r="AY17" s="53">
        <f t="shared" si="15"/>
        <v>5.3839396097697202E-2</v>
      </c>
      <c r="AZ17" s="54"/>
      <c r="BA17" s="23">
        <f t="shared" si="16"/>
        <v>0</v>
      </c>
    </row>
    <row r="18" spans="1:56" s="7" customFormat="1" ht="14.4" x14ac:dyDescent="0.3">
      <c r="A18" t="s">
        <v>117</v>
      </c>
      <c r="B18">
        <v>2</v>
      </c>
      <c r="C18" s="2">
        <v>45042</v>
      </c>
      <c r="D18" s="11">
        <v>0.38055555555555554</v>
      </c>
      <c r="E18">
        <v>1017.1</v>
      </c>
      <c r="F18">
        <v>1061.8</v>
      </c>
      <c r="G18">
        <v>1058.3</v>
      </c>
      <c r="H18">
        <v>0</v>
      </c>
      <c r="I18">
        <v>3.28</v>
      </c>
      <c r="J18">
        <v>15.71</v>
      </c>
      <c r="K18">
        <v>80.319999999999993</v>
      </c>
      <c r="L18">
        <v>0</v>
      </c>
      <c r="M18"/>
      <c r="N18" t="s">
        <v>99</v>
      </c>
      <c r="O18"/>
      <c r="P18" s="8">
        <f t="shared" si="4"/>
        <v>45042.380555555559</v>
      </c>
      <c r="Q18" s="9">
        <f t="shared" si="5"/>
        <v>8.7465277777810115</v>
      </c>
      <c r="R18">
        <f t="shared" si="17"/>
        <v>99.31</v>
      </c>
      <c r="S18">
        <f t="shared" si="18"/>
        <v>0</v>
      </c>
      <c r="T18">
        <f t="shared" si="19"/>
        <v>3.3027892457959922</v>
      </c>
      <c r="U18">
        <f t="shared" si="20"/>
        <v>15.819152149833853</v>
      </c>
      <c r="V18">
        <f t="shared" si="21"/>
        <v>80.878058604370139</v>
      </c>
      <c r="W18">
        <f t="shared" si="22"/>
        <v>99.999999999999986</v>
      </c>
      <c r="X18" s="10">
        <f t="shared" si="23"/>
        <v>4.1863937417547112E-2</v>
      </c>
      <c r="Y18" s="10">
        <f t="shared" si="0"/>
        <v>1.3826776228935103E-3</v>
      </c>
      <c r="Z18" s="10">
        <f t="shared" si="6"/>
        <v>0</v>
      </c>
      <c r="AA18" s="10">
        <f t="shared" si="1"/>
        <v>6.622519955993003E-3</v>
      </c>
      <c r="AB18" s="10">
        <f t="shared" si="2"/>
        <v>3.3858739838660591E-2</v>
      </c>
      <c r="AC18" s="10">
        <f t="shared" si="24"/>
        <v>1.3826776228935103E-3</v>
      </c>
      <c r="AD18" s="10">
        <f t="shared" si="7"/>
        <v>4.1725941767743559E-2</v>
      </c>
      <c r="AE18" s="10">
        <f t="shared" si="8"/>
        <v>1.3781199174121323E-3</v>
      </c>
      <c r="AF18" s="10">
        <f t="shared" si="9"/>
        <v>0</v>
      </c>
      <c r="AG18" s="10">
        <f t="shared" si="10"/>
        <v>6.6006902141904269E-3</v>
      </c>
      <c r="AH18" s="10">
        <f t="shared" si="11"/>
        <v>3.3747131636140994E-2</v>
      </c>
      <c r="AI18" s="10">
        <f t="shared" si="25"/>
        <v>1.3781199174121323E-3</v>
      </c>
      <c r="AJ18" s="22">
        <f t="shared" si="31"/>
        <v>8.8231945905201635E-4</v>
      </c>
      <c r="AK18">
        <f t="shared" si="32"/>
        <v>2.4509392472398016E-3</v>
      </c>
      <c r="AL18" s="25">
        <f t="shared" si="33"/>
        <v>8.8231945905201635E-4</v>
      </c>
      <c r="AM18" s="6">
        <f>AK18+AM16</f>
        <v>1.8293522825324742E-2</v>
      </c>
      <c r="AN18" s="6">
        <f>AL18+AN16</f>
        <v>4.0451601067134401E-3</v>
      </c>
      <c r="AO18" s="6">
        <f>AJ18+AO16</f>
        <v>4.0760223780227471E-3</v>
      </c>
      <c r="AP18" s="19">
        <f t="shared" si="34"/>
        <v>0.31842310880445862</v>
      </c>
      <c r="AQ18" s="7">
        <f t="shared" si="26"/>
        <v>3506.9016211861845</v>
      </c>
      <c r="AR18" s="10">
        <f t="shared" si="27"/>
        <v>18.341095478803744</v>
      </c>
      <c r="AS18" s="6">
        <f t="shared" si="28"/>
        <v>1.797427356922767E-3</v>
      </c>
      <c r="AT18" s="6">
        <f t="shared" si="12"/>
        <v>3495.3418588258983</v>
      </c>
      <c r="AU18" s="6">
        <f t="shared" si="13"/>
        <v>18.280637921659448</v>
      </c>
      <c r="AV18" s="6">
        <f t="shared" si="14"/>
        <v>1.7915025163226259E-3</v>
      </c>
      <c r="AW18" s="6">
        <f t="shared" si="29"/>
        <v>1.1469811234281709E-3</v>
      </c>
      <c r="AX18" s="52">
        <f t="shared" si="30"/>
        <v>1.8361603231960102E-3</v>
      </c>
      <c r="AY18" s="53">
        <f t="shared" si="15"/>
        <v>0.14344275476208146</v>
      </c>
      <c r="AZ18" s="54">
        <f t="shared" si="35"/>
        <v>0.46186586356654008</v>
      </c>
      <c r="BA18" s="23">
        <f t="shared" si="16"/>
        <v>1.2077753628022383</v>
      </c>
      <c r="BB18"/>
      <c r="BC18"/>
      <c r="BD18"/>
    </row>
    <row r="19" spans="1:56" ht="14.4" x14ac:dyDescent="0.3">
      <c r="A19" t="s">
        <v>117</v>
      </c>
      <c r="B19">
        <v>2</v>
      </c>
      <c r="C19" s="2">
        <v>45042</v>
      </c>
      <c r="D19" s="11">
        <v>0.4291666666666667</v>
      </c>
      <c r="E19">
        <v>1017.3</v>
      </c>
      <c r="F19">
        <v>1119.8</v>
      </c>
      <c r="G19">
        <v>1116.4000000000001</v>
      </c>
      <c r="H19">
        <v>0</v>
      </c>
      <c r="I19">
        <v>0.75</v>
      </c>
      <c r="J19">
        <v>20.5</v>
      </c>
      <c r="K19">
        <v>76.27</v>
      </c>
      <c r="L19">
        <v>1</v>
      </c>
      <c r="N19" t="s">
        <v>99</v>
      </c>
      <c r="O19">
        <v>789.53</v>
      </c>
      <c r="P19" s="3">
        <f t="shared" si="4"/>
        <v>45042.429166666669</v>
      </c>
      <c r="Q19" s="4">
        <f t="shared" si="5"/>
        <v>8.7951388888905058</v>
      </c>
      <c r="R19">
        <f t="shared" si="17"/>
        <v>97.52</v>
      </c>
      <c r="S19">
        <f t="shared" si="18"/>
        <v>0</v>
      </c>
      <c r="T19">
        <f t="shared" si="19"/>
        <v>0.76907301066447908</v>
      </c>
      <c r="U19">
        <f t="shared" si="20"/>
        <v>21.021328958162428</v>
      </c>
      <c r="V19">
        <f t="shared" si="21"/>
        <v>78.209598031173101</v>
      </c>
      <c r="W19">
        <f t="shared" si="22"/>
        <v>100</v>
      </c>
      <c r="X19" s="6">
        <f t="shared" si="23"/>
        <v>4.4150722471434603E-2</v>
      </c>
      <c r="Y19" s="6">
        <f t="shared" si="0"/>
        <v>3.395512905411808E-4</v>
      </c>
      <c r="Z19" s="6">
        <f t="shared" si="6"/>
        <v>0</v>
      </c>
      <c r="AA19" s="6">
        <f t="shared" si="1"/>
        <v>9.2810686081256089E-3</v>
      </c>
      <c r="AB19" s="6">
        <f t="shared" si="2"/>
        <v>3.4530102572767812E-2</v>
      </c>
      <c r="AC19" s="6">
        <f t="shared" si="24"/>
        <v>3.395512905411808E-4</v>
      </c>
      <c r="AD19" s="6">
        <f t="shared" si="7"/>
        <v>4.4016669554482579E-2</v>
      </c>
      <c r="AE19" s="6">
        <f t="shared" si="8"/>
        <v>3.3852032573689436E-4</v>
      </c>
      <c r="AF19" s="6">
        <f t="shared" si="9"/>
        <v>0</v>
      </c>
      <c r="AG19" s="6">
        <f t="shared" si="10"/>
        <v>9.2528889034751115E-3</v>
      </c>
      <c r="AH19" s="6">
        <f t="shared" si="11"/>
        <v>3.442526032527058E-2</v>
      </c>
      <c r="AI19" s="6">
        <f t="shared" si="25"/>
        <v>3.3852032573689436E-4</v>
      </c>
      <c r="AJ19" s="22"/>
      <c r="AL19" s="25"/>
      <c r="AM19" s="6"/>
      <c r="AN19" s="6"/>
      <c r="AO19" s="6"/>
      <c r="AP19" s="19"/>
      <c r="AQ19">
        <f t="shared" si="26"/>
        <v>861.20795734208366</v>
      </c>
      <c r="AR19" s="6">
        <f t="shared" si="27"/>
        <v>4.504117616899098</v>
      </c>
      <c r="AS19" s="6">
        <f t="shared" si="28"/>
        <v>4.4140352645611166E-4</v>
      </c>
      <c r="AT19" s="6">
        <f t="shared" si="12"/>
        <v>858.59310910582451</v>
      </c>
      <c r="AU19" s="6">
        <f t="shared" si="13"/>
        <v>4.4904419606234622</v>
      </c>
      <c r="AV19" s="6">
        <f t="shared" si="14"/>
        <v>4.4006331214109935E-4</v>
      </c>
      <c r="AW19" s="6">
        <f t="shared" si="29"/>
        <v>-1.3500989898665142E-3</v>
      </c>
      <c r="AX19" s="52">
        <f t="shared" si="30"/>
        <v>4.8606133332949604E-4</v>
      </c>
      <c r="AY19" s="53">
        <f t="shared" si="15"/>
        <v>3.7971617050713495E-2</v>
      </c>
      <c r="AZ19" s="54"/>
      <c r="BA19" s="23">
        <f t="shared" si="16"/>
        <v>0</v>
      </c>
    </row>
    <row r="20" spans="1:56" ht="14.4" x14ac:dyDescent="0.3">
      <c r="A20" t="s">
        <v>117</v>
      </c>
      <c r="B20">
        <v>2</v>
      </c>
      <c r="C20" s="2">
        <v>45044</v>
      </c>
      <c r="D20" s="11">
        <v>0.41736111111111113</v>
      </c>
      <c r="E20">
        <v>1007</v>
      </c>
      <c r="F20">
        <v>1083.7</v>
      </c>
      <c r="G20">
        <v>1079.9000000000001</v>
      </c>
      <c r="H20">
        <v>0</v>
      </c>
      <c r="I20">
        <v>2.46</v>
      </c>
      <c r="J20">
        <v>16.48</v>
      </c>
      <c r="K20">
        <v>80.92</v>
      </c>
      <c r="L20">
        <v>0</v>
      </c>
      <c r="N20" t="s">
        <v>99</v>
      </c>
      <c r="P20" s="3">
        <f>C20+D20</f>
        <v>45044.417361111111</v>
      </c>
      <c r="Q20" s="4">
        <f>P20-$P$13</f>
        <v>10.783333333332848</v>
      </c>
      <c r="R20">
        <f>SUM(H20:K20)</f>
        <v>99.86</v>
      </c>
      <c r="S20">
        <f>H20 * 100/R20</f>
        <v>0</v>
      </c>
      <c r="T20">
        <f>I20* 100/R20</f>
        <v>2.4634488283597036</v>
      </c>
      <c r="U20">
        <f>J20* 100/R20</f>
        <v>16.50310434608452</v>
      </c>
      <c r="V20">
        <f>K20* 100/R20</f>
        <v>81.033446825555785</v>
      </c>
      <c r="W20">
        <f>SUM(S20:V20)</f>
        <v>100</v>
      </c>
      <c r="X20" s="6">
        <f>F20*100*$D$3/($D$1*$D$2)</f>
        <v>4.2727395912032215E-2</v>
      </c>
      <c r="Y20" s="6">
        <f>X20*T20/100</f>
        <v>1.0525675339835695E-3</v>
      </c>
      <c r="Z20" s="6">
        <f>X20*S20/100</f>
        <v>0</v>
      </c>
      <c r="AA20" s="6">
        <f>X20*U20/100</f>
        <v>7.051346731727328E-3</v>
      </c>
      <c r="AB20" s="6">
        <f>X20*V20/100</f>
        <v>3.462348164632132E-2</v>
      </c>
      <c r="AC20" s="6">
        <f>Y20+Z20</f>
        <v>1.0525675339835695E-3</v>
      </c>
      <c r="AD20" s="6">
        <f>G20*100*$D$3/($D$1*$D$2)</f>
        <v>4.2577572063674081E-2</v>
      </c>
      <c r="AE20" s="6">
        <f>AD20*T20/100</f>
        <v>1.0488767001465876E-3</v>
      </c>
      <c r="AF20" s="6">
        <f>AD20*S20/100</f>
        <v>0</v>
      </c>
      <c r="AG20" s="6">
        <f>AD20*U20/100</f>
        <v>7.0266211456974656E-3</v>
      </c>
      <c r="AH20" s="6">
        <f>AD20*V20/100</f>
        <v>3.4502074217830032E-2</v>
      </c>
      <c r="AI20" s="6">
        <f>AE20+AF20</f>
        <v>1.0488767001465876E-3</v>
      </c>
      <c r="AJ20" s="22">
        <f>AC20-AI19</f>
        <v>7.140472082466751E-4</v>
      </c>
      <c r="AK20">
        <f>(AA20-AG19)*-1</f>
        <v>2.2015421717477834E-3</v>
      </c>
      <c r="AL20" s="25">
        <f>Y20-AE19</f>
        <v>7.140472082466751E-4</v>
      </c>
      <c r="AM20" s="6">
        <f>AK20+AM18</f>
        <v>2.0495064997072526E-2</v>
      </c>
      <c r="AN20" s="6">
        <f>AL20+AN18</f>
        <v>4.759207314960115E-3</v>
      </c>
      <c r="AO20" s="6">
        <f>AJ20+AO18</f>
        <v>4.790069586269422E-3</v>
      </c>
      <c r="AP20" s="19">
        <f>AO20*$D$4*1000/$D$6</f>
        <v>0.37420521959683017</v>
      </c>
      <c r="AQ20">
        <f>F20*100*T20/100</f>
        <v>2669.6394952934106</v>
      </c>
      <c r="AR20" s="6">
        <f t="shared" si="27"/>
        <v>13.962214560384538</v>
      </c>
      <c r="AS20" s="6">
        <f t="shared" si="28"/>
        <v>1.3682970269176848E-3</v>
      </c>
      <c r="AT20" s="6">
        <f>G20*100*T20/100</f>
        <v>2660.2783897456447</v>
      </c>
      <c r="AU20" s="6">
        <f t="shared" si="13"/>
        <v>13.913255978369722</v>
      </c>
      <c r="AV20" s="6">
        <f t="shared" si="14"/>
        <v>1.3634990858802328E-3</v>
      </c>
      <c r="AW20" s="6">
        <f t="shared" si="29"/>
        <v>9.2823371477658546E-4</v>
      </c>
      <c r="AX20" s="52">
        <f t="shared" si="30"/>
        <v>1.4142950481060815E-3</v>
      </c>
      <c r="AY20" s="53">
        <f t="shared" si="15"/>
        <v>0.1104862005696713</v>
      </c>
      <c r="AZ20" s="54">
        <f>AY20+AP20</f>
        <v>0.48469142016650146</v>
      </c>
      <c r="BA20" s="23">
        <f>AK20/(AL20+AW20)</f>
        <v>1.3405393321472576</v>
      </c>
    </row>
    <row r="21" spans="1:56" ht="14.4" x14ac:dyDescent="0.3">
      <c r="A21" t="s">
        <v>117</v>
      </c>
      <c r="B21">
        <v>2</v>
      </c>
      <c r="C21" s="2">
        <v>45044</v>
      </c>
      <c r="D21" s="11">
        <v>0.41805555555555557</v>
      </c>
      <c r="E21">
        <v>1007</v>
      </c>
      <c r="F21">
        <f t="shared" ref="F21:K21" si="36">AVERAGE(F15,F17,F19,F23,F25,F27,F30,F32,F36, F34)</f>
        <v>1119.42</v>
      </c>
      <c r="G21">
        <f t="shared" si="36"/>
        <v>1115.4599999999998</v>
      </c>
      <c r="H21">
        <f t="shared" si="36"/>
        <v>0</v>
      </c>
      <c r="I21">
        <f t="shared" si="36"/>
        <v>0.84000000000000008</v>
      </c>
      <c r="J21">
        <f t="shared" si="36"/>
        <v>20.326000000000001</v>
      </c>
      <c r="K21">
        <f t="shared" si="36"/>
        <v>74.750000000000014</v>
      </c>
      <c r="L21">
        <f>AVERAGE(L15,L17,L19,L23,L25,L27,L30,L32,L36, L34)</f>
        <v>1</v>
      </c>
      <c r="N21" t="s">
        <v>99</v>
      </c>
      <c r="O21">
        <v>789.45</v>
      </c>
      <c r="P21" s="3">
        <f>C21+D21</f>
        <v>45044.418055555558</v>
      </c>
      <c r="Q21" s="4">
        <f>P21-$P$13</f>
        <v>10.784027777779556</v>
      </c>
      <c r="R21">
        <f>SUM(H21:K21)</f>
        <v>95.916000000000011</v>
      </c>
      <c r="S21">
        <f>H21 * 100/R21</f>
        <v>0</v>
      </c>
      <c r="T21">
        <f>I21* 100/R21</f>
        <v>0.87576629550856999</v>
      </c>
      <c r="U21">
        <f>J21* 100/R21</f>
        <v>21.191459193460943</v>
      </c>
      <c r="V21">
        <f>K21* 100/R21</f>
        <v>77.932774511030502</v>
      </c>
      <c r="W21">
        <f>SUM(S21:V21)</f>
        <v>100.00000000000001</v>
      </c>
      <c r="X21" s="6">
        <f>F21*100*$D$3/($D$1*$D$2)</f>
        <v>4.413574008659879E-2</v>
      </c>
      <c r="Y21" s="6">
        <f>X21*T21/100</f>
        <v>3.865259359516972E-4</v>
      </c>
      <c r="Z21" s="6">
        <f>X21*S21/100</f>
        <v>0</v>
      </c>
      <c r="AA21" s="6">
        <f>X21*U21/100</f>
        <v>9.3530073501835662E-3</v>
      </c>
      <c r="AB21" s="6">
        <f>X21*V21/100</f>
        <v>3.4396206800463534E-2</v>
      </c>
      <c r="AC21" s="6">
        <f>Y21+Z21</f>
        <v>3.865259359516972E-4</v>
      </c>
      <c r="AD21" s="6">
        <f>G21*100*$D$3/($D$1*$D$2)</f>
        <v>4.3979607865678186E-2</v>
      </c>
      <c r="AE21" s="6">
        <f>AD21*T21/100</f>
        <v>3.851585825844455E-4</v>
      </c>
      <c r="AF21" s="6">
        <f>AD21*S21/100</f>
        <v>0</v>
      </c>
      <c r="AG21" s="6">
        <f>AD21*U21/100</f>
        <v>9.3199206542993324E-3</v>
      </c>
      <c r="AH21" s="6">
        <f>AD21*V21/100</f>
        <v>3.4274528628794411E-2</v>
      </c>
      <c r="AI21" s="6">
        <f>AE21+AF21</f>
        <v>3.851585825844455E-4</v>
      </c>
      <c r="AJ21" s="22"/>
      <c r="AL21" s="25"/>
      <c r="AM21" s="6"/>
      <c r="AN21" s="6"/>
      <c r="AO21" s="6"/>
      <c r="AP21" s="19"/>
      <c r="AQ21">
        <f>F21*100*T21/100</f>
        <v>980.35030651820341</v>
      </c>
      <c r="AR21" s="6">
        <f t="shared" ref="AR21" si="37">AQ21*$D$7</f>
        <v>5.1272321030902042</v>
      </c>
      <c r="AS21" s="6">
        <f t="shared" ref="AS21" si="38">AR21*$D$5/1000</f>
        <v>5.0246874610283994E-4</v>
      </c>
      <c r="AT21" s="6">
        <f>G21*100*T21/100</f>
        <v>976.88227198798938</v>
      </c>
      <c r="AU21" s="6">
        <f t="shared" ref="AU21" si="39">AT21*$D$7</f>
        <v>5.1090942824971846</v>
      </c>
      <c r="AV21" s="6">
        <f t="shared" ref="AV21" si="40">AU21*$D$5/1000</f>
        <v>5.0069123968472405E-4</v>
      </c>
      <c r="AW21" s="6">
        <f t="shared" ref="AW21" si="41">AS21-AV20</f>
        <v>-8.610303397773929E-4</v>
      </c>
      <c r="AX21" s="52">
        <f t="shared" ref="AX21" si="42">AW21+AX20</f>
        <v>5.532647083286886E-4</v>
      </c>
      <c r="AY21" s="53">
        <f t="shared" ref="AY21" si="43">(AX21*$D$4*1000/$D$6)</f>
        <v>4.3221614623046578E-2</v>
      </c>
      <c r="AZ21" s="54"/>
      <c r="BA21" s="23">
        <f>AK21/(AL21+AW21)</f>
        <v>0</v>
      </c>
    </row>
    <row r="22" spans="1:56" s="7" customFormat="1" ht="14.4" x14ac:dyDescent="0.3">
      <c r="A22" t="s">
        <v>117</v>
      </c>
      <c r="B22">
        <v>2</v>
      </c>
      <c r="C22" s="2">
        <v>45047</v>
      </c>
      <c r="D22" s="11">
        <v>0.5854166666666667</v>
      </c>
      <c r="E22">
        <v>1013.2</v>
      </c>
      <c r="F22">
        <v>1065.5</v>
      </c>
      <c r="G22">
        <v>1061.9000000000001</v>
      </c>
      <c r="H22">
        <v>0</v>
      </c>
      <c r="I22">
        <v>2.9</v>
      </c>
      <c r="J22">
        <v>14.51</v>
      </c>
      <c r="K22">
        <v>80.87</v>
      </c>
      <c r="L22">
        <v>0</v>
      </c>
      <c r="M22"/>
      <c r="N22" t="s">
        <v>99</v>
      </c>
      <c r="O22"/>
      <c r="P22" s="8">
        <f t="shared" si="4"/>
        <v>45047.585416666669</v>
      </c>
      <c r="Q22" s="9">
        <f t="shared" si="5"/>
        <v>13.951388888890506</v>
      </c>
      <c r="R22">
        <f t="shared" si="17"/>
        <v>98.28</v>
      </c>
      <c r="S22">
        <f t="shared" si="18"/>
        <v>0</v>
      </c>
      <c r="T22">
        <f t="shared" si="19"/>
        <v>2.9507529507529506</v>
      </c>
      <c r="U22">
        <f t="shared" si="20"/>
        <v>14.763939763939764</v>
      </c>
      <c r="V22">
        <f t="shared" si="21"/>
        <v>82.285307285307283</v>
      </c>
      <c r="W22">
        <f t="shared" si="22"/>
        <v>100</v>
      </c>
      <c r="X22" s="10">
        <f t="shared" si="23"/>
        <v>4.200981853305373E-2</v>
      </c>
      <c r="Y22" s="10">
        <f t="shared" si="0"/>
        <v>1.2396059599700429E-3</v>
      </c>
      <c r="Z22" s="10">
        <f t="shared" si="6"/>
        <v>0</v>
      </c>
      <c r="AA22" s="10">
        <f t="shared" si="1"/>
        <v>6.2023043031604564E-3</v>
      </c>
      <c r="AB22" s="10">
        <f t="shared" si="2"/>
        <v>3.4567908269923231E-2</v>
      </c>
      <c r="AC22" s="10">
        <f t="shared" si="24"/>
        <v>1.2396059599700429E-3</v>
      </c>
      <c r="AD22" s="10">
        <f t="shared" si="7"/>
        <v>4.1867880150398648E-2</v>
      </c>
      <c r="AE22" s="10">
        <f t="shared" si="8"/>
        <v>1.2354177089555971E-3</v>
      </c>
      <c r="AF22" s="10">
        <f t="shared" si="9"/>
        <v>0</v>
      </c>
      <c r="AG22" s="10">
        <f t="shared" si="10"/>
        <v>6.18134860584335E-3</v>
      </c>
      <c r="AH22" s="10">
        <f t="shared" si="11"/>
        <v>3.4451113835599706E-2</v>
      </c>
      <c r="AI22" s="10">
        <f t="shared" si="25"/>
        <v>1.2354177089555971E-3</v>
      </c>
      <c r="AJ22" s="22">
        <f>AC22-AI21</f>
        <v>8.5444737738559731E-4</v>
      </c>
      <c r="AK22">
        <f>(AA22-AG21)*-1</f>
        <v>3.1176163511388759E-3</v>
      </c>
      <c r="AL22" s="25">
        <f>Y22-AE21</f>
        <v>8.5444737738559731E-4</v>
      </c>
      <c r="AM22" s="6">
        <f>AK22+AM20</f>
        <v>2.3612681348211401E-2</v>
      </c>
      <c r="AN22" s="6">
        <f>AL22+AN20</f>
        <v>5.6136546923457121E-3</v>
      </c>
      <c r="AO22" s="6">
        <f>AJ22+AO20</f>
        <v>5.6445169636550191E-3</v>
      </c>
      <c r="AP22" s="19">
        <f t="shared" si="34"/>
        <v>0.44095553767259127</v>
      </c>
      <c r="AQ22" s="7">
        <f t="shared" si="26"/>
        <v>3144.0272690272686</v>
      </c>
      <c r="AR22" s="10">
        <f t="shared" si="27"/>
        <v>16.443262617012614</v>
      </c>
      <c r="AS22" s="6">
        <f t="shared" si="28"/>
        <v>1.6114397364672363E-3</v>
      </c>
      <c r="AT22" s="6">
        <f t="shared" si="12"/>
        <v>3133.4045584045589</v>
      </c>
      <c r="AU22" s="6">
        <f t="shared" si="13"/>
        <v>16.387705840455844</v>
      </c>
      <c r="AV22" s="6">
        <f t="shared" si="14"/>
        <v>1.6059951723646729E-3</v>
      </c>
      <c r="AW22" s="6">
        <f>AS22-AV21</f>
        <v>1.1107484967825122E-3</v>
      </c>
      <c r="AX22" s="52">
        <f>AW22+AX21</f>
        <v>1.6640132051112008E-3</v>
      </c>
      <c r="AY22" s="53">
        <f t="shared" si="15"/>
        <v>0.12999444279798375</v>
      </c>
      <c r="AZ22" s="54">
        <f t="shared" si="35"/>
        <v>0.57094998047057499</v>
      </c>
      <c r="BA22" s="23">
        <f t="shared" si="16"/>
        <v>1.5864150704359683</v>
      </c>
      <c r="BB22"/>
      <c r="BC22"/>
      <c r="BD22"/>
    </row>
    <row r="23" spans="1:56" ht="14.4" x14ac:dyDescent="0.3">
      <c r="A23" t="s">
        <v>117</v>
      </c>
      <c r="B23">
        <v>2</v>
      </c>
      <c r="C23" s="2">
        <v>45047</v>
      </c>
      <c r="D23" s="11">
        <v>0.62708333333333333</v>
      </c>
      <c r="E23">
        <v>1013.3</v>
      </c>
      <c r="F23">
        <v>1117.5</v>
      </c>
      <c r="G23">
        <v>1113.5999999999999</v>
      </c>
      <c r="H23">
        <v>0</v>
      </c>
      <c r="I23">
        <v>0.88</v>
      </c>
      <c r="J23">
        <v>20.43</v>
      </c>
      <c r="K23">
        <v>76.25</v>
      </c>
      <c r="L23">
        <v>1</v>
      </c>
      <c r="N23" t="s">
        <v>99</v>
      </c>
      <c r="O23">
        <v>789.34</v>
      </c>
      <c r="P23" s="3">
        <f t="shared" si="4"/>
        <v>45047.627083333333</v>
      </c>
      <c r="Q23" s="4">
        <f t="shared" si="5"/>
        <v>13.993055555554747</v>
      </c>
      <c r="R23">
        <f t="shared" si="17"/>
        <v>97.56</v>
      </c>
      <c r="S23">
        <f t="shared" si="18"/>
        <v>0</v>
      </c>
      <c r="T23">
        <f t="shared" si="19"/>
        <v>0.9020090200902009</v>
      </c>
      <c r="U23">
        <f t="shared" si="20"/>
        <v>20.940959409594097</v>
      </c>
      <c r="V23">
        <f t="shared" si="21"/>
        <v>78.157031570315695</v>
      </c>
      <c r="W23">
        <f t="shared" si="22"/>
        <v>100</v>
      </c>
      <c r="X23" s="6">
        <f t="shared" si="23"/>
        <v>4.4060039615849408E-2</v>
      </c>
      <c r="Y23" s="6">
        <f t="shared" si="0"/>
        <v>3.9742553159027757E-4</v>
      </c>
      <c r="Z23" s="6">
        <f t="shared" si="6"/>
        <v>0</v>
      </c>
      <c r="AA23" s="6">
        <f t="shared" si="1"/>
        <v>9.2265950118061036E-3</v>
      </c>
      <c r="AB23" s="6">
        <f t="shared" si="2"/>
        <v>3.4436019072453028E-2</v>
      </c>
      <c r="AC23" s="6">
        <f t="shared" si="24"/>
        <v>3.9742553159027757E-4</v>
      </c>
      <c r="AD23" s="6">
        <f t="shared" si="7"/>
        <v>4.3906273034639724E-2</v>
      </c>
      <c r="AE23" s="6">
        <f t="shared" si="8"/>
        <v>3.9603854315788188E-4</v>
      </c>
      <c r="AF23" s="6">
        <f t="shared" si="9"/>
        <v>0</v>
      </c>
      <c r="AG23" s="6">
        <f t="shared" si="10"/>
        <v>9.1943948144494626E-3</v>
      </c>
      <c r="AH23" s="6">
        <f t="shared" si="11"/>
        <v>3.4315839677032375E-2</v>
      </c>
      <c r="AI23" s="6">
        <f t="shared" si="25"/>
        <v>3.9603854315788188E-4</v>
      </c>
      <c r="AJ23" s="22"/>
      <c r="AL23" s="25"/>
      <c r="AM23" s="6"/>
      <c r="AN23" s="6"/>
      <c r="AO23" s="6"/>
      <c r="AP23" s="19"/>
      <c r="AQ23">
        <f>F23*100*T23/100</f>
        <v>1007.9950799507995</v>
      </c>
      <c r="AR23" s="6">
        <f>AQ23*$D$7</f>
        <v>5.2718142681426823</v>
      </c>
      <c r="AS23" s="6">
        <f t="shared" si="28"/>
        <v>5.166377982779828E-4</v>
      </c>
      <c r="AT23" s="6">
        <f t="shared" si="12"/>
        <v>1004.4772447724476</v>
      </c>
      <c r="AU23" s="6">
        <f t="shared" si="13"/>
        <v>5.2534159901599011</v>
      </c>
      <c r="AV23" s="6">
        <f t="shared" si="14"/>
        <v>5.1483476703567037E-4</v>
      </c>
      <c r="AW23" s="6">
        <f t="shared" si="29"/>
        <v>-1.08935737408669E-3</v>
      </c>
      <c r="AX23" s="52">
        <f t="shared" si="30"/>
        <v>5.746558310245108E-4</v>
      </c>
      <c r="AY23" s="53">
        <f t="shared" si="15"/>
        <v>4.4892711383051488E-2</v>
      </c>
      <c r="AZ23" s="54"/>
      <c r="BA23" s="23">
        <f t="shared" si="16"/>
        <v>0</v>
      </c>
    </row>
    <row r="24" spans="1:56" s="7" customFormat="1" ht="14.4" x14ac:dyDescent="0.3">
      <c r="A24" t="s">
        <v>117</v>
      </c>
      <c r="B24">
        <v>2</v>
      </c>
      <c r="C24" s="2">
        <v>45050</v>
      </c>
      <c r="D24" s="11">
        <v>0.41736111111111113</v>
      </c>
      <c r="E24">
        <v>1017.6</v>
      </c>
      <c r="F24">
        <v>1069.9000000000001</v>
      </c>
      <c r="G24">
        <v>1066.9000000000001</v>
      </c>
      <c r="H24">
        <v>0</v>
      </c>
      <c r="I24">
        <v>2.81</v>
      </c>
      <c r="J24">
        <v>15.57</v>
      </c>
      <c r="K24">
        <v>79.28</v>
      </c>
      <c r="L24">
        <v>0</v>
      </c>
      <c r="M24"/>
      <c r="N24" t="s">
        <v>99</v>
      </c>
      <c r="O24"/>
      <c r="P24" s="8">
        <f t="shared" si="4"/>
        <v>45050.417361111111</v>
      </c>
      <c r="Q24" s="9">
        <f t="shared" si="5"/>
        <v>16.783333333332848</v>
      </c>
      <c r="R24">
        <f t="shared" si="17"/>
        <v>97.66</v>
      </c>
      <c r="S24">
        <f t="shared" si="18"/>
        <v>0</v>
      </c>
      <c r="T24">
        <f t="shared" si="19"/>
        <v>2.8773295105467951</v>
      </c>
      <c r="U24">
        <f t="shared" si="20"/>
        <v>15.943067786197011</v>
      </c>
      <c r="V24">
        <f t="shared" si="21"/>
        <v>81.179602703256194</v>
      </c>
      <c r="W24">
        <f t="shared" si="22"/>
        <v>100</v>
      </c>
      <c r="X24" s="10">
        <f t="shared" si="23"/>
        <v>4.2183298778521061E-2</v>
      </c>
      <c r="Y24" s="10">
        <f t="shared" si="0"/>
        <v>1.2137525042765123E-3</v>
      </c>
      <c r="Z24" s="10">
        <f t="shared" si="6"/>
        <v>0</v>
      </c>
      <c r="AA24" s="10">
        <f t="shared" si="1"/>
        <v>6.7253119187136281E-3</v>
      </c>
      <c r="AB24" s="10">
        <f t="shared" si="2"/>
        <v>3.4244234355530916E-2</v>
      </c>
      <c r="AC24" s="10">
        <f t="shared" si="24"/>
        <v>1.2137525042765123E-3</v>
      </c>
      <c r="AD24" s="10">
        <f t="shared" si="7"/>
        <v>4.2065016792975155E-2</v>
      </c>
      <c r="AE24" s="10">
        <f t="shared" si="8"/>
        <v>1.2103491418007392E-3</v>
      </c>
      <c r="AF24" s="10">
        <f t="shared" si="9"/>
        <v>0</v>
      </c>
      <c r="AG24" s="10">
        <f t="shared" si="10"/>
        <v>6.7064541415791847E-3</v>
      </c>
      <c r="AH24" s="10">
        <f t="shared" si="11"/>
        <v>3.4148213509595231E-2</v>
      </c>
      <c r="AI24" s="10">
        <f t="shared" si="25"/>
        <v>1.2103491418007392E-3</v>
      </c>
      <c r="AJ24" s="22">
        <f t="shared" si="31"/>
        <v>8.177139611186304E-4</v>
      </c>
      <c r="AK24">
        <f t="shared" si="32"/>
        <v>2.4690828957358345E-3</v>
      </c>
      <c r="AL24" s="25">
        <f t="shared" si="33"/>
        <v>8.177139611186304E-4</v>
      </c>
      <c r="AM24" s="6">
        <f>AK24+AM22</f>
        <v>2.6081764243947234E-2</v>
      </c>
      <c r="AN24" s="6">
        <f>AL24+AN22</f>
        <v>6.4313686534643423E-3</v>
      </c>
      <c r="AO24" s="6">
        <f>AJ24+AO22</f>
        <v>6.4622309247736494E-3</v>
      </c>
      <c r="AP24" s="19">
        <f t="shared" si="34"/>
        <v>0.50483620305267451</v>
      </c>
      <c r="AQ24" s="7">
        <f t="shared" si="26"/>
        <v>3078.4548433340165</v>
      </c>
      <c r="AR24" s="10">
        <f t="shared" si="27"/>
        <v>16.100318830636908</v>
      </c>
      <c r="AS24" s="6">
        <f t="shared" si="28"/>
        <v>1.5778312454024169E-3</v>
      </c>
      <c r="AT24" s="6">
        <f t="shared" si="12"/>
        <v>3069.8228548023762</v>
      </c>
      <c r="AU24" s="6">
        <f t="shared" si="13"/>
        <v>16.055173530616429</v>
      </c>
      <c r="AV24" s="6">
        <f t="shared" si="14"/>
        <v>1.5734070060004102E-3</v>
      </c>
      <c r="AW24" s="6">
        <f t="shared" si="29"/>
        <v>1.0629964783667465E-3</v>
      </c>
      <c r="AX24" s="52">
        <f t="shared" si="30"/>
        <v>1.6376523093912573E-3</v>
      </c>
      <c r="AY24" s="53">
        <f t="shared" si="15"/>
        <v>0.12793510219885623</v>
      </c>
      <c r="AZ24" s="54">
        <f t="shared" si="35"/>
        <v>0.63277130525153069</v>
      </c>
      <c r="BA24" s="23">
        <f t="shared" si="16"/>
        <v>1.3128458501094169</v>
      </c>
      <c r="BB24"/>
      <c r="BC24"/>
      <c r="BD24"/>
    </row>
    <row r="25" spans="1:56" ht="14.4" x14ac:dyDescent="0.3">
      <c r="A25" t="s">
        <v>117</v>
      </c>
      <c r="B25">
        <v>2</v>
      </c>
      <c r="C25" s="2">
        <v>45050</v>
      </c>
      <c r="D25" s="11">
        <v>0.45555555555555555</v>
      </c>
      <c r="E25">
        <v>1017.1</v>
      </c>
      <c r="F25">
        <v>1121.7</v>
      </c>
      <c r="G25">
        <v>1117.9000000000001</v>
      </c>
      <c r="H25">
        <v>0</v>
      </c>
      <c r="I25">
        <v>0.63</v>
      </c>
      <c r="J25">
        <v>20.39</v>
      </c>
      <c r="K25">
        <v>75.739999999999995</v>
      </c>
      <c r="L25">
        <v>1</v>
      </c>
      <c r="N25" t="s">
        <v>99</v>
      </c>
      <c r="O25">
        <v>789.22</v>
      </c>
      <c r="P25" s="3">
        <f t="shared" si="4"/>
        <v>45050.455555555556</v>
      </c>
      <c r="Q25" s="4">
        <f t="shared" si="5"/>
        <v>16.821527777778101</v>
      </c>
      <c r="R25">
        <f t="shared" si="17"/>
        <v>96.759999999999991</v>
      </c>
      <c r="S25">
        <f t="shared" si="18"/>
        <v>0</v>
      </c>
      <c r="T25">
        <f t="shared" si="19"/>
        <v>0.65109549400578759</v>
      </c>
      <c r="U25">
        <f t="shared" si="20"/>
        <v>21.072757337742871</v>
      </c>
      <c r="V25">
        <f t="shared" si="21"/>
        <v>78.276147168251342</v>
      </c>
      <c r="W25">
        <f t="shared" si="22"/>
        <v>100</v>
      </c>
      <c r="X25" s="6">
        <f t="shared" si="23"/>
        <v>4.4225634395613674E-2</v>
      </c>
      <c r="Y25" s="6">
        <f t="shared" si="0"/>
        <v>2.8795111274531438E-4</v>
      </c>
      <c r="Z25" s="6">
        <f t="shared" si="6"/>
        <v>0</v>
      </c>
      <c r="AA25" s="6">
        <f t="shared" si="1"/>
        <v>9.3195606172650162E-3</v>
      </c>
      <c r="AB25" s="6">
        <f t="shared" si="2"/>
        <v>3.4618122665603344E-2</v>
      </c>
      <c r="AC25" s="6">
        <f t="shared" si="24"/>
        <v>2.8795111274531438E-4</v>
      </c>
      <c r="AD25" s="6">
        <f t="shared" si="7"/>
        <v>4.4075810547255533E-2</v>
      </c>
      <c r="AE25" s="6">
        <f t="shared" si="8"/>
        <v>2.8697561641970843E-4</v>
      </c>
      <c r="AF25" s="6">
        <f t="shared" si="9"/>
        <v>0</v>
      </c>
      <c r="AG25" s="6">
        <f t="shared" si="10"/>
        <v>9.2879886012664364E-3</v>
      </c>
      <c r="AH25" s="6">
        <f t="shared" si="11"/>
        <v>3.4500846329569387E-2</v>
      </c>
      <c r="AI25" s="6">
        <f t="shared" si="25"/>
        <v>2.8697561641970843E-4</v>
      </c>
      <c r="AJ25" s="22"/>
      <c r="AL25" s="25"/>
      <c r="AM25" s="6"/>
      <c r="AN25" s="6"/>
      <c r="AO25" s="6"/>
      <c r="AP25" s="19"/>
      <c r="AQ25">
        <f t="shared" si="26"/>
        <v>730.33381562629188</v>
      </c>
      <c r="AR25" s="6">
        <f t="shared" si="27"/>
        <v>3.8196458557255069</v>
      </c>
      <c r="AS25" s="6">
        <f t="shared" si="28"/>
        <v>3.7432529386109968E-4</v>
      </c>
      <c r="AT25" s="6">
        <f t="shared" si="12"/>
        <v>727.85965274907005</v>
      </c>
      <c r="AU25" s="6">
        <f t="shared" si="13"/>
        <v>3.8067059838776367</v>
      </c>
      <c r="AV25" s="6">
        <f t="shared" si="14"/>
        <v>3.7305718642000838E-4</v>
      </c>
      <c r="AW25" s="6">
        <f t="shared" si="29"/>
        <v>-1.1990817121393105E-3</v>
      </c>
      <c r="AX25" s="52">
        <f t="shared" si="30"/>
        <v>4.3857059725194679E-4</v>
      </c>
      <c r="AY25" s="53">
        <f t="shared" si="15"/>
        <v>3.4261591339676808E-2</v>
      </c>
      <c r="AZ25" s="54"/>
      <c r="BA25" s="23">
        <f t="shared" si="16"/>
        <v>0</v>
      </c>
    </row>
    <row r="26" spans="1:56" s="7" customFormat="1" ht="14.4" x14ac:dyDescent="0.3">
      <c r="A26" t="s">
        <v>117</v>
      </c>
      <c r="B26">
        <v>2</v>
      </c>
      <c r="C26" s="2">
        <v>45054</v>
      </c>
      <c r="D26" s="11">
        <v>0.37847222222222227</v>
      </c>
      <c r="E26">
        <v>1018.7</v>
      </c>
      <c r="F26">
        <v>1070.3</v>
      </c>
      <c r="G26">
        <v>1067.8</v>
      </c>
      <c r="H26">
        <v>0</v>
      </c>
      <c r="I26">
        <v>3.18</v>
      </c>
      <c r="J26">
        <v>14.35</v>
      </c>
      <c r="K26">
        <v>80.75</v>
      </c>
      <c r="L26">
        <v>0</v>
      </c>
      <c r="M26"/>
      <c r="N26" t="s">
        <v>99</v>
      </c>
      <c r="O26"/>
      <c r="P26" s="8">
        <f t="shared" si="4"/>
        <v>45054.378472222219</v>
      </c>
      <c r="Q26" s="9">
        <f t="shared" si="5"/>
        <v>20.744444444440887</v>
      </c>
      <c r="R26">
        <f t="shared" si="17"/>
        <v>98.28</v>
      </c>
      <c r="S26">
        <f t="shared" si="18"/>
        <v>0</v>
      </c>
      <c r="T26">
        <f t="shared" si="19"/>
        <v>3.2356532356532357</v>
      </c>
      <c r="U26">
        <f t="shared" si="20"/>
        <v>14.6011396011396</v>
      </c>
      <c r="V26">
        <f t="shared" si="21"/>
        <v>82.163207163207161</v>
      </c>
      <c r="W26">
        <f t="shared" si="22"/>
        <v>100</v>
      </c>
      <c r="X26" s="10">
        <f t="shared" si="23"/>
        <v>4.2199069709927178E-2</v>
      </c>
      <c r="Y26" s="10">
        <f t="shared" si="0"/>
        <v>1.3654155644848231E-3</v>
      </c>
      <c r="Z26" s="10">
        <f t="shared" si="6"/>
        <v>0</v>
      </c>
      <c r="AA26" s="10">
        <f t="shared" si="1"/>
        <v>6.1615450787286833E-3</v>
      </c>
      <c r="AB26" s="10">
        <f t="shared" si="2"/>
        <v>3.4672109066713669E-2</v>
      </c>
      <c r="AC26" s="10">
        <f t="shared" si="24"/>
        <v>1.3654155644848231E-3</v>
      </c>
      <c r="AD26" s="10">
        <f t="shared" si="7"/>
        <v>4.2100501388638925E-2</v>
      </c>
      <c r="AE26" s="10">
        <f t="shared" si="8"/>
        <v>1.3622262354077309E-3</v>
      </c>
      <c r="AF26" s="10">
        <f t="shared" si="9"/>
        <v>0</v>
      </c>
      <c r="AG26" s="10">
        <f t="shared" si="10"/>
        <v>6.1471529805348854E-3</v>
      </c>
      <c r="AH26" s="10">
        <f t="shared" si="11"/>
        <v>3.4591122172696311E-2</v>
      </c>
      <c r="AI26" s="10">
        <f t="shared" si="25"/>
        <v>1.3622262354077309E-3</v>
      </c>
      <c r="AJ26" s="22">
        <f t="shared" si="31"/>
        <v>1.0784399480651147E-3</v>
      </c>
      <c r="AK26">
        <f t="shared" si="32"/>
        <v>3.1264435225377531E-3</v>
      </c>
      <c r="AL26" s="25">
        <f t="shared" si="33"/>
        <v>1.0784399480651147E-3</v>
      </c>
      <c r="AM26" s="6">
        <f>AK26+AM24</f>
        <v>2.9208207766484987E-2</v>
      </c>
      <c r="AN26" s="6">
        <f>AL26+AN24</f>
        <v>7.5098086015294571E-3</v>
      </c>
      <c r="AO26" s="6">
        <f>AJ26+AO24</f>
        <v>7.5406708728387641E-3</v>
      </c>
      <c r="AP26" s="19">
        <f t="shared" si="34"/>
        <v>0.58908505378847298</v>
      </c>
      <c r="AQ26" s="7">
        <f t="shared" si="26"/>
        <v>3463.1196581196582</v>
      </c>
      <c r="AR26" s="10">
        <f>AQ26*$D$7</f>
        <v>18.112115811965815</v>
      </c>
      <c r="AS26" s="6">
        <f t="shared" si="28"/>
        <v>1.7749873495726499E-3</v>
      </c>
      <c r="AT26" s="6">
        <f t="shared" si="12"/>
        <v>3455.030525030525</v>
      </c>
      <c r="AU26" s="6">
        <f t="shared" si="13"/>
        <v>18.069809645909647</v>
      </c>
      <c r="AV26" s="6">
        <f t="shared" si="14"/>
        <v>1.7708413452991454E-3</v>
      </c>
      <c r="AW26" s="6">
        <f t="shared" si="29"/>
        <v>1.4019301631526416E-3</v>
      </c>
      <c r="AX26" s="52">
        <f t="shared" si="30"/>
        <v>1.8405007604045884E-3</v>
      </c>
      <c r="AY26" s="53">
        <f t="shared" si="15"/>
        <v>0.14378183423254218</v>
      </c>
      <c r="AZ26" s="54">
        <f t="shared" si="35"/>
        <v>0.73286688802101518</v>
      </c>
      <c r="BA26" s="23">
        <f t="shared" si="16"/>
        <v>1.2604745994954769</v>
      </c>
      <c r="BB26"/>
      <c r="BC26"/>
      <c r="BD26"/>
    </row>
    <row r="27" spans="1:56" ht="14.4" x14ac:dyDescent="0.3">
      <c r="A27" t="s">
        <v>117</v>
      </c>
      <c r="B27">
        <v>2</v>
      </c>
      <c r="C27" s="2">
        <v>45054</v>
      </c>
      <c r="D27" s="11">
        <v>0.41736111111111113</v>
      </c>
      <c r="E27">
        <v>1018.7</v>
      </c>
      <c r="F27">
        <v>1123.3</v>
      </c>
      <c r="G27">
        <v>1119.4000000000001</v>
      </c>
      <c r="H27">
        <v>0</v>
      </c>
      <c r="I27">
        <v>0.65</v>
      </c>
      <c r="J27">
        <v>20.11</v>
      </c>
      <c r="K27">
        <v>74.88</v>
      </c>
      <c r="L27">
        <v>1</v>
      </c>
      <c r="N27" t="s">
        <v>99</v>
      </c>
      <c r="O27">
        <v>789.15</v>
      </c>
      <c r="P27" s="3">
        <f t="shared" si="4"/>
        <v>45054.417361111111</v>
      </c>
      <c r="Q27" s="4">
        <f t="shared" si="5"/>
        <v>20.783333333332848</v>
      </c>
      <c r="R27">
        <f t="shared" si="17"/>
        <v>95.639999999999986</v>
      </c>
      <c r="S27">
        <f t="shared" si="18"/>
        <v>0</v>
      </c>
      <c r="T27">
        <f t="shared" si="19"/>
        <v>0.67963195315767466</v>
      </c>
      <c r="U27">
        <f t="shared" si="20"/>
        <v>21.026767043078213</v>
      </c>
      <c r="V27">
        <f t="shared" si="21"/>
        <v>78.293601003764124</v>
      </c>
      <c r="W27">
        <f t="shared" si="22"/>
        <v>100.00000000000001</v>
      </c>
      <c r="X27" s="6">
        <f t="shared" si="23"/>
        <v>4.4288718121238149E-2</v>
      </c>
      <c r="Y27" s="6">
        <f t="shared" si="0"/>
        <v>3.0100027999586785E-4</v>
      </c>
      <c r="Z27" s="6">
        <f t="shared" si="6"/>
        <v>0</v>
      </c>
      <c r="AA27" s="6">
        <f t="shared" si="1"/>
        <v>9.3124855857183112E-3</v>
      </c>
      <c r="AB27" s="6">
        <f t="shared" si="2"/>
        <v>3.4675232255523977E-2</v>
      </c>
      <c r="AC27" s="6">
        <f t="shared" si="24"/>
        <v>3.0100027999586785E-4</v>
      </c>
      <c r="AD27" s="6">
        <f t="shared" si="7"/>
        <v>4.4134951540028486E-2</v>
      </c>
      <c r="AE27" s="6">
        <f t="shared" si="8"/>
        <v>2.9995523317668881E-4</v>
      </c>
      <c r="AF27" s="6">
        <f t="shared" si="9"/>
        <v>0</v>
      </c>
      <c r="AG27" s="6">
        <f t="shared" si="10"/>
        <v>9.2801534448972503E-3</v>
      </c>
      <c r="AH27" s="6">
        <f t="shared" si="11"/>
        <v>3.4554842861954552E-2</v>
      </c>
      <c r="AI27" s="6">
        <f t="shared" si="25"/>
        <v>2.9995523317668881E-4</v>
      </c>
      <c r="AJ27" s="22"/>
      <c r="AL27" s="25"/>
      <c r="AM27" s="6"/>
      <c r="AN27" s="6"/>
      <c r="AO27" s="6"/>
      <c r="AP27" s="19"/>
      <c r="AQ27">
        <f t="shared" si="26"/>
        <v>763.43057298201597</v>
      </c>
      <c r="AR27" s="6">
        <f t="shared" si="27"/>
        <v>3.9927418966959438</v>
      </c>
      <c r="AS27" s="6">
        <f t="shared" si="28"/>
        <v>3.9128870587620254E-4</v>
      </c>
      <c r="AT27" s="6">
        <f t="shared" si="12"/>
        <v>760.78000836470108</v>
      </c>
      <c r="AU27" s="6">
        <f t="shared" si="13"/>
        <v>3.9788794437473869</v>
      </c>
      <c r="AV27" s="6">
        <f t="shared" si="14"/>
        <v>3.8993018548724397E-4</v>
      </c>
      <c r="AW27" s="6">
        <f t="shared" si="29"/>
        <v>-1.3795526394229428E-3</v>
      </c>
      <c r="AX27" s="52">
        <f t="shared" si="30"/>
        <v>4.6094812098164558E-4</v>
      </c>
      <c r="AY27" s="53">
        <f t="shared" si="15"/>
        <v>3.6009746774685186E-2</v>
      </c>
      <c r="AZ27" s="54"/>
      <c r="BA27" s="23">
        <f t="shared" si="16"/>
        <v>0</v>
      </c>
    </row>
    <row r="28" spans="1:56" s="7" customFormat="1" ht="14.4" x14ac:dyDescent="0.3">
      <c r="A28" t="s">
        <v>117</v>
      </c>
      <c r="B28">
        <v>2</v>
      </c>
      <c r="C28" s="2">
        <v>45056</v>
      </c>
      <c r="D28" s="11">
        <v>0.41041666666666665</v>
      </c>
      <c r="E28">
        <v>1007.7</v>
      </c>
      <c r="F28">
        <v>1089</v>
      </c>
      <c r="G28">
        <v>1086.5</v>
      </c>
      <c r="H28">
        <v>0</v>
      </c>
      <c r="I28">
        <v>2.06</v>
      </c>
      <c r="J28">
        <v>17.309999999999999</v>
      </c>
      <c r="K28">
        <v>78.8</v>
      </c>
      <c r="L28">
        <v>0</v>
      </c>
      <c r="M28"/>
      <c r="N28" t="s">
        <v>99</v>
      </c>
      <c r="O28"/>
      <c r="P28" s="8">
        <f t="shared" si="4"/>
        <v>45056.410416666666</v>
      </c>
      <c r="Q28" s="9">
        <f t="shared" si="5"/>
        <v>22.776388888887595</v>
      </c>
      <c r="R28">
        <f t="shared" si="17"/>
        <v>98.169999999999987</v>
      </c>
      <c r="S28">
        <f t="shared" si="18"/>
        <v>0</v>
      </c>
      <c r="T28">
        <f t="shared" si="19"/>
        <v>2.0984007334216157</v>
      </c>
      <c r="U28">
        <f t="shared" si="20"/>
        <v>17.632678007537944</v>
      </c>
      <c r="V28">
        <f t="shared" si="21"/>
        <v>80.268921259040454</v>
      </c>
      <c r="W28">
        <f t="shared" si="22"/>
        <v>100.00000000000001</v>
      </c>
      <c r="X28" s="10">
        <f t="shared" si="23"/>
        <v>4.2936360753163316E-2</v>
      </c>
      <c r="Y28" s="10">
        <f t="shared" si="0"/>
        <v>9.0097690894892974E-4</v>
      </c>
      <c r="Z28" s="10">
        <f t="shared" si="6"/>
        <v>0</v>
      </c>
      <c r="AA28" s="10">
        <f t="shared" si="1"/>
        <v>7.5708302397601811E-3</v>
      </c>
      <c r="AB28" s="10">
        <f t="shared" si="2"/>
        <v>3.4464553604454211E-2</v>
      </c>
      <c r="AC28" s="10">
        <f t="shared" si="24"/>
        <v>9.0097690894892974E-4</v>
      </c>
      <c r="AD28" s="10">
        <f t="shared" si="7"/>
        <v>4.2837792431875056E-2</v>
      </c>
      <c r="AE28" s="10">
        <f t="shared" si="8"/>
        <v>8.9890855057209564E-4</v>
      </c>
      <c r="AF28" s="10">
        <f t="shared" si="9"/>
        <v>0</v>
      </c>
      <c r="AG28" s="10">
        <f t="shared" si="10"/>
        <v>7.5534500050499862E-3</v>
      </c>
      <c r="AH28" s="10">
        <f t="shared" si="11"/>
        <v>3.438543387625298E-2</v>
      </c>
      <c r="AI28" s="10">
        <f t="shared" si="25"/>
        <v>8.9890855057209564E-4</v>
      </c>
      <c r="AJ28" s="22">
        <f t="shared" si="31"/>
        <v>6.0102167577224088E-4</v>
      </c>
      <c r="AK28">
        <f t="shared" si="32"/>
        <v>1.7093232051370692E-3</v>
      </c>
      <c r="AL28" s="25">
        <f t="shared" si="33"/>
        <v>6.0102167577224088E-4</v>
      </c>
      <c r="AM28" s="6">
        <f>AK28+AM26</f>
        <v>3.0917530971622056E-2</v>
      </c>
      <c r="AN28" s="6">
        <f>AL28+AN26</f>
        <v>8.1108302773016984E-3</v>
      </c>
      <c r="AO28" s="6">
        <f>AJ28+AO26</f>
        <v>8.1416925486110046E-3</v>
      </c>
      <c r="AP28" s="19">
        <f t="shared" si="34"/>
        <v>0.63603749239385154</v>
      </c>
      <c r="AQ28" s="7">
        <f t="shared" si="26"/>
        <v>2285.1583986961396</v>
      </c>
      <c r="AR28" s="10">
        <f t="shared" si="27"/>
        <v>11.95137842518081</v>
      </c>
      <c r="AS28" s="6">
        <f t="shared" si="28"/>
        <v>1.1712350856677193E-3</v>
      </c>
      <c r="AT28" s="6">
        <f t="shared" si="12"/>
        <v>2279.9123968625854</v>
      </c>
      <c r="AU28" s="6">
        <f t="shared" si="13"/>
        <v>11.923941835591322</v>
      </c>
      <c r="AV28" s="6">
        <f t="shared" si="14"/>
        <v>1.1685462998879497E-3</v>
      </c>
      <c r="AW28" s="6">
        <f t="shared" si="29"/>
        <v>7.8130490018047533E-4</v>
      </c>
      <c r="AX28" s="52">
        <f t="shared" si="30"/>
        <v>1.2422530211621209E-3</v>
      </c>
      <c r="AY28" s="53">
        <f t="shared" si="15"/>
        <v>9.7046098434831973E-2</v>
      </c>
      <c r="AZ28" s="54">
        <f t="shared" si="35"/>
        <v>0.73308359082868346</v>
      </c>
      <c r="BA28" s="23">
        <f t="shared" si="16"/>
        <v>1.236555264778139</v>
      </c>
      <c r="BB28"/>
      <c r="BC28"/>
      <c r="BD28"/>
    </row>
    <row r="29" spans="1:56" ht="15" customHeight="1" x14ac:dyDescent="0.3">
      <c r="A29" t="s">
        <v>117</v>
      </c>
      <c r="B29">
        <v>2</v>
      </c>
      <c r="C29" s="2">
        <v>45058</v>
      </c>
      <c r="D29" s="11">
        <v>0.38958333333333334</v>
      </c>
      <c r="E29">
        <v>1014.6</v>
      </c>
      <c r="F29">
        <v>1059.4000000000001</v>
      </c>
      <c r="G29">
        <v>1055.9000000000001</v>
      </c>
      <c r="H29">
        <v>0</v>
      </c>
      <c r="I29">
        <v>3.79</v>
      </c>
      <c r="J29">
        <v>13.74</v>
      </c>
      <c r="K29">
        <v>80.95</v>
      </c>
      <c r="L29">
        <v>0</v>
      </c>
      <c r="N29" t="s">
        <v>99</v>
      </c>
      <c r="P29" s="3">
        <f t="shared" si="4"/>
        <v>45058.38958333333</v>
      </c>
      <c r="Q29" s="4">
        <f t="shared" si="5"/>
        <v>24.755555555551837</v>
      </c>
      <c r="R29">
        <f t="shared" si="17"/>
        <v>98.48</v>
      </c>
      <c r="S29">
        <f t="shared" si="18"/>
        <v>0</v>
      </c>
      <c r="T29">
        <f t="shared" si="19"/>
        <v>3.848497156783103</v>
      </c>
      <c r="U29">
        <f t="shared" si="20"/>
        <v>13.952071486596262</v>
      </c>
      <c r="V29">
        <f t="shared" si="21"/>
        <v>82.199431356620636</v>
      </c>
      <c r="W29">
        <f t="shared" si="22"/>
        <v>100</v>
      </c>
      <c r="X29" s="6">
        <f t="shared" si="23"/>
        <v>4.1769311829110395E-2</v>
      </c>
      <c r="Y29" s="6">
        <f t="shared" si="0"/>
        <v>1.6074907781511818E-3</v>
      </c>
      <c r="Z29" s="6">
        <f t="shared" si="6"/>
        <v>0</v>
      </c>
      <c r="AA29" s="6">
        <f t="shared" si="1"/>
        <v>5.8276842458567912E-3</v>
      </c>
      <c r="AB29" s="6">
        <f t="shared" si="2"/>
        <v>3.4334136805102423E-2</v>
      </c>
      <c r="AC29" s="6">
        <f>Y29+Z29</f>
        <v>1.6074907781511818E-3</v>
      </c>
      <c r="AD29" s="6">
        <f t="shared" si="7"/>
        <v>4.1631316179306842E-2</v>
      </c>
      <c r="AE29" s="6">
        <f t="shared" si="8"/>
        <v>1.6021800194920078E-3</v>
      </c>
      <c r="AF29" s="6">
        <f t="shared" si="9"/>
        <v>0</v>
      </c>
      <c r="AG29" s="6">
        <f t="shared" si="10"/>
        <v>5.8084309941478065E-3</v>
      </c>
      <c r="AH29" s="6">
        <f t="shared" si="11"/>
        <v>3.4220705165667026E-2</v>
      </c>
      <c r="AI29" s="6">
        <f>AE29+AF29</f>
        <v>1.6021800194920078E-3</v>
      </c>
      <c r="AJ29" s="22">
        <f t="shared" si="31"/>
        <v>7.0858222757908614E-4</v>
      </c>
      <c r="AK29">
        <f t="shared" si="32"/>
        <v>1.7257657591931951E-3</v>
      </c>
      <c r="AL29" s="25">
        <f t="shared" si="33"/>
        <v>7.0858222757908614E-4</v>
      </c>
      <c r="AM29" s="6">
        <f t="shared" ref="AM29:AN29" si="44">AK29+AM28</f>
        <v>3.2643296730815251E-2</v>
      </c>
      <c r="AN29" s="6">
        <f t="shared" si="44"/>
        <v>8.8194125048807852E-3</v>
      </c>
      <c r="AO29" s="6">
        <f t="shared" ref="AO29" si="45">AJ29+AO28</f>
        <v>8.8502747761900914E-3</v>
      </c>
      <c r="AP29" s="19">
        <f t="shared" si="34"/>
        <v>0.69139267321078623</v>
      </c>
      <c r="AQ29">
        <f>F29*100*T29/100</f>
        <v>4077.09788789602</v>
      </c>
      <c r="AR29" s="6">
        <f t="shared" si="27"/>
        <v>21.323221953696187</v>
      </c>
      <c r="AS29" s="6">
        <f t="shared" si="28"/>
        <v>2.0896757514622263E-3</v>
      </c>
      <c r="AT29" s="6">
        <f t="shared" si="12"/>
        <v>4063.6281478472788</v>
      </c>
      <c r="AU29" s="6">
        <f t="shared" si="13"/>
        <v>21.252775213241268</v>
      </c>
      <c r="AV29" s="6">
        <f t="shared" si="14"/>
        <v>2.0827719708976442E-3</v>
      </c>
      <c r="AW29" s="6">
        <f t="shared" si="29"/>
        <v>9.2112945157427658E-4</v>
      </c>
      <c r="AX29" s="52">
        <f t="shared" si="30"/>
        <v>2.1633824727363975E-3</v>
      </c>
      <c r="AY29" s="53">
        <f t="shared" si="15"/>
        <v>0.16900568952125519</v>
      </c>
      <c r="AZ29" s="54">
        <f t="shared" si="35"/>
        <v>0.8603983627320414</v>
      </c>
      <c r="BA29" s="23">
        <f t="shared" si="16"/>
        <v>1.0589393088780787</v>
      </c>
    </row>
    <row r="30" spans="1:56" ht="15" customHeight="1" x14ac:dyDescent="0.3">
      <c r="A30" t="s">
        <v>117</v>
      </c>
      <c r="B30">
        <v>2</v>
      </c>
      <c r="C30" s="2">
        <v>45058</v>
      </c>
      <c r="D30" s="11">
        <v>0.4284722222222222</v>
      </c>
      <c r="E30">
        <v>1014.9</v>
      </c>
      <c r="F30">
        <v>1117.7</v>
      </c>
      <c r="G30">
        <v>1114.3</v>
      </c>
      <c r="H30">
        <v>0</v>
      </c>
      <c r="I30">
        <v>0.73</v>
      </c>
      <c r="J30">
        <v>20.21</v>
      </c>
      <c r="K30">
        <v>75.12</v>
      </c>
      <c r="L30">
        <v>1</v>
      </c>
      <c r="N30" t="s">
        <v>99</v>
      </c>
      <c r="O30">
        <v>789.09</v>
      </c>
      <c r="P30" s="8">
        <f t="shared" si="4"/>
        <v>45058.428472222222</v>
      </c>
      <c r="Q30" s="9">
        <f t="shared" si="5"/>
        <v>24.794444444443798</v>
      </c>
      <c r="R30">
        <f t="shared" si="17"/>
        <v>96.06</v>
      </c>
      <c r="S30">
        <f t="shared" si="18"/>
        <v>0</v>
      </c>
      <c r="T30">
        <f t="shared" si="19"/>
        <v>0.75994170310222775</v>
      </c>
      <c r="U30">
        <f t="shared" si="20"/>
        <v>21.038933999583595</v>
      </c>
      <c r="V30">
        <f t="shared" si="21"/>
        <v>78.20112429731418</v>
      </c>
      <c r="W30">
        <f t="shared" si="22"/>
        <v>100</v>
      </c>
      <c r="X30" s="6">
        <f t="shared" si="23"/>
        <v>4.4067925081552467E-2</v>
      </c>
      <c r="Y30" s="6">
        <f t="shared" si="0"/>
        <v>3.3489054038656358E-4</v>
      </c>
      <c r="Z30" s="6">
        <f t="shared" si="6"/>
        <v>0</v>
      </c>
      <c r="AA30" s="6">
        <f t="shared" si="1"/>
        <v>9.2714216728937687E-3</v>
      </c>
      <c r="AB30" s="6">
        <f t="shared" si="2"/>
        <v>3.4461612868272137E-2</v>
      </c>
      <c r="AC30" s="6">
        <f t="shared" ref="AC30:AC35" si="46">Y30+Z30</f>
        <v>3.3489054038656358E-4</v>
      </c>
      <c r="AD30" s="6">
        <f t="shared" si="7"/>
        <v>4.3933872164600443E-2</v>
      </c>
      <c r="AE30" s="6">
        <f t="shared" si="8"/>
        <v>3.3387181636642017E-4</v>
      </c>
      <c r="AF30" s="6">
        <f t="shared" si="9"/>
        <v>0</v>
      </c>
      <c r="AG30" s="6">
        <f t="shared" si="10"/>
        <v>9.2432183681717163E-3</v>
      </c>
      <c r="AH30" s="6">
        <f t="shared" si="11"/>
        <v>3.4356781980062305E-2</v>
      </c>
      <c r="AI30" s="6">
        <f t="shared" ref="AI30:AI35" si="47">AE30+AF30</f>
        <v>3.3387181636642017E-4</v>
      </c>
      <c r="AJ30" s="22"/>
      <c r="AL30" s="25"/>
      <c r="AM30" s="6"/>
      <c r="AN30" s="6"/>
      <c r="AO30" s="6"/>
      <c r="AP30" s="19"/>
      <c r="AQ30">
        <f t="shared" ref="AQ30:AQ35" si="48">F30*100*T30/100</f>
        <v>849.38684155736007</v>
      </c>
      <c r="AR30" s="6">
        <f t="shared" si="27"/>
        <v>4.4422931813449935</v>
      </c>
      <c r="AS30" s="6">
        <f t="shared" si="28"/>
        <v>4.3534473177180938E-4</v>
      </c>
      <c r="AT30" s="6">
        <f t="shared" si="12"/>
        <v>846.80303976681239</v>
      </c>
      <c r="AU30" s="6">
        <f t="shared" si="13"/>
        <v>4.4287798979804291</v>
      </c>
      <c r="AV30" s="6">
        <f t="shared" si="14"/>
        <v>4.3402043000208209E-4</v>
      </c>
      <c r="AW30" s="6">
        <f t="shared" si="29"/>
        <v>-1.6474272391258347E-3</v>
      </c>
      <c r="AX30" s="52">
        <f t="shared" si="30"/>
        <v>5.1595523361056277E-4</v>
      </c>
      <c r="AY30" s="53">
        <f t="shared" si="15"/>
        <v>4.0306959641841597E-2</v>
      </c>
      <c r="AZ30" s="54"/>
      <c r="BA30" s="23">
        <f t="shared" si="16"/>
        <v>0</v>
      </c>
    </row>
    <row r="31" spans="1:56" ht="15" customHeight="1" x14ac:dyDescent="0.3">
      <c r="A31" t="s">
        <v>117</v>
      </c>
      <c r="B31">
        <v>2</v>
      </c>
      <c r="C31" s="2">
        <v>45061</v>
      </c>
      <c r="D31" s="11">
        <v>0.41736111111111113</v>
      </c>
      <c r="E31">
        <v>1012.7</v>
      </c>
      <c r="F31">
        <v>1072.3</v>
      </c>
      <c r="G31">
        <v>1069.7</v>
      </c>
      <c r="H31">
        <v>0</v>
      </c>
      <c r="I31">
        <v>4.24</v>
      </c>
      <c r="J31">
        <v>14.62</v>
      </c>
      <c r="K31">
        <v>81.73</v>
      </c>
      <c r="L31">
        <v>0</v>
      </c>
      <c r="N31" t="s">
        <v>99</v>
      </c>
      <c r="P31" s="3">
        <f t="shared" si="4"/>
        <v>45061.417361111111</v>
      </c>
      <c r="Q31" s="4">
        <f t="shared" si="5"/>
        <v>27.783333333332848</v>
      </c>
      <c r="R31">
        <f t="shared" si="17"/>
        <v>100.59</v>
      </c>
      <c r="S31">
        <f t="shared" si="18"/>
        <v>0</v>
      </c>
      <c r="T31">
        <f t="shared" si="19"/>
        <v>4.2151307287006663</v>
      </c>
      <c r="U31">
        <f t="shared" si="20"/>
        <v>14.534247937170692</v>
      </c>
      <c r="V31">
        <f t="shared" si="21"/>
        <v>81.250621334128638</v>
      </c>
      <c r="W31">
        <f t="shared" si="22"/>
        <v>100</v>
      </c>
      <c r="X31" s="10">
        <f t="shared" si="23"/>
        <v>4.2277924366957778E-2</v>
      </c>
      <c r="Y31" s="10">
        <f t="shared" si="0"/>
        <v>1.7820697814484639E-3</v>
      </c>
      <c r="Z31" s="10">
        <f t="shared" si="6"/>
        <v>0</v>
      </c>
      <c r="AA31" s="10">
        <f t="shared" si="1"/>
        <v>6.1447783501831464E-3</v>
      </c>
      <c r="AB31" s="10">
        <f t="shared" si="2"/>
        <v>3.4351076235326163E-2</v>
      </c>
      <c r="AC31" s="10">
        <f t="shared" si="46"/>
        <v>1.7820697814484639E-3</v>
      </c>
      <c r="AD31" s="10">
        <f t="shared" si="7"/>
        <v>4.2175413312817996E-2</v>
      </c>
      <c r="AE31" s="10">
        <f t="shared" si="8"/>
        <v>1.7777488065051032E-3</v>
      </c>
      <c r="AF31" s="10">
        <f t="shared" si="9"/>
        <v>0</v>
      </c>
      <c r="AG31" s="10">
        <f t="shared" si="10"/>
        <v>6.1298791394114628E-3</v>
      </c>
      <c r="AH31" s="10">
        <f t="shared" si="11"/>
        <v>3.4267785366901428E-2</v>
      </c>
      <c r="AI31" s="10">
        <f t="shared" si="47"/>
        <v>1.7777488065051032E-3</v>
      </c>
      <c r="AJ31" s="22">
        <f t="shared" si="31"/>
        <v>1.4481979650820438E-3</v>
      </c>
      <c r="AK31">
        <f t="shared" si="32"/>
        <v>3.0984400179885699E-3</v>
      </c>
      <c r="AL31" s="25">
        <f t="shared" si="33"/>
        <v>1.4481979650820438E-3</v>
      </c>
      <c r="AM31" s="6">
        <f>AK31+AM29</f>
        <v>3.5741736748803821E-2</v>
      </c>
      <c r="AN31" s="6">
        <f>AL31+AN29</f>
        <v>1.0267610469962829E-2</v>
      </c>
      <c r="AO31" s="6">
        <f>AJ31+AO29</f>
        <v>1.0298472741272135E-2</v>
      </c>
      <c r="AP31" s="19">
        <f t="shared" si="34"/>
        <v>0.80452740492671238</v>
      </c>
      <c r="AQ31" s="7">
        <f t="shared" si="48"/>
        <v>4519.884680385725</v>
      </c>
      <c r="AR31" s="10">
        <f t="shared" si="27"/>
        <v>23.638996878417345</v>
      </c>
      <c r="AS31" s="6">
        <f t="shared" si="28"/>
        <v>2.3166216940848998E-3</v>
      </c>
      <c r="AT31" s="6">
        <f t="shared" si="12"/>
        <v>4508.9253404911024</v>
      </c>
      <c r="AU31" s="6">
        <f t="shared" si="13"/>
        <v>23.581679530768465</v>
      </c>
      <c r="AV31" s="6">
        <f t="shared" si="14"/>
        <v>2.3110045940153093E-3</v>
      </c>
      <c r="AW31" s="6">
        <f t="shared" si="29"/>
        <v>1.8826012640828177E-3</v>
      </c>
      <c r="AX31" s="52">
        <f t="shared" si="30"/>
        <v>2.3985564976933805E-3</v>
      </c>
      <c r="AY31" s="53">
        <f t="shared" si="15"/>
        <v>0.1873777290224676</v>
      </c>
      <c r="AZ31" s="54">
        <f t="shared" si="35"/>
        <v>0.99190513394918001</v>
      </c>
      <c r="BA31" s="23">
        <f t="shared" si="16"/>
        <v>0.93023920230864487</v>
      </c>
    </row>
    <row r="32" spans="1:56" ht="15" customHeight="1" x14ac:dyDescent="0.3">
      <c r="A32" t="s">
        <v>117</v>
      </c>
      <c r="B32">
        <v>2</v>
      </c>
      <c r="C32" s="2">
        <v>45061</v>
      </c>
      <c r="D32" s="11">
        <v>0.45069444444444445</v>
      </c>
      <c r="E32">
        <v>1012.8</v>
      </c>
      <c r="F32">
        <v>1115.9000000000001</v>
      </c>
      <c r="G32">
        <v>1111.9000000000001</v>
      </c>
      <c r="H32">
        <v>0</v>
      </c>
      <c r="I32">
        <v>0.78</v>
      </c>
      <c r="J32">
        <v>20.329999999999998</v>
      </c>
      <c r="K32">
        <v>75.819999999999993</v>
      </c>
      <c r="L32">
        <v>1</v>
      </c>
      <c r="N32" t="s">
        <v>99</v>
      </c>
      <c r="O32">
        <v>788.99</v>
      </c>
      <c r="P32" s="8">
        <f t="shared" si="4"/>
        <v>45061.450694444444</v>
      </c>
      <c r="Q32" s="9">
        <f t="shared" si="5"/>
        <v>27.816666666665697</v>
      </c>
      <c r="R32">
        <f t="shared" ref="R32:R35" si="49">SUM(H32:K32)</f>
        <v>96.929999999999993</v>
      </c>
      <c r="S32">
        <f t="shared" si="18"/>
        <v>0</v>
      </c>
      <c r="T32">
        <f t="shared" si="19"/>
        <v>0.80470442587434232</v>
      </c>
      <c r="U32">
        <f t="shared" si="20"/>
        <v>20.973898689776128</v>
      </c>
      <c r="V32">
        <f t="shared" si="21"/>
        <v>78.221396884349531</v>
      </c>
      <c r="W32">
        <f t="shared" si="22"/>
        <v>100</v>
      </c>
      <c r="X32" s="6">
        <f t="shared" si="23"/>
        <v>4.3996955890224926E-2</v>
      </c>
      <c r="Y32" s="6">
        <f t="shared" si="0"/>
        <v>3.5404545129862216E-4</v>
      </c>
      <c r="Z32" s="6">
        <f t="shared" si="6"/>
        <v>0</v>
      </c>
      <c r="AA32" s="6">
        <f t="shared" si="1"/>
        <v>9.2278769550012667E-3</v>
      </c>
      <c r="AB32" s="6">
        <f t="shared" si="2"/>
        <v>3.4415033483925037E-2</v>
      </c>
      <c r="AC32" s="6">
        <f t="shared" si="46"/>
        <v>3.5404545129862216E-4</v>
      </c>
      <c r="AD32" s="6">
        <f t="shared" si="7"/>
        <v>4.3839246576163726E-2</v>
      </c>
      <c r="AE32" s="6">
        <f t="shared" si="8"/>
        <v>3.527763574683556E-4</v>
      </c>
      <c r="AF32" s="6">
        <f t="shared" si="9"/>
        <v>0</v>
      </c>
      <c r="AG32" s="6">
        <f t="shared" si="10"/>
        <v>9.1947991632457295E-3</v>
      </c>
      <c r="AH32" s="6">
        <f t="shared" si="11"/>
        <v>3.4291671055449641E-2</v>
      </c>
      <c r="AI32" s="6">
        <f t="shared" si="47"/>
        <v>3.527763574683556E-4</v>
      </c>
      <c r="AJ32" s="22"/>
      <c r="AL32" s="25"/>
      <c r="AM32" s="6"/>
      <c r="AN32" s="6"/>
      <c r="AO32" s="6"/>
      <c r="AP32" s="19"/>
      <c r="AQ32">
        <f t="shared" si="48"/>
        <v>897.96966883317873</v>
      </c>
      <c r="AR32" s="6">
        <f t="shared" si="27"/>
        <v>4.6963813679975246</v>
      </c>
      <c r="AS32" s="6">
        <f t="shared" si="28"/>
        <v>4.6024537406375742E-4</v>
      </c>
      <c r="AT32" s="6">
        <f t="shared" si="12"/>
        <v>894.75085112968145</v>
      </c>
      <c r="AU32" s="6">
        <f t="shared" si="13"/>
        <v>4.6795469514082342</v>
      </c>
      <c r="AV32" s="6">
        <f t="shared" si="14"/>
        <v>4.5859560123800698E-4</v>
      </c>
      <c r="AW32" s="6">
        <f t="shared" si="29"/>
        <v>-1.850759219951552E-3</v>
      </c>
      <c r="AX32" s="52">
        <f t="shared" si="30"/>
        <v>5.4779727774182849E-4</v>
      </c>
      <c r="AY32" s="53">
        <f t="shared" si="15"/>
        <v>4.2794493257367255E-2</v>
      </c>
      <c r="AZ32" s="54"/>
      <c r="BA32" s="23">
        <f t="shared" si="16"/>
        <v>0</v>
      </c>
    </row>
    <row r="33" spans="1:53" ht="15" customHeight="1" x14ac:dyDescent="0.3">
      <c r="A33" t="s">
        <v>117</v>
      </c>
      <c r="B33">
        <v>2</v>
      </c>
      <c r="C33" s="2">
        <v>45063</v>
      </c>
      <c r="D33" s="11">
        <v>0.37916666666666665</v>
      </c>
      <c r="E33">
        <v>1025.3</v>
      </c>
      <c r="F33">
        <v>1082.9000000000001</v>
      </c>
      <c r="G33">
        <v>1080.5</v>
      </c>
      <c r="H33">
        <v>0</v>
      </c>
      <c r="I33">
        <v>3.84</v>
      </c>
      <c r="J33">
        <v>15.96</v>
      </c>
      <c r="K33">
        <v>81</v>
      </c>
      <c r="L33">
        <v>0</v>
      </c>
      <c r="N33" t="s">
        <v>99</v>
      </c>
      <c r="P33" s="3">
        <f t="shared" si="4"/>
        <v>45063.379166666666</v>
      </c>
      <c r="Q33" s="4">
        <f t="shared" si="5"/>
        <v>29.745138888887595</v>
      </c>
      <c r="R33">
        <f t="shared" si="49"/>
        <v>100.8</v>
      </c>
      <c r="S33">
        <f t="shared" si="18"/>
        <v>0</v>
      </c>
      <c r="T33">
        <f t="shared" si="19"/>
        <v>3.8095238095238098</v>
      </c>
      <c r="U33">
        <f t="shared" si="20"/>
        <v>15.833333333333334</v>
      </c>
      <c r="V33">
        <f t="shared" si="21"/>
        <v>80.357142857142861</v>
      </c>
      <c r="W33">
        <f t="shared" si="22"/>
        <v>100</v>
      </c>
      <c r="X33" s="10">
        <f t="shared" si="23"/>
        <v>4.2695854049219981E-2</v>
      </c>
      <c r="Y33" s="10">
        <f t="shared" si="0"/>
        <v>1.6265087256845708E-3</v>
      </c>
      <c r="Z33" s="10">
        <f t="shared" si="6"/>
        <v>0</v>
      </c>
      <c r="AA33" s="10">
        <f t="shared" si="1"/>
        <v>6.7601768911264969E-3</v>
      </c>
      <c r="AB33" s="10">
        <f t="shared" si="2"/>
        <v>3.4309168432408915E-2</v>
      </c>
      <c r="AC33" s="10">
        <f t="shared" si="46"/>
        <v>1.6265087256845708E-3</v>
      </c>
      <c r="AD33" s="10">
        <f t="shared" si="7"/>
        <v>4.2601228460783257E-2</v>
      </c>
      <c r="AE33" s="10">
        <f t="shared" si="8"/>
        <v>1.6229039413631719E-3</v>
      </c>
      <c r="AF33" s="10">
        <f t="shared" si="9"/>
        <v>0</v>
      </c>
      <c r="AG33" s="10">
        <f t="shared" si="10"/>
        <v>6.7451945062906825E-3</v>
      </c>
      <c r="AH33" s="10">
        <f t="shared" si="11"/>
        <v>3.4233130013129401E-2</v>
      </c>
      <c r="AI33" s="10">
        <f t="shared" si="47"/>
        <v>1.6229039413631719E-3</v>
      </c>
      <c r="AJ33" s="22">
        <f t="shared" si="31"/>
        <v>1.2737323682162152E-3</v>
      </c>
      <c r="AK33">
        <f t="shared" si="32"/>
        <v>2.4346222721192325E-3</v>
      </c>
      <c r="AL33" s="25">
        <f t="shared" si="33"/>
        <v>1.2737323682162152E-3</v>
      </c>
      <c r="AM33" s="6">
        <f>AK33+AM31</f>
        <v>3.8176359020923055E-2</v>
      </c>
      <c r="AN33" s="6">
        <f>AL33+AN31</f>
        <v>1.1541342838179045E-2</v>
      </c>
      <c r="AO33" s="6">
        <f>AJ33+AO31</f>
        <v>1.1572205109488351E-2</v>
      </c>
      <c r="AP33" s="19">
        <f t="shared" si="34"/>
        <v>0.90403270270405689</v>
      </c>
      <c r="AQ33" s="7">
        <f t="shared" si="48"/>
        <v>4125.3333333333339</v>
      </c>
      <c r="AR33" s="10">
        <f t="shared" si="27"/>
        <v>21.575493333333338</v>
      </c>
      <c r="AS33" s="6">
        <f t="shared" si="28"/>
        <v>2.1143983466666676E-3</v>
      </c>
      <c r="AT33" s="6">
        <f t="shared" si="12"/>
        <v>4116.1904761904761</v>
      </c>
      <c r="AU33" s="6">
        <f t="shared" si="13"/>
        <v>21.527676190476193</v>
      </c>
      <c r="AV33" s="6">
        <f t="shared" si="14"/>
        <v>2.1097122666666672E-3</v>
      </c>
      <c r="AW33" s="6">
        <f t="shared" si="29"/>
        <v>1.6558027454286607E-3</v>
      </c>
      <c r="AX33" s="52">
        <f t="shared" si="30"/>
        <v>2.203600023170489E-3</v>
      </c>
      <c r="AY33" s="53">
        <f t="shared" si="15"/>
        <v>0.17214752640291031</v>
      </c>
      <c r="AZ33" s="54">
        <f t="shared" si="35"/>
        <v>1.0761802291069671</v>
      </c>
      <c r="BA33" s="23">
        <f t="shared" si="16"/>
        <v>0.83106096280584196</v>
      </c>
    </row>
    <row r="34" spans="1:53" ht="15" customHeight="1" x14ac:dyDescent="0.3">
      <c r="A34" t="s">
        <v>117</v>
      </c>
      <c r="B34">
        <v>2</v>
      </c>
      <c r="C34" s="2">
        <v>45063</v>
      </c>
      <c r="D34" s="11">
        <v>0.42222222222222222</v>
      </c>
      <c r="E34">
        <v>1025.7</v>
      </c>
      <c r="F34">
        <v>1125.8</v>
      </c>
      <c r="G34">
        <v>1122.3</v>
      </c>
      <c r="H34">
        <v>0</v>
      </c>
      <c r="I34">
        <v>0.56000000000000005</v>
      </c>
      <c r="J34">
        <v>20.51</v>
      </c>
      <c r="K34">
        <v>76.2</v>
      </c>
      <c r="L34">
        <v>1</v>
      </c>
      <c r="N34" t="s">
        <v>99</v>
      </c>
      <c r="O34">
        <v>788.84</v>
      </c>
      <c r="P34" s="3">
        <f t="shared" si="4"/>
        <v>45063.422222222223</v>
      </c>
      <c r="Q34" s="4">
        <f t="shared" si="5"/>
        <v>29.788194444445253</v>
      </c>
      <c r="R34">
        <f t="shared" si="49"/>
        <v>97.27000000000001</v>
      </c>
      <c r="S34">
        <f t="shared" si="18"/>
        <v>0</v>
      </c>
      <c r="T34">
        <f t="shared" si="19"/>
        <v>0.57571707617970602</v>
      </c>
      <c r="U34">
        <f t="shared" si="20"/>
        <v>21.08563791508173</v>
      </c>
      <c r="V34">
        <f t="shared" si="21"/>
        <v>78.338645008738553</v>
      </c>
      <c r="W34">
        <f t="shared" si="22"/>
        <v>99.999999999999986</v>
      </c>
      <c r="X34" s="10">
        <f t="shared" si="23"/>
        <v>4.4387286442526409E-2</v>
      </c>
      <c r="Y34" s="10">
        <f t="shared" si="0"/>
        <v>2.5554518770242411E-4</v>
      </c>
      <c r="Z34" s="10">
        <f t="shared" si="6"/>
        <v>0</v>
      </c>
      <c r="AA34" s="10">
        <f t="shared" si="1"/>
        <v>9.3593424996012801E-3</v>
      </c>
      <c r="AB34" s="10">
        <f t="shared" si="2"/>
        <v>3.47723987552227E-2</v>
      </c>
      <c r="AC34" s="10">
        <f t="shared" si="46"/>
        <v>2.5554518770242411E-4</v>
      </c>
      <c r="AD34" s="10">
        <f t="shared" si="7"/>
        <v>4.4249290792722856E-2</v>
      </c>
      <c r="AE34" s="10">
        <f t="shared" si="8"/>
        <v>2.5475072318211991E-4</v>
      </c>
      <c r="AF34" s="10">
        <f t="shared" si="9"/>
        <v>0</v>
      </c>
      <c r="AG34" s="10">
        <f t="shared" si="10"/>
        <v>9.3302452365451385E-3</v>
      </c>
      <c r="AH34" s="10">
        <f t="shared" si="11"/>
        <v>3.4664294832995594E-2</v>
      </c>
      <c r="AI34" s="10">
        <f t="shared" si="47"/>
        <v>2.5475072318211991E-4</v>
      </c>
      <c r="AJ34" s="22"/>
      <c r="AL34" s="25"/>
      <c r="AM34" s="6"/>
      <c r="AN34" s="6"/>
      <c r="AO34" s="6"/>
      <c r="AP34" s="19"/>
      <c r="AQ34" s="7">
        <f t="shared" si="48"/>
        <v>648.14228436311305</v>
      </c>
      <c r="AR34" s="10">
        <f t="shared" si="27"/>
        <v>3.3897841472190815</v>
      </c>
      <c r="AS34" s="6">
        <f t="shared" si="28"/>
        <v>3.3219884642747002E-4</v>
      </c>
      <c r="AT34" s="6">
        <f t="shared" si="12"/>
        <v>646.12727459648409</v>
      </c>
      <c r="AU34" s="6">
        <f t="shared" si="13"/>
        <v>3.3792456461396121</v>
      </c>
      <c r="AV34" s="6">
        <f t="shared" si="14"/>
        <v>3.3116607332168204E-4</v>
      </c>
      <c r="AW34" s="6">
        <f t="shared" si="29"/>
        <v>-1.7775134202391973E-3</v>
      </c>
      <c r="AX34" s="52">
        <f t="shared" si="30"/>
        <v>4.260866029312917E-4</v>
      </c>
      <c r="AY34" s="53">
        <f t="shared" si="15"/>
        <v>3.3286328715184416E-2</v>
      </c>
      <c r="AZ34" s="54"/>
      <c r="BA34" s="23">
        <f t="shared" si="16"/>
        <v>0</v>
      </c>
    </row>
    <row r="35" spans="1:53" ht="15" customHeight="1" x14ac:dyDescent="0.3">
      <c r="A35" t="s">
        <v>117</v>
      </c>
      <c r="B35">
        <v>2</v>
      </c>
      <c r="C35" s="2">
        <v>45068</v>
      </c>
      <c r="D35" s="11">
        <v>0.6</v>
      </c>
      <c r="E35">
        <v>1013.4</v>
      </c>
      <c r="F35">
        <v>1045.7</v>
      </c>
      <c r="G35">
        <v>1034.5999999999999</v>
      </c>
      <c r="H35">
        <v>0.18</v>
      </c>
      <c r="I35">
        <v>13.35</v>
      </c>
      <c r="J35">
        <v>2.69</v>
      </c>
      <c r="K35">
        <v>86.06</v>
      </c>
      <c r="L35">
        <v>0</v>
      </c>
      <c r="M35" t="s">
        <v>101</v>
      </c>
      <c r="N35" t="s">
        <v>99</v>
      </c>
      <c r="P35" s="3">
        <f t="shared" si="4"/>
        <v>45068.6</v>
      </c>
      <c r="Q35" s="4">
        <f t="shared" si="5"/>
        <v>34.965972222220444</v>
      </c>
      <c r="R35">
        <f t="shared" si="49"/>
        <v>102.28</v>
      </c>
      <c r="S35">
        <f t="shared" si="18"/>
        <v>0.17598748533437622</v>
      </c>
      <c r="T35">
        <f t="shared" si="19"/>
        <v>13.05240516229957</v>
      </c>
      <c r="U35">
        <f t="shared" si="20"/>
        <v>2.630035197497067</v>
      </c>
      <c r="V35">
        <f t="shared" si="21"/>
        <v>84.141572154868982</v>
      </c>
      <c r="W35">
        <f t="shared" si="22"/>
        <v>100</v>
      </c>
      <c r="X35" s="10">
        <f t="shared" si="23"/>
        <v>4.1229157428450756E-2</v>
      </c>
      <c r="Y35" s="10">
        <f t="shared" si="0"/>
        <v>5.3813966725637227E-3</v>
      </c>
      <c r="Z35" s="10">
        <f t="shared" si="6"/>
        <v>7.2558157382881649E-5</v>
      </c>
      <c r="AA35" s="10">
        <f t="shared" si="1"/>
        <v>1.0843413519997314E-3</v>
      </c>
      <c r="AB35" s="10">
        <f t="shared" si="2"/>
        <v>3.4690861246504417E-2</v>
      </c>
      <c r="AC35" s="10">
        <f t="shared" si="46"/>
        <v>5.4539548299466041E-3</v>
      </c>
      <c r="AD35" s="10">
        <f t="shared" si="7"/>
        <v>4.0791514081930907E-2</v>
      </c>
      <c r="AE35" s="10">
        <f t="shared" si="8"/>
        <v>5.3242736898101058E-3</v>
      </c>
      <c r="AF35" s="10">
        <f t="shared" si="9"/>
        <v>7.1787959862608174E-5</v>
      </c>
      <c r="AG35" s="10">
        <f t="shared" si="10"/>
        <v>1.0728311779467554E-3</v>
      </c>
      <c r="AH35" s="10">
        <f t="shared" si="11"/>
        <v>3.4322621254311431E-2</v>
      </c>
      <c r="AI35" s="10">
        <f t="shared" si="47"/>
        <v>5.3960616496727138E-3</v>
      </c>
      <c r="AJ35" s="22">
        <f t="shared" ref="AJ35" si="50">AC35-AI34</f>
        <v>5.1992041067644842E-3</v>
      </c>
      <c r="AK35">
        <f t="shared" ref="AK35" si="51">(AA35-AG34)*-1</f>
        <v>8.245903884545408E-3</v>
      </c>
      <c r="AL35" s="25">
        <f t="shared" ref="AL35" si="52">Y35-AE34</f>
        <v>5.1266459493816028E-3</v>
      </c>
      <c r="AM35" s="6">
        <f>AK35+AM33</f>
        <v>4.6422262905468463E-2</v>
      </c>
      <c r="AN35" s="6">
        <f>AL35+AN33</f>
        <v>1.6667988787560647E-2</v>
      </c>
      <c r="AO35" s="6">
        <f>AJ35+AO33</f>
        <v>1.6771409216252836E-2</v>
      </c>
      <c r="AP35" s="19">
        <f t="shared" si="34"/>
        <v>1.3101999366994579</v>
      </c>
      <c r="AQ35" s="7">
        <f t="shared" si="48"/>
        <v>13648.90007821666</v>
      </c>
      <c r="AR35" s="10">
        <f t="shared" si="27"/>
        <v>71.383747409073138</v>
      </c>
      <c r="AS35" s="6">
        <f t="shared" si="28"/>
        <v>6.9956072460891673E-3</v>
      </c>
      <c r="AT35" s="6">
        <f t="shared" si="12"/>
        <v>13504.018380915133</v>
      </c>
      <c r="AU35" s="6">
        <f t="shared" si="13"/>
        <v>70.626016132186152</v>
      </c>
      <c r="AV35" s="6">
        <f t="shared" si="14"/>
        <v>6.9213495809542433E-3</v>
      </c>
      <c r="AW35" s="6">
        <f t="shared" si="29"/>
        <v>6.6644411727674853E-3</v>
      </c>
      <c r="AX35" s="52">
        <f t="shared" si="30"/>
        <v>7.090527775698777E-3</v>
      </c>
      <c r="AY35" s="53">
        <f t="shared" si="15"/>
        <v>0.55391940671768503</v>
      </c>
      <c r="AZ35" s="54">
        <f t="shared" si="35"/>
        <v>1.8641193434171428</v>
      </c>
      <c r="BA35" s="23">
        <f t="shared" si="16"/>
        <v>0.6993336406662457</v>
      </c>
    </row>
    <row r="36" spans="1:53" ht="15" customHeight="1" x14ac:dyDescent="0.3">
      <c r="A36" t="s">
        <v>117</v>
      </c>
      <c r="B36">
        <v>2</v>
      </c>
      <c r="C36" s="2">
        <v>45068</v>
      </c>
      <c r="D36" s="11">
        <v>0.63888888888888895</v>
      </c>
      <c r="E36">
        <v>1013.6</v>
      </c>
      <c r="F36">
        <v>1119.2</v>
      </c>
      <c r="G36">
        <v>1115.8</v>
      </c>
      <c r="H36">
        <v>0</v>
      </c>
      <c r="I36">
        <v>1.64</v>
      </c>
      <c r="J36">
        <v>19.96</v>
      </c>
      <c r="K36">
        <v>65.12</v>
      </c>
      <c r="L36">
        <v>1</v>
      </c>
      <c r="N36" t="s">
        <v>99</v>
      </c>
      <c r="O36">
        <v>788.73</v>
      </c>
      <c r="P36" s="3">
        <f t="shared" ref="P36" si="53">C36+D36</f>
        <v>45068.638888888891</v>
      </c>
      <c r="Q36" s="4">
        <f t="shared" ref="Q36" si="54">P36-$P$13</f>
        <v>35.004861111112405</v>
      </c>
      <c r="R36">
        <f t="shared" ref="R36" si="55">SUM(H36:K36)</f>
        <v>86.72</v>
      </c>
      <c r="S36">
        <f t="shared" ref="S36" si="56">H36 * 100/R36</f>
        <v>0</v>
      </c>
      <c r="T36">
        <f t="shared" ref="T36" si="57">I36* 100/R36</f>
        <v>1.8911439114391144</v>
      </c>
      <c r="U36">
        <f t="shared" ref="U36" si="58">J36* 100/R36</f>
        <v>23.016605166051662</v>
      </c>
      <c r="V36">
        <f t="shared" ref="V36" si="59">K36* 100/R36</f>
        <v>75.092250922509223</v>
      </c>
      <c r="W36">
        <f t="shared" ref="W36" si="60">SUM(S36:V36)</f>
        <v>100</v>
      </c>
      <c r="X36" s="10">
        <f t="shared" ref="X36" si="61">F36*100*$D$3/($D$1*$D$2)</f>
        <v>4.412706607432542E-2</v>
      </c>
      <c r="Y36" s="10">
        <f t="shared" ref="Y36" si="62">X36*T36/100</f>
        <v>8.3450632336132019E-4</v>
      </c>
      <c r="Z36" s="10">
        <f t="shared" ref="Z36" si="63">X36*S36/100</f>
        <v>0</v>
      </c>
      <c r="AA36" s="10">
        <f t="shared" ref="AA36" si="64">X36*U36/100</f>
        <v>1.0156552569690216E-2</v>
      </c>
      <c r="AB36" s="10">
        <f t="shared" ref="AB36" si="65">X36*V36/100</f>
        <v>3.313600718127388E-2</v>
      </c>
      <c r="AC36" s="10">
        <f t="shared" ref="AC36" si="66">Y36+Z36</f>
        <v>8.3450632336132019E-4</v>
      </c>
      <c r="AD36" s="10">
        <f t="shared" ref="AD36" si="67">G36*100*$D$3/($D$1*$D$2)</f>
        <v>4.399301315737339E-2</v>
      </c>
      <c r="AE36" s="10">
        <f t="shared" ref="AE36" si="68">AD36*T36/100</f>
        <v>8.3197118978427535E-4</v>
      </c>
      <c r="AF36" s="10">
        <f t="shared" ref="AF36" si="69">AD36*S36/100</f>
        <v>0</v>
      </c>
      <c r="AG36" s="10">
        <f t="shared" ref="AG36" si="70">AD36*U36/100</f>
        <v>1.0125698139081792E-2</v>
      </c>
      <c r="AH36" s="10">
        <f t="shared" ref="AH36" si="71">AD36*V36/100</f>
        <v>3.3035343828507327E-2</v>
      </c>
      <c r="AI36" s="10">
        <f t="shared" ref="AI36" si="72">AE36+AF36</f>
        <v>8.3197118978427535E-4</v>
      </c>
      <c r="AJ36" s="22"/>
      <c r="AL36" s="25"/>
      <c r="AM36" s="6"/>
      <c r="AN36" s="6"/>
      <c r="AO36" s="6"/>
      <c r="AP36" s="19"/>
      <c r="AQ36" s="7">
        <f t="shared" ref="AQ36" si="73">F36*100*T36/100</f>
        <v>2116.5682656826566</v>
      </c>
      <c r="AR36" s="10">
        <f t="shared" ref="AR36" si="74">AQ36*$D$7</f>
        <v>11.069652029520295</v>
      </c>
      <c r="AS36" s="6">
        <f t="shared" ref="AS36" si="75">AR36*$D$5/1000</f>
        <v>1.0848258988929889E-3</v>
      </c>
      <c r="AT36" s="6">
        <f t="shared" ref="AT36" si="76">G36*100*T36/100</f>
        <v>2110.1383763837639</v>
      </c>
      <c r="AU36" s="6">
        <f t="shared" ref="AU36" si="77">AT36*$D$7</f>
        <v>11.036023708487086</v>
      </c>
      <c r="AV36" s="6">
        <f t="shared" ref="AV36" si="78">AU36*$D$5/1000</f>
        <v>1.0815303234317343E-3</v>
      </c>
      <c r="AW36" s="6">
        <f t="shared" ref="AW36" si="79">AS36-AV35</f>
        <v>-5.8365236820612544E-3</v>
      </c>
      <c r="AX36" s="52">
        <f t="shared" ref="AX36" si="80">AW36+AX35</f>
        <v>1.2540040936375226E-3</v>
      </c>
      <c r="AY36" s="53">
        <f t="shared" ref="AY36" si="81">(AX36*$D$4*1000/$D$6)</f>
        <v>9.7964104442252148E-2</v>
      </c>
      <c r="AZ36" s="54"/>
      <c r="BA36" s="23">
        <f t="shared" ref="BA36" si="82">AK36/(AL36+AW36)</f>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6">
    <cfRule type="expression" dxfId="21" priority="1">
      <formula>$L13=0</formula>
    </cfRule>
    <cfRule type="expression" dxfId="20" priority="2">
      <formula>$L13=1</formula>
    </cfRule>
  </conditionalFormatting>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E612-1946-4735-A176-724E3010860F}">
  <dimension ref="A1:BD36"/>
  <sheetViews>
    <sheetView topLeftCell="AF1" zoomScale="94" zoomScaleNormal="40" workbookViewId="0">
      <selection activeCell="AW23" sqref="AW23"/>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120</v>
      </c>
      <c r="B13">
        <v>1</v>
      </c>
      <c r="C13" s="2">
        <v>45034</v>
      </c>
      <c r="D13" s="11">
        <v>0.63472222222222219</v>
      </c>
      <c r="E13" s="15">
        <v>1025.3</v>
      </c>
      <c r="F13">
        <f>SUM(F14:F36)/(34-14)</f>
        <v>1271.5050000000001</v>
      </c>
      <c r="M13" t="s">
        <v>121</v>
      </c>
      <c r="O13">
        <v>801.11</v>
      </c>
      <c r="P13" s="3">
        <f>C13+D13</f>
        <v>45034.634722222225</v>
      </c>
      <c r="Q13" s="4">
        <f>P13-$P$13</f>
        <v>0</v>
      </c>
      <c r="S13">
        <v>0</v>
      </c>
      <c r="T13">
        <v>0.03</v>
      </c>
      <c r="U13">
        <v>21.9</v>
      </c>
      <c r="V13">
        <v>78.069999999999993</v>
      </c>
      <c r="W13">
        <f>SUM(S13:V13)</f>
        <v>100</v>
      </c>
      <c r="X13" s="6">
        <f>F13*100*$D$3/($D$1*$D$2)</f>
        <v>5.0132045343848415E-2</v>
      </c>
      <c r="Y13" s="6">
        <f t="shared" ref="Y13:Y36" si="0">X13*T13/100</f>
        <v>1.5039613603154525E-5</v>
      </c>
      <c r="Z13" s="6">
        <f>X13*S13/100</f>
        <v>0</v>
      </c>
      <c r="AA13" s="6">
        <f t="shared" ref="AA13:AA36" si="1">X13*U13/100</f>
        <v>1.0978917930302803E-2</v>
      </c>
      <c r="AB13" s="6">
        <f t="shared" ref="AB13:AB36" si="2">X13*V13/100</f>
        <v>3.9138087799942455E-2</v>
      </c>
      <c r="AC13" s="6">
        <f>Y13+Z13</f>
        <v>1.5039613603154525E-5</v>
      </c>
      <c r="AD13" s="6">
        <f>X13</f>
        <v>5.0132045343848415E-2</v>
      </c>
      <c r="AE13" s="6">
        <f>Y13</f>
        <v>1.5039613603154525E-5</v>
      </c>
      <c r="AF13" s="6">
        <f t="shared" ref="AF13:AI13" si="3">Z13</f>
        <v>0</v>
      </c>
      <c r="AG13" s="6">
        <f t="shared" si="3"/>
        <v>1.0978917930302803E-2</v>
      </c>
      <c r="AH13" s="6">
        <f t="shared" si="3"/>
        <v>3.9138087799942455E-2</v>
      </c>
      <c r="AI13" s="6">
        <f t="shared" si="3"/>
        <v>1.5039613603154525E-5</v>
      </c>
      <c r="AJ13" s="22">
        <f>AC13-AI13</f>
        <v>0</v>
      </c>
      <c r="AK13" s="6">
        <f>AA13-AG13</f>
        <v>0</v>
      </c>
      <c r="AL13" s="23">
        <f>Y13-AE13</f>
        <v>0</v>
      </c>
      <c r="AM13" s="6">
        <f>AK13</f>
        <v>0</v>
      </c>
      <c r="AN13" s="6">
        <f>AL13</f>
        <v>0</v>
      </c>
      <c r="AO13" s="6">
        <f>AJ13</f>
        <v>0</v>
      </c>
      <c r="AP13" s="19">
        <f>AO13*$D$4*1000/$D$6</f>
        <v>0</v>
      </c>
      <c r="AQ13">
        <f>F13*100*T13/100</f>
        <v>38.145150000000001</v>
      </c>
      <c r="AR13" s="6">
        <f>AQ13*$D$7</f>
        <v>0.19949913450000001</v>
      </c>
      <c r="AS13" s="6">
        <f>AR13*$D$5/1000</f>
        <v>1.9550915181000001E-5</v>
      </c>
      <c r="AT13" s="6">
        <f>G13*100*T13/100</f>
        <v>0</v>
      </c>
      <c r="AU13" s="6">
        <f>AT13*$D$7</f>
        <v>0</v>
      </c>
      <c r="AV13" s="6">
        <f>AU13*$D$5/1000</f>
        <v>0</v>
      </c>
      <c r="AW13" s="6">
        <f>AS13-AV13</f>
        <v>1.9550915181000001E-5</v>
      </c>
      <c r="AX13" s="52">
        <f>AW13</f>
        <v>1.9550915181000001E-5</v>
      </c>
      <c r="AY13" s="53">
        <f>(AX13*$D$4*1000/$D$6)</f>
        <v>1.5273378344223512E-3</v>
      </c>
      <c r="AZ13" s="54">
        <f>AP13</f>
        <v>0</v>
      </c>
      <c r="BA13" s="23">
        <v>0</v>
      </c>
    </row>
    <row r="14" spans="1:56" ht="14.4" x14ac:dyDescent="0.3">
      <c r="A14" t="s">
        <v>120</v>
      </c>
      <c r="B14">
        <v>1</v>
      </c>
      <c r="C14" s="2">
        <v>45035</v>
      </c>
      <c r="D14" s="11">
        <v>0.65694444444444444</v>
      </c>
      <c r="E14" s="15">
        <v>1022.5</v>
      </c>
      <c r="F14">
        <v>1126.8</v>
      </c>
      <c r="G14">
        <v>1123.8</v>
      </c>
      <c r="H14">
        <v>0.93</v>
      </c>
      <c r="I14">
        <v>7.05</v>
      </c>
      <c r="J14">
        <v>13.9</v>
      </c>
      <c r="K14">
        <v>76.66</v>
      </c>
      <c r="L14">
        <v>0</v>
      </c>
      <c r="N14" t="s">
        <v>99</v>
      </c>
      <c r="P14" s="3">
        <f t="shared" ref="P14:P36" si="4">C14+D14</f>
        <v>45035.656944444447</v>
      </c>
      <c r="Q14" s="4">
        <f t="shared" ref="Q14:Q36" si="5">P14-$P$13</f>
        <v>1.0222222222218988</v>
      </c>
      <c r="R14">
        <f>SUM(H14:K14)</f>
        <v>98.539999999999992</v>
      </c>
      <c r="S14">
        <f>H14 * 100/R14</f>
        <v>0.94377917596914962</v>
      </c>
      <c r="T14">
        <f>I14* 100/R14</f>
        <v>7.1544550436371024</v>
      </c>
      <c r="U14">
        <f>J14* 100/R14</f>
        <v>14.105946823624926</v>
      </c>
      <c r="V14">
        <f>K14* 100/R14</f>
        <v>77.795818956768827</v>
      </c>
      <c r="W14">
        <f>SUM(S14:V14)</f>
        <v>100</v>
      </c>
      <c r="X14" s="6">
        <f>F14*100*$D$3/($D$1*$D$2)</f>
        <v>4.4426713771041709E-2</v>
      </c>
      <c r="Y14" s="6">
        <f t="shared" si="0"/>
        <v>3.1784892641145129E-3</v>
      </c>
      <c r="Z14" s="6">
        <f t="shared" ref="Z14:Z36" si="6">X14*S14/100</f>
        <v>4.1929007313851017E-4</v>
      </c>
      <c r="AA14" s="6">
        <f t="shared" si="1"/>
        <v>6.2668086200271958E-3</v>
      </c>
      <c r="AB14" s="6">
        <f t="shared" si="2"/>
        <v>3.4562125813761495E-2</v>
      </c>
      <c r="AC14" s="6">
        <f>Y14+Z14</f>
        <v>3.597779337253023E-3</v>
      </c>
      <c r="AD14" s="6">
        <f t="shared" ref="AD14:AD36" si="7">G14*100*$D$3/($D$1*$D$2)</f>
        <v>4.4308431785495803E-2</v>
      </c>
      <c r="AE14" s="6">
        <f t="shared" ref="AE14:AE36" si="8">AD14*T14/100</f>
        <v>3.1700268326339091E-3</v>
      </c>
      <c r="AF14" s="6">
        <f t="shared" ref="AF14:AF36" si="9">AD14*S14/100</f>
        <v>4.1817375239000504E-4</v>
      </c>
      <c r="AG14" s="6">
        <f t="shared" ref="AG14:AG36" si="10">AD14*U14/100</f>
        <v>6.2501238260441625E-3</v>
      </c>
      <c r="AH14" s="6">
        <f t="shared" ref="AH14:AH36" si="11">AD14*V14/100</f>
        <v>3.4470107374427725E-2</v>
      </c>
      <c r="AI14" s="6">
        <f>AE14+AF14</f>
        <v>3.588200585023914E-3</v>
      </c>
      <c r="AJ14" s="22">
        <f>AC14-AI13</f>
        <v>3.5827397236498685E-3</v>
      </c>
      <c r="AK14">
        <f>(AA14-AG13)*-1</f>
        <v>4.7121093102756072E-3</v>
      </c>
      <c r="AL14" s="25">
        <f>Y14-AE13</f>
        <v>3.1634496505113584E-3</v>
      </c>
      <c r="AM14" s="6">
        <f>AK14+AM13</f>
        <v>4.7121093102756072E-3</v>
      </c>
      <c r="AN14" s="6">
        <f>AL14+AN13</f>
        <v>3.1634496505113584E-3</v>
      </c>
      <c r="AO14" s="6">
        <f>AJ14+AO13</f>
        <v>3.5827397236498685E-3</v>
      </c>
      <c r="AP14" s="19">
        <f>AO14*$D$4*1000/$D$6</f>
        <v>0.27988735464088055</v>
      </c>
      <c r="AQ14">
        <f>F14*100*T14/100</f>
        <v>8061.6399431702866</v>
      </c>
      <c r="AR14" s="6">
        <f>AQ14*$D$7</f>
        <v>42.162376902780601</v>
      </c>
      <c r="AS14" s="6">
        <f>AR14*$D$5/1000</f>
        <v>4.1319129364724991E-3</v>
      </c>
      <c r="AT14" s="6">
        <f t="shared" ref="AT14:AT36" si="12">G14*100*T14/100</f>
        <v>8040.1765780393753</v>
      </c>
      <c r="AU14" s="6">
        <f t="shared" ref="AU14:AU36" si="13">AT14*$D$7</f>
        <v>42.050123503145933</v>
      </c>
      <c r="AV14" s="6">
        <f t="shared" ref="AV14:AV36" si="14">AU14*$D$5/1000</f>
        <v>4.1209121033083012E-3</v>
      </c>
      <c r="AW14" s="6">
        <f>AS14-AV13</f>
        <v>4.1319129364724991E-3</v>
      </c>
      <c r="AX14" s="52">
        <f>AW14+AX13</f>
        <v>4.1514638516534988E-3</v>
      </c>
      <c r="AY14" s="53">
        <f t="shared" ref="AY14:AY36" si="15">(AX14*$D$4*1000/$D$6)</f>
        <v>0.32431667521268487</v>
      </c>
      <c r="AZ14" s="54">
        <f>AY14+AP14</f>
        <v>0.60420402985356536</v>
      </c>
      <c r="BA14" s="23">
        <f t="shared" ref="BA14:BA36" si="16">AK14/(AL14+AW14)</f>
        <v>0.6459047448419899</v>
      </c>
    </row>
    <row r="15" spans="1:56" ht="14.4" x14ac:dyDescent="0.3">
      <c r="A15" t="s">
        <v>120</v>
      </c>
      <c r="B15">
        <v>1</v>
      </c>
      <c r="C15" s="2">
        <v>45035</v>
      </c>
      <c r="D15" s="11">
        <v>0.73402777777777783</v>
      </c>
      <c r="E15" s="15">
        <v>1021.3</v>
      </c>
      <c r="F15">
        <v>1134.5999999999999</v>
      </c>
      <c r="G15">
        <v>1131.4000000000001</v>
      </c>
      <c r="H15">
        <v>0</v>
      </c>
      <c r="I15">
        <v>0.81</v>
      </c>
      <c r="J15">
        <v>20.49</v>
      </c>
      <c r="K15">
        <v>76.22</v>
      </c>
      <c r="L15">
        <v>1</v>
      </c>
      <c r="M15" t="s">
        <v>122</v>
      </c>
      <c r="N15" t="s">
        <v>99</v>
      </c>
      <c r="O15">
        <v>800.92</v>
      </c>
      <c r="P15" s="3">
        <f t="shared" si="4"/>
        <v>45035.734027777777</v>
      </c>
      <c r="Q15" s="4">
        <f t="shared" si="5"/>
        <v>1.0993055555518367</v>
      </c>
      <c r="R15">
        <f t="shared" ref="R15:R31" si="17">SUM(H15:K15)</f>
        <v>97.52</v>
      </c>
      <c r="S15">
        <f t="shared" ref="S15:S36" si="18">H15 * 100/R15</f>
        <v>0</v>
      </c>
      <c r="T15">
        <f t="shared" ref="T15:T36" si="19">I15* 100/R15</f>
        <v>0.83059885151763746</v>
      </c>
      <c r="U15">
        <f t="shared" ref="U15:U36" si="20">J15* 100/R15</f>
        <v>21.011074651353571</v>
      </c>
      <c r="V15">
        <f t="shared" ref="V15:V36" si="21">K15* 100/R15</f>
        <v>78.158326497128797</v>
      </c>
      <c r="W15">
        <f t="shared" ref="W15:W36" si="22">SUM(S15:V15)</f>
        <v>100</v>
      </c>
      <c r="X15" s="6">
        <f t="shared" ref="X15:X36" si="23">F15*100*$D$3/($D$1*$D$2)</f>
        <v>4.4734246933461057E-2</v>
      </c>
      <c r="Y15" s="6">
        <f t="shared" si="0"/>
        <v>3.7156214126439149E-4</v>
      </c>
      <c r="Z15" s="6">
        <f t="shared" si="6"/>
        <v>0</v>
      </c>
      <c r="AA15" s="6">
        <f t="shared" si="1"/>
        <v>9.3991460179103474E-3</v>
      </c>
      <c r="AB15" s="6">
        <f t="shared" si="2"/>
        <v>3.4963538774286318E-2</v>
      </c>
      <c r="AC15" s="6">
        <f t="shared" ref="AC15:AC28" si="24">Y15+Z15</f>
        <v>3.7156214126439149E-4</v>
      </c>
      <c r="AD15" s="6">
        <f t="shared" si="7"/>
        <v>4.4608079482212099E-2</v>
      </c>
      <c r="AE15" s="6">
        <f t="shared" si="8"/>
        <v>3.705141958633286E-4</v>
      </c>
      <c r="AF15" s="6">
        <f t="shared" si="9"/>
        <v>0</v>
      </c>
      <c r="AG15" s="6">
        <f t="shared" si="10"/>
        <v>9.3726368805427188E-3</v>
      </c>
      <c r="AH15" s="6">
        <f t="shared" si="11"/>
        <v>3.4864928405806052E-2</v>
      </c>
      <c r="AI15" s="6">
        <f t="shared" ref="AI15:AI28" si="25">AE15+AF15</f>
        <v>3.705141958633286E-4</v>
      </c>
      <c r="AJ15" s="22"/>
      <c r="AL15" s="25"/>
      <c r="AM15" s="6"/>
      <c r="AN15" s="6"/>
      <c r="AO15" s="6"/>
      <c r="AP15" s="19"/>
      <c r="AQ15">
        <f t="shared" ref="AQ15:AQ28" si="26">F15*100*T15/100</f>
        <v>942.39745693191128</v>
      </c>
      <c r="AR15" s="6">
        <f t="shared" ref="AR15:AR36" si="27">AQ15*$D$7</f>
        <v>4.9287386997538967</v>
      </c>
      <c r="AS15" s="6">
        <f t="shared" ref="AS15:AS36" si="28">AR15*$D$5/1000</f>
        <v>4.8301639257588192E-4</v>
      </c>
      <c r="AT15" s="6">
        <f t="shared" si="12"/>
        <v>939.73954060705512</v>
      </c>
      <c r="AU15" s="6">
        <f t="shared" si="13"/>
        <v>4.9148377973748989</v>
      </c>
      <c r="AV15" s="6">
        <f t="shared" si="14"/>
        <v>4.8165410414274015E-4</v>
      </c>
      <c r="AW15" s="6">
        <f t="shared" ref="AW15:AW36" si="29">AS15-AV14</f>
        <v>-3.6378957107324195E-3</v>
      </c>
      <c r="AX15" s="52">
        <f t="shared" ref="AX15:AX36" si="30">AW15+AX14</f>
        <v>5.1356814092107933E-4</v>
      </c>
      <c r="AY15" s="53">
        <f t="shared" si="15"/>
        <v>4.0120477477443267E-2</v>
      </c>
      <c r="AZ15" s="54"/>
      <c r="BA15" s="23">
        <f t="shared" si="16"/>
        <v>0</v>
      </c>
    </row>
    <row r="16" spans="1:56" s="7" customFormat="1" ht="14.4" x14ac:dyDescent="0.3">
      <c r="A16" t="s">
        <v>120</v>
      </c>
      <c r="B16">
        <v>1</v>
      </c>
      <c r="C16" s="2">
        <v>45040</v>
      </c>
      <c r="D16" s="11">
        <v>0.45347222222222222</v>
      </c>
      <c r="E16" s="15">
        <v>1003.1</v>
      </c>
      <c r="F16">
        <v>1074.8</v>
      </c>
      <c r="G16">
        <v>1071.5999999999999</v>
      </c>
      <c r="H16">
        <v>0.1</v>
      </c>
      <c r="I16">
        <v>9.86</v>
      </c>
      <c r="J16">
        <v>8</v>
      </c>
      <c r="K16">
        <v>81.27</v>
      </c>
      <c r="L16">
        <v>0</v>
      </c>
      <c r="M16"/>
      <c r="N16" t="s">
        <v>99</v>
      </c>
      <c r="O16"/>
      <c r="P16" s="8">
        <f t="shared" si="4"/>
        <v>45040.453472222223</v>
      </c>
      <c r="Q16" s="9">
        <f t="shared" si="5"/>
        <v>5.8187499999985448</v>
      </c>
      <c r="R16">
        <f t="shared" si="17"/>
        <v>99.22999999999999</v>
      </c>
      <c r="S16">
        <f t="shared" si="18"/>
        <v>0.10077597500755821</v>
      </c>
      <c r="T16">
        <f t="shared" si="19"/>
        <v>9.9365111357452385</v>
      </c>
      <c r="U16">
        <f t="shared" si="20"/>
        <v>8.0620780006046573</v>
      </c>
      <c r="V16">
        <f t="shared" si="21"/>
        <v>81.900634888642557</v>
      </c>
      <c r="W16">
        <f t="shared" si="22"/>
        <v>100.00000000000001</v>
      </c>
      <c r="X16" s="10">
        <f t="shared" si="23"/>
        <v>4.2376492688246031E-2</v>
      </c>
      <c r="Y16" s="10">
        <f t="shared" si="0"/>
        <v>4.2107449149058332E-3</v>
      </c>
      <c r="Z16" s="10">
        <f t="shared" si="6"/>
        <v>4.270532368058655E-5</v>
      </c>
      <c r="AA16" s="10">
        <f t="shared" si="1"/>
        <v>3.4164258944469244E-3</v>
      </c>
      <c r="AB16" s="10">
        <f t="shared" si="2"/>
        <v>3.4706616555212691E-2</v>
      </c>
      <c r="AC16" s="10">
        <f t="shared" si="24"/>
        <v>4.2534502385864195E-3</v>
      </c>
      <c r="AD16" s="10">
        <f t="shared" si="7"/>
        <v>4.2250325236997059E-2</v>
      </c>
      <c r="AE16" s="10">
        <f t="shared" si="8"/>
        <v>4.1982082720627934E-3</v>
      </c>
      <c r="AF16" s="10">
        <f t="shared" si="9"/>
        <v>4.2578177201448208E-5</v>
      </c>
      <c r="AG16" s="10">
        <f t="shared" si="10"/>
        <v>3.4062541761158576E-3</v>
      </c>
      <c r="AH16" s="10">
        <f t="shared" si="11"/>
        <v>3.4603284611616963E-2</v>
      </c>
      <c r="AI16" s="10">
        <f t="shared" si="25"/>
        <v>4.240786449264242E-3</v>
      </c>
      <c r="AJ16" s="22">
        <f t="shared" ref="AJ16:AJ28" si="31">AC16-AI15</f>
        <v>3.8829360427230907E-3</v>
      </c>
      <c r="AK16">
        <f t="shared" ref="AK16:AK28" si="32">(AA16-AG15)*-1</f>
        <v>5.9562109860957944E-3</v>
      </c>
      <c r="AL16" s="25">
        <f t="shared" ref="AL16:AL28" si="33">Y16-AE15</f>
        <v>3.8402307190425044E-3</v>
      </c>
      <c r="AM16" s="6">
        <f>AK16+AM14</f>
        <v>1.0668320296371402E-2</v>
      </c>
      <c r="AN16" s="6">
        <f>AL16+AN14</f>
        <v>7.0036803695538632E-3</v>
      </c>
      <c r="AO16" s="6">
        <f>AJ16+AO14</f>
        <v>7.4656757663729596E-3</v>
      </c>
      <c r="AP16" s="19">
        <f t="shared" ref="AP16:AP35" si="34">AO16*$D$4*1000/$D$6</f>
        <v>0.58322635804756617</v>
      </c>
      <c r="AQ16" s="7">
        <f t="shared" si="26"/>
        <v>10679.762168698981</v>
      </c>
      <c r="AR16" s="10">
        <f t="shared" si="27"/>
        <v>55.855156142295669</v>
      </c>
      <c r="AS16" s="6">
        <f t="shared" si="28"/>
        <v>5.473805301944976E-3</v>
      </c>
      <c r="AT16" s="6">
        <f t="shared" si="12"/>
        <v>10647.965333064596</v>
      </c>
      <c r="AU16" s="6">
        <f t="shared" si="13"/>
        <v>55.688858691927841</v>
      </c>
      <c r="AV16" s="6">
        <f t="shared" si="14"/>
        <v>5.4575081518089289E-3</v>
      </c>
      <c r="AW16" s="6">
        <f t="shared" si="29"/>
        <v>4.9921511978022358E-3</v>
      </c>
      <c r="AX16" s="52">
        <f t="shared" si="30"/>
        <v>5.5057193387233151E-3</v>
      </c>
      <c r="AY16" s="53">
        <f t="shared" si="15"/>
        <v>0.4301125228099329</v>
      </c>
      <c r="AZ16" s="54">
        <f t="shared" ref="AZ16:AZ35" si="35">AY16+AP16</f>
        <v>1.013338880857499</v>
      </c>
      <c r="BA16" s="23">
        <f t="shared" si="16"/>
        <v>0.67436066988185428</v>
      </c>
      <c r="BB16"/>
      <c r="BC16"/>
      <c r="BD16"/>
    </row>
    <row r="17" spans="1:56" ht="14.4" x14ac:dyDescent="0.3">
      <c r="A17" t="s">
        <v>120</v>
      </c>
      <c r="B17">
        <v>1</v>
      </c>
      <c r="C17" s="2">
        <v>45040</v>
      </c>
      <c r="D17" s="11">
        <v>0.50138888888888888</v>
      </c>
      <c r="E17" s="15">
        <v>1003.9</v>
      </c>
      <c r="F17">
        <v>1113.3</v>
      </c>
      <c r="G17">
        <v>1111</v>
      </c>
      <c r="H17">
        <v>0</v>
      </c>
      <c r="I17">
        <v>0.86</v>
      </c>
      <c r="J17">
        <v>20.440000000000001</v>
      </c>
      <c r="K17">
        <v>76.05</v>
      </c>
      <c r="L17">
        <v>1</v>
      </c>
      <c r="N17" t="s">
        <v>99</v>
      </c>
      <c r="O17">
        <v>800.77</v>
      </c>
      <c r="P17" s="3">
        <f t="shared" si="4"/>
        <v>45040.501388888886</v>
      </c>
      <c r="Q17" s="4">
        <f t="shared" si="5"/>
        <v>5.866666666661331</v>
      </c>
      <c r="R17">
        <f t="shared" si="17"/>
        <v>97.35</v>
      </c>
      <c r="S17">
        <f t="shared" si="18"/>
        <v>0</v>
      </c>
      <c r="T17">
        <f t="shared" si="19"/>
        <v>0.88341037493579877</v>
      </c>
      <c r="U17">
        <f t="shared" si="20"/>
        <v>20.996404725218287</v>
      </c>
      <c r="V17">
        <f t="shared" si="21"/>
        <v>78.120184899845924</v>
      </c>
      <c r="W17">
        <f t="shared" si="22"/>
        <v>100.00000000000001</v>
      </c>
      <c r="X17" s="6">
        <f t="shared" si="23"/>
        <v>4.3894444836085136E-2</v>
      </c>
      <c r="Y17" s="6">
        <f t="shared" si="0"/>
        <v>3.8776807970244709E-4</v>
      </c>
      <c r="Z17" s="6">
        <f t="shared" si="6"/>
        <v>0</v>
      </c>
      <c r="AA17" s="6">
        <f t="shared" si="1"/>
        <v>9.216255289672114E-3</v>
      </c>
      <c r="AB17" s="6">
        <f t="shared" si="2"/>
        <v>3.4290421466710581E-2</v>
      </c>
      <c r="AC17" s="6">
        <f t="shared" si="24"/>
        <v>3.8776807970244709E-4</v>
      </c>
      <c r="AD17" s="6">
        <f t="shared" si="7"/>
        <v>4.3803761980499942E-2</v>
      </c>
      <c r="AE17" s="6">
        <f t="shared" si="8"/>
        <v>3.869669779479194E-4</v>
      </c>
      <c r="AF17" s="6">
        <f t="shared" si="9"/>
        <v>0</v>
      </c>
      <c r="AG17" s="6">
        <f t="shared" si="10"/>
        <v>9.1972151502970612E-3</v>
      </c>
      <c r="AH17" s="6">
        <f t="shared" si="11"/>
        <v>3.4219579852254968E-2</v>
      </c>
      <c r="AI17" s="6">
        <f t="shared" si="25"/>
        <v>3.869669779479194E-4</v>
      </c>
      <c r="AJ17" s="22"/>
      <c r="AL17" s="25"/>
      <c r="AM17" s="6"/>
      <c r="AN17" s="6"/>
      <c r="AO17" s="6"/>
      <c r="AP17" s="19"/>
      <c r="AQ17">
        <f t="shared" si="26"/>
        <v>983.50077041602481</v>
      </c>
      <c r="AR17" s="6">
        <f t="shared" si="27"/>
        <v>5.1437090292758096</v>
      </c>
      <c r="AS17" s="6">
        <f t="shared" si="28"/>
        <v>5.0408348486902937E-4</v>
      </c>
      <c r="AT17" s="6">
        <f t="shared" si="12"/>
        <v>981.46892655367253</v>
      </c>
      <c r="AU17" s="6">
        <f t="shared" si="13"/>
        <v>5.1330824858757076</v>
      </c>
      <c r="AV17" s="6">
        <f t="shared" si="14"/>
        <v>5.0304208361581933E-4</v>
      </c>
      <c r="AW17" s="6">
        <f t="shared" si="29"/>
        <v>-4.9534246669398997E-3</v>
      </c>
      <c r="AX17" s="52">
        <f t="shared" si="30"/>
        <v>5.522946717834154E-4</v>
      </c>
      <c r="AY17" s="53">
        <f t="shared" si="15"/>
        <v>4.3145834358918181E-2</v>
      </c>
      <c r="AZ17" s="54"/>
      <c r="BA17" s="23">
        <f t="shared" si="16"/>
        <v>0</v>
      </c>
    </row>
    <row r="18" spans="1:56" s="7" customFormat="1" ht="14.4" x14ac:dyDescent="0.3">
      <c r="A18" t="s">
        <v>120</v>
      </c>
      <c r="B18">
        <v>1</v>
      </c>
      <c r="C18" s="2">
        <v>45042</v>
      </c>
      <c r="D18" s="11">
        <v>0.38819444444444445</v>
      </c>
      <c r="E18" s="15">
        <v>1017.2</v>
      </c>
      <c r="F18">
        <v>1097.5</v>
      </c>
      <c r="G18">
        <v>1093.5999999999999</v>
      </c>
      <c r="H18">
        <v>0.01</v>
      </c>
      <c r="I18">
        <v>4.28</v>
      </c>
      <c r="J18">
        <v>16.600000000000001</v>
      </c>
      <c r="K18">
        <v>77.260000000000005</v>
      </c>
      <c r="L18">
        <v>0</v>
      </c>
      <c r="M18"/>
      <c r="N18" t="s">
        <v>99</v>
      </c>
      <c r="O18"/>
      <c r="P18" s="8">
        <f t="shared" si="4"/>
        <v>45042.388194444444</v>
      </c>
      <c r="Q18" s="9">
        <f t="shared" si="5"/>
        <v>7.7534722222189885</v>
      </c>
      <c r="R18">
        <f t="shared" si="17"/>
        <v>98.15</v>
      </c>
      <c r="S18">
        <f t="shared" si="18"/>
        <v>1.0188487009679063E-2</v>
      </c>
      <c r="T18">
        <f t="shared" si="19"/>
        <v>4.3606724401426389</v>
      </c>
      <c r="U18">
        <f t="shared" si="20"/>
        <v>16.912888436067245</v>
      </c>
      <c r="V18">
        <f t="shared" si="21"/>
        <v>78.716250636780444</v>
      </c>
      <c r="W18">
        <f t="shared" si="22"/>
        <v>100</v>
      </c>
      <c r="X18" s="10">
        <f t="shared" si="23"/>
        <v>4.3271493045543376E-2</v>
      </c>
      <c r="Y18" s="10">
        <f t="shared" si="0"/>
        <v>1.8869280716752488E-3</v>
      </c>
      <c r="Z18" s="10">
        <f t="shared" si="6"/>
        <v>4.4087104478393657E-6</v>
      </c>
      <c r="AA18" s="10">
        <f t="shared" si="1"/>
        <v>7.3184593434133484E-3</v>
      </c>
      <c r="AB18" s="10">
        <f t="shared" si="2"/>
        <v>3.4061696920006941E-2</v>
      </c>
      <c r="AC18" s="10">
        <f t="shared" si="24"/>
        <v>1.8913367821230883E-3</v>
      </c>
      <c r="AD18" s="10">
        <f t="shared" si="7"/>
        <v>4.3117726464333692E-2</v>
      </c>
      <c r="AE18" s="10">
        <f t="shared" si="8"/>
        <v>1.8802228147462884E-3</v>
      </c>
      <c r="AF18" s="10">
        <f t="shared" si="9"/>
        <v>4.39304395968759E-6</v>
      </c>
      <c r="AG18" s="10">
        <f t="shared" si="10"/>
        <v>7.2924529730813989E-3</v>
      </c>
      <c r="AH18" s="10">
        <f t="shared" si="11"/>
        <v>3.394065763254632E-2</v>
      </c>
      <c r="AI18" s="10">
        <f t="shared" si="25"/>
        <v>1.884615858705976E-3</v>
      </c>
      <c r="AJ18" s="22">
        <f t="shared" si="31"/>
        <v>1.5043698041751689E-3</v>
      </c>
      <c r="AK18">
        <f t="shared" si="32"/>
        <v>1.8787558068837128E-3</v>
      </c>
      <c r="AL18" s="25">
        <f t="shared" si="33"/>
        <v>1.4999610937273295E-3</v>
      </c>
      <c r="AM18" s="6">
        <f>AK18+AM16</f>
        <v>1.2547076103255114E-2</v>
      </c>
      <c r="AN18" s="6">
        <f>AL18+AN16</f>
        <v>8.5036414632811922E-3</v>
      </c>
      <c r="AO18" s="6">
        <f>AJ18+AO16</f>
        <v>8.970045570548129E-3</v>
      </c>
      <c r="AP18" s="19">
        <f t="shared" si="34"/>
        <v>0.7007492922737969</v>
      </c>
      <c r="AQ18" s="7">
        <f t="shared" si="26"/>
        <v>4785.8380030565468</v>
      </c>
      <c r="AR18" s="10">
        <f t="shared" si="27"/>
        <v>25.02993275598574</v>
      </c>
      <c r="AS18" s="6">
        <f t="shared" si="28"/>
        <v>2.4529334100866027E-3</v>
      </c>
      <c r="AT18" s="6">
        <f t="shared" si="12"/>
        <v>4768.8313805399894</v>
      </c>
      <c r="AU18" s="6">
        <f t="shared" si="13"/>
        <v>24.940988120224144</v>
      </c>
      <c r="AV18" s="6">
        <f t="shared" si="14"/>
        <v>2.4442168357819661E-3</v>
      </c>
      <c r="AW18" s="6">
        <f t="shared" si="29"/>
        <v>1.9498913264707834E-3</v>
      </c>
      <c r="AX18" s="52">
        <f t="shared" si="30"/>
        <v>2.5021859982541986E-3</v>
      </c>
      <c r="AY18" s="53">
        <f t="shared" si="15"/>
        <v>0.19547337342087651</v>
      </c>
      <c r="AZ18" s="54">
        <f t="shared" si="35"/>
        <v>0.89622266569467346</v>
      </c>
      <c r="BA18" s="23">
        <f t="shared" si="16"/>
        <v>0.54459019634695627</v>
      </c>
      <c r="BB18"/>
      <c r="BC18"/>
      <c r="BD18"/>
    </row>
    <row r="19" spans="1:56" ht="14.4" x14ac:dyDescent="0.3">
      <c r="A19" t="s">
        <v>120</v>
      </c>
      <c r="B19">
        <v>1</v>
      </c>
      <c r="C19" s="2">
        <v>45042</v>
      </c>
      <c r="D19" s="11">
        <v>0.43333333333333335</v>
      </c>
      <c r="E19" s="15">
        <v>1017.3</v>
      </c>
      <c r="F19">
        <v>1126.5</v>
      </c>
      <c r="G19">
        <v>1122.4000000000001</v>
      </c>
      <c r="H19">
        <v>0</v>
      </c>
      <c r="I19">
        <v>0.39</v>
      </c>
      <c r="J19">
        <v>20.69</v>
      </c>
      <c r="K19">
        <v>76.73</v>
      </c>
      <c r="L19">
        <v>1</v>
      </c>
      <c r="N19" t="s">
        <v>99</v>
      </c>
      <c r="O19">
        <v>800.62</v>
      </c>
      <c r="P19" s="3">
        <f t="shared" si="4"/>
        <v>45042.433333333334</v>
      </c>
      <c r="Q19" s="4">
        <f t="shared" si="5"/>
        <v>7.7986111111094942</v>
      </c>
      <c r="R19">
        <f t="shared" si="17"/>
        <v>97.81</v>
      </c>
      <c r="S19">
        <f t="shared" si="18"/>
        <v>0</v>
      </c>
      <c r="T19">
        <f t="shared" si="19"/>
        <v>0.39873223596769247</v>
      </c>
      <c r="U19">
        <f t="shared" si="20"/>
        <v>21.153256313260403</v>
      </c>
      <c r="V19">
        <f t="shared" si="21"/>
        <v>78.448011450771901</v>
      </c>
      <c r="W19">
        <f t="shared" si="22"/>
        <v>100</v>
      </c>
      <c r="X19" s="6">
        <f t="shared" si="23"/>
        <v>4.4414885572487121E-2</v>
      </c>
      <c r="Y19" s="6">
        <f t="shared" si="0"/>
        <v>1.7709646634566994E-4</v>
      </c>
      <c r="Z19" s="6">
        <f t="shared" si="6"/>
        <v>0</v>
      </c>
      <c r="AA19" s="6">
        <f t="shared" si="1"/>
        <v>9.3951945863895159E-3</v>
      </c>
      <c r="AB19" s="6">
        <f t="shared" si="2"/>
        <v>3.4842594519751934E-2</v>
      </c>
      <c r="AC19" s="6">
        <f t="shared" si="24"/>
        <v>1.7709646634566994E-4</v>
      </c>
      <c r="AD19" s="6">
        <f t="shared" si="7"/>
        <v>4.4253233525574392E-2</v>
      </c>
      <c r="AE19" s="6">
        <f t="shared" si="8"/>
        <v>1.7645190752452726E-4</v>
      </c>
      <c r="AF19" s="6">
        <f t="shared" si="9"/>
        <v>0</v>
      </c>
      <c r="AG19" s="6">
        <f t="shared" si="10"/>
        <v>9.3609999145704351E-3</v>
      </c>
      <c r="AH19" s="6">
        <f t="shared" si="11"/>
        <v>3.4715781703479429E-2</v>
      </c>
      <c r="AI19" s="6">
        <f t="shared" si="25"/>
        <v>1.7645190752452726E-4</v>
      </c>
      <c r="AJ19" s="22"/>
      <c r="AL19" s="25"/>
      <c r="AM19" s="6"/>
      <c r="AN19" s="6"/>
      <c r="AO19" s="6"/>
      <c r="AP19" s="19"/>
      <c r="AQ19">
        <f t="shared" si="26"/>
        <v>449.17186381760553</v>
      </c>
      <c r="AR19" s="6">
        <f t="shared" si="27"/>
        <v>2.349168847766077</v>
      </c>
      <c r="AS19" s="6">
        <f t="shared" si="28"/>
        <v>2.3021854708107556E-4</v>
      </c>
      <c r="AT19" s="6">
        <f t="shared" si="12"/>
        <v>447.53706165013807</v>
      </c>
      <c r="AU19" s="6">
        <f t="shared" si="13"/>
        <v>2.3406188324302222</v>
      </c>
      <c r="AV19" s="6">
        <f t="shared" si="14"/>
        <v>2.2938064557816179E-4</v>
      </c>
      <c r="AW19" s="6">
        <f t="shared" si="29"/>
        <v>-2.2139982887008905E-3</v>
      </c>
      <c r="AX19" s="52">
        <f t="shared" si="30"/>
        <v>2.8818770955330811E-4</v>
      </c>
      <c r="AY19" s="53">
        <f t="shared" si="15"/>
        <v>2.2513523696529772E-2</v>
      </c>
      <c r="AZ19" s="54"/>
      <c r="BA19" s="23">
        <f t="shared" si="16"/>
        <v>0</v>
      </c>
    </row>
    <row r="20" spans="1:56" ht="14.4" x14ac:dyDescent="0.3">
      <c r="A20" t="s">
        <v>120</v>
      </c>
      <c r="B20">
        <v>1</v>
      </c>
      <c r="C20" s="2">
        <v>45044</v>
      </c>
      <c r="D20" s="11">
        <v>0.41944444444444445</v>
      </c>
      <c r="E20" s="15">
        <v>1007</v>
      </c>
      <c r="F20">
        <v>1112</v>
      </c>
      <c r="G20">
        <v>1108.5</v>
      </c>
      <c r="H20">
        <v>0</v>
      </c>
      <c r="I20">
        <v>3.04</v>
      </c>
      <c r="J20">
        <v>17.440000000000001</v>
      </c>
      <c r="K20">
        <v>79.069999999999993</v>
      </c>
      <c r="L20">
        <v>0</v>
      </c>
      <c r="N20" t="s">
        <v>99</v>
      </c>
      <c r="P20" s="3">
        <f t="shared" si="4"/>
        <v>45044.419444444444</v>
      </c>
      <c r="Q20" s="4">
        <f t="shared" si="5"/>
        <v>9.7847222222189885</v>
      </c>
      <c r="R20">
        <f t="shared" si="17"/>
        <v>99.55</v>
      </c>
      <c r="S20">
        <f t="shared" si="18"/>
        <v>0</v>
      </c>
      <c r="T20">
        <f t="shared" si="19"/>
        <v>3.053741838272225</v>
      </c>
      <c r="U20">
        <f t="shared" si="20"/>
        <v>17.51883475640382</v>
      </c>
      <c r="V20">
        <f t="shared" si="21"/>
        <v>79.42742340532395</v>
      </c>
      <c r="W20">
        <f t="shared" si="22"/>
        <v>100</v>
      </c>
      <c r="X20" s="6">
        <f t="shared" si="23"/>
        <v>4.3843189309015249E-2</v>
      </c>
      <c r="Y20" s="6">
        <f t="shared" si="0"/>
        <v>1.3388578151622937E-3</v>
      </c>
      <c r="Z20" s="6">
        <f t="shared" si="6"/>
        <v>0</v>
      </c>
      <c r="AA20" s="6">
        <f t="shared" si="1"/>
        <v>7.6808158869836876E-3</v>
      </c>
      <c r="AB20" s="6">
        <f t="shared" si="2"/>
        <v>3.4823515606869269E-2</v>
      </c>
      <c r="AC20" s="6">
        <f t="shared" si="24"/>
        <v>1.3388578151622937E-3</v>
      </c>
      <c r="AD20" s="6">
        <f t="shared" si="7"/>
        <v>4.3705193659211689E-2</v>
      </c>
      <c r="AE20" s="6">
        <f t="shared" si="8"/>
        <v>1.3346437842692469E-3</v>
      </c>
      <c r="AF20" s="6">
        <f t="shared" si="9"/>
        <v>0</v>
      </c>
      <c r="AG20" s="6">
        <f t="shared" si="10"/>
        <v>7.6566406571235753E-3</v>
      </c>
      <c r="AH20" s="6">
        <f t="shared" si="11"/>
        <v>3.4713909217818861E-2</v>
      </c>
      <c r="AI20" s="6">
        <f t="shared" si="25"/>
        <v>1.3346437842692469E-3</v>
      </c>
      <c r="AJ20" s="22">
        <f t="shared" si="31"/>
        <v>1.1624059076377664E-3</v>
      </c>
      <c r="AK20">
        <f t="shared" si="32"/>
        <v>1.6801840275867475E-3</v>
      </c>
      <c r="AL20" s="25">
        <f t="shared" si="33"/>
        <v>1.1624059076377664E-3</v>
      </c>
      <c r="AM20" s="6">
        <f>AK20+AM18</f>
        <v>1.422726013084186E-2</v>
      </c>
      <c r="AN20" s="6">
        <f>AL20+AN18</f>
        <v>9.6660473709189593E-3</v>
      </c>
      <c r="AO20" s="6">
        <f>AJ20+AO18</f>
        <v>1.0132451478185896E-2</v>
      </c>
      <c r="AP20" s="19">
        <f t="shared" si="34"/>
        <v>0.79155765112835197</v>
      </c>
      <c r="AQ20">
        <f t="shared" si="26"/>
        <v>3395.7609241587143</v>
      </c>
      <c r="AR20" s="6">
        <f t="shared" si="27"/>
        <v>17.759829633350076</v>
      </c>
      <c r="AS20" s="6">
        <f t="shared" si="28"/>
        <v>1.7404633040683075E-3</v>
      </c>
      <c r="AT20" s="6">
        <f t="shared" si="12"/>
        <v>3385.0728277247613</v>
      </c>
      <c r="AU20" s="6">
        <f t="shared" si="13"/>
        <v>17.703930889000503</v>
      </c>
      <c r="AV20" s="6">
        <f t="shared" si="14"/>
        <v>1.7349852271220493E-3</v>
      </c>
      <c r="AW20" s="6">
        <f t="shared" si="29"/>
        <v>1.5110826584901456E-3</v>
      </c>
      <c r="AX20" s="52">
        <f t="shared" si="30"/>
        <v>1.7992703680434537E-3</v>
      </c>
      <c r="AY20" s="53">
        <f t="shared" si="15"/>
        <v>0.1405608730858007</v>
      </c>
      <c r="AZ20" s="54">
        <f t="shared" si="35"/>
        <v>0.93211852421415264</v>
      </c>
      <c r="BA20" s="23">
        <f t="shared" si="16"/>
        <v>0.62846127298767729</v>
      </c>
    </row>
    <row r="21" spans="1:56" ht="14.4" x14ac:dyDescent="0.3">
      <c r="A21" t="s">
        <v>120</v>
      </c>
      <c r="B21">
        <v>1</v>
      </c>
      <c r="C21" s="2">
        <v>45044</v>
      </c>
      <c r="D21" s="11">
        <v>0.4201388888888889</v>
      </c>
      <c r="E21" s="15">
        <v>1007</v>
      </c>
      <c r="F21">
        <f t="shared" ref="F21:K21" si="36">AVERAGE(F15,F17,F19,F23,F25,F27, F29, F31,F33,F36)</f>
        <v>1121.5999999999999</v>
      </c>
      <c r="G21">
        <f t="shared" si="36"/>
        <v>1118.2100000000003</v>
      </c>
      <c r="H21">
        <f t="shared" si="36"/>
        <v>0</v>
      </c>
      <c r="I21">
        <f t="shared" si="36"/>
        <v>0.505</v>
      </c>
      <c r="J21">
        <f t="shared" si="36"/>
        <v>20.416000000000004</v>
      </c>
      <c r="K21">
        <f t="shared" si="36"/>
        <v>75.893000000000001</v>
      </c>
      <c r="L21">
        <f>AVERAGE(L15,L17,L19,L23,L25,L27, L29, L31,L33,L36)</f>
        <v>1</v>
      </c>
      <c r="N21" t="s">
        <v>99</v>
      </c>
      <c r="O21">
        <v>800.52</v>
      </c>
      <c r="P21" s="3">
        <f t="shared" si="4"/>
        <v>45044.420138888891</v>
      </c>
      <c r="Q21" s="4">
        <f t="shared" si="5"/>
        <v>9.7854166666656965</v>
      </c>
      <c r="R21">
        <f t="shared" ref="R21" si="37">SUM(H21:K21)</f>
        <v>96.814000000000007</v>
      </c>
      <c r="S21">
        <f t="shared" ref="S21" si="38">H21 * 100/R21</f>
        <v>0</v>
      </c>
      <c r="T21">
        <f t="shared" ref="T21" si="39">I21* 100/R21</f>
        <v>0.5216187741442353</v>
      </c>
      <c r="U21">
        <f t="shared" ref="U21" si="40">J21* 100/R21</f>
        <v>21.087859193918238</v>
      </c>
      <c r="V21">
        <f t="shared" ref="V21" si="41">K21* 100/R21</f>
        <v>78.390522031937522</v>
      </c>
      <c r="W21">
        <f t="shared" ref="W21" si="42">SUM(S21:V21)</f>
        <v>100</v>
      </c>
      <c r="X21" s="6">
        <f t="shared" ref="X21" si="43">F21*100*$D$3/($D$1*$D$2)</f>
        <v>4.4221691662762137E-2</v>
      </c>
      <c r="Y21" s="6">
        <f t="shared" ref="Y21" si="44">X21*T21/100</f>
        <v>2.3066864595714336E-4</v>
      </c>
      <c r="Z21" s="6">
        <f t="shared" ref="Z21" si="45">X21*S21/100</f>
        <v>0</v>
      </c>
      <c r="AA21" s="6">
        <f t="shared" ref="AA21" si="46">X21*U21/100</f>
        <v>9.3254080710119605E-3</v>
      </c>
      <c r="AB21" s="6">
        <f t="shared" ref="AB21" si="47">X21*V21/100</f>
        <v>3.4665614945793032E-2</v>
      </c>
      <c r="AC21" s="6">
        <f t="shared" ref="AC21" si="48">Y21+Z21</f>
        <v>2.3066864595714336E-4</v>
      </c>
      <c r="AD21" s="6">
        <f t="shared" ref="AD21" si="49">G21*100*$D$3/($D$1*$D$2)</f>
        <v>4.4088033019095287E-2</v>
      </c>
      <c r="AE21" s="6">
        <f t="shared" ref="AE21" si="50">AD21*T21/100</f>
        <v>2.2997145737851051E-4</v>
      </c>
      <c r="AF21" s="6">
        <f t="shared" ref="AF21" si="51">AD21*S21/100</f>
        <v>0</v>
      </c>
      <c r="AG21" s="6">
        <f t="shared" ref="AG21" si="52">AD21*U21/100</f>
        <v>9.2972223244349936E-3</v>
      </c>
      <c r="AH21" s="6">
        <f t="shared" ref="AH21" si="53">AD21*V21/100</f>
        <v>3.456083923728178E-2</v>
      </c>
      <c r="AI21" s="6">
        <f t="shared" ref="AI21" si="54">AE21+AF21</f>
        <v>2.2997145737851051E-4</v>
      </c>
      <c r="AJ21" s="22"/>
      <c r="AL21" s="25"/>
      <c r="AM21" s="6"/>
      <c r="AN21" s="6"/>
      <c r="AO21" s="6"/>
      <c r="AP21" s="19"/>
      <c r="AQ21">
        <f t="shared" ref="AQ21" si="55">F21*100*T21/100</f>
        <v>585.04761708017429</v>
      </c>
      <c r="AR21" s="6">
        <f t="shared" ref="AR21" si="56">AQ21*$D$7</f>
        <v>3.0597990373293116</v>
      </c>
      <c r="AS21" s="6">
        <f t="shared" ref="AS21" si="57">AR21*$D$5/1000</f>
        <v>2.9986030565827256E-4</v>
      </c>
      <c r="AT21" s="6">
        <f t="shared" ref="AT21" si="58">G21*100*T21/100</f>
        <v>583.2793294358255</v>
      </c>
      <c r="AU21" s="6">
        <f t="shared" ref="AU21" si="59">AT21*$D$7</f>
        <v>3.0505508929493677</v>
      </c>
      <c r="AV21" s="6">
        <f t="shared" ref="AV21" si="60">AU21*$D$5/1000</f>
        <v>2.9895398750903805E-4</v>
      </c>
      <c r="AW21" s="6">
        <f t="shared" ref="AW21" si="61">AS21-AV20</f>
        <v>-1.4351249214637767E-3</v>
      </c>
      <c r="AX21" s="52">
        <f t="shared" ref="AX21" si="62">AW21+AX20</f>
        <v>3.6414544657967706E-4</v>
      </c>
      <c r="AY21" s="53">
        <f t="shared" ref="AY21" si="63">(AX21*$D$4*1000/$D$6)</f>
        <v>2.844742113833448E-2</v>
      </c>
      <c r="AZ21" s="54"/>
      <c r="BA21" s="23">
        <f t="shared" ref="BA21" si="64">AK21/(AL21+AW21)</f>
        <v>0</v>
      </c>
    </row>
    <row r="22" spans="1:56" s="7" customFormat="1" ht="14.4" x14ac:dyDescent="0.3">
      <c r="A22" t="s">
        <v>120</v>
      </c>
      <c r="B22">
        <v>1</v>
      </c>
      <c r="C22" s="2">
        <v>45047</v>
      </c>
      <c r="D22" s="11">
        <v>0.58750000000000002</v>
      </c>
      <c r="E22" s="15">
        <v>1013.2</v>
      </c>
      <c r="F22">
        <v>1089.3</v>
      </c>
      <c r="G22">
        <v>1085.5999999999999</v>
      </c>
      <c r="H22">
        <v>0.03</v>
      </c>
      <c r="I22">
        <v>3.93</v>
      </c>
      <c r="J22">
        <v>14.75</v>
      </c>
      <c r="K22">
        <v>79.52</v>
      </c>
      <c r="L22">
        <v>0</v>
      </c>
      <c r="M22"/>
      <c r="N22" t="s">
        <v>99</v>
      </c>
      <c r="O22"/>
      <c r="P22" s="8">
        <f t="shared" si="4"/>
        <v>45047.587500000001</v>
      </c>
      <c r="Q22" s="9">
        <f t="shared" si="5"/>
        <v>12.952777777776646</v>
      </c>
      <c r="R22">
        <f t="shared" si="17"/>
        <v>98.22999999999999</v>
      </c>
      <c r="S22">
        <f t="shared" si="18"/>
        <v>3.0540568054565818E-2</v>
      </c>
      <c r="T22">
        <f t="shared" si="19"/>
        <v>4.0008144151481222</v>
      </c>
      <c r="U22">
        <f t="shared" si="20"/>
        <v>15.015779293494861</v>
      </c>
      <c r="V22">
        <f t="shared" si="21"/>
        <v>80.952865723302466</v>
      </c>
      <c r="W22">
        <f t="shared" si="22"/>
        <v>100.00000000000001</v>
      </c>
      <c r="X22" s="10">
        <f t="shared" si="23"/>
        <v>4.2948188951717904E-2</v>
      </c>
      <c r="Y22" s="10">
        <f t="shared" si="0"/>
        <v>1.7182773346253832E-3</v>
      </c>
      <c r="Z22" s="10">
        <f t="shared" si="6"/>
        <v>1.3116620875002924E-5</v>
      </c>
      <c r="AA22" s="10">
        <f t="shared" si="1"/>
        <v>6.4490052635431047E-3</v>
      </c>
      <c r="AB22" s="10">
        <f t="shared" si="2"/>
        <v>3.4767789732674421E-2</v>
      </c>
      <c r="AC22" s="10">
        <f t="shared" si="24"/>
        <v>1.7313939555003862E-3</v>
      </c>
      <c r="AD22" s="10">
        <f t="shared" si="7"/>
        <v>4.2802307836211285E-2</v>
      </c>
      <c r="AE22" s="10">
        <f t="shared" si="8"/>
        <v>1.7124409019272154E-3</v>
      </c>
      <c r="AF22" s="10">
        <f t="shared" si="9"/>
        <v>1.3072067953642867E-5</v>
      </c>
      <c r="AG22" s="10">
        <f t="shared" si="10"/>
        <v>6.4271000772077426E-3</v>
      </c>
      <c r="AH22" s="10">
        <f t="shared" si="11"/>
        <v>3.4649694789122693E-2</v>
      </c>
      <c r="AI22" s="10">
        <f t="shared" si="25"/>
        <v>1.7255129698808584E-3</v>
      </c>
      <c r="AJ22" s="22">
        <f t="shared" ref="AJ22" si="65">AC22-AI21</f>
        <v>1.5014224981218756E-3</v>
      </c>
      <c r="AK22">
        <f t="shared" ref="AK22" si="66">(AA22-AG21)*-1</f>
        <v>2.8482170608918889E-3</v>
      </c>
      <c r="AL22" s="25">
        <f t="shared" ref="AL22" si="67">Y22-AE21</f>
        <v>1.4883058772468727E-3</v>
      </c>
      <c r="AM22" s="6">
        <f t="shared" ref="AM22:AN22" si="68">AK22+AM20</f>
        <v>1.7075477191733749E-2</v>
      </c>
      <c r="AN22" s="6">
        <f t="shared" si="68"/>
        <v>1.1154353248165832E-2</v>
      </c>
      <c r="AO22" s="6">
        <f t="shared" ref="AO22" si="69">AJ22+AO20</f>
        <v>1.1633873976307772E-2</v>
      </c>
      <c r="AP22" s="19">
        <f t="shared" si="34"/>
        <v>0.90885033873936572</v>
      </c>
      <c r="AQ22" s="7">
        <f t="shared" si="26"/>
        <v>4358.087142420849</v>
      </c>
      <c r="AR22" s="10">
        <f t="shared" si="27"/>
        <v>22.792795754861043</v>
      </c>
      <c r="AS22" s="6">
        <f t="shared" si="28"/>
        <v>2.2336939839763823E-3</v>
      </c>
      <c r="AT22" s="6">
        <f t="shared" si="12"/>
        <v>4343.284129084801</v>
      </c>
      <c r="AU22" s="6">
        <f t="shared" si="13"/>
        <v>22.715375995113511</v>
      </c>
      <c r="AV22" s="6">
        <f t="shared" si="14"/>
        <v>2.2261068475211243E-3</v>
      </c>
      <c r="AW22" s="6">
        <f>AS22-AV21</f>
        <v>1.9347399964673442E-3</v>
      </c>
      <c r="AX22" s="52">
        <f>AW22+AX21</f>
        <v>2.2988854430470215E-3</v>
      </c>
      <c r="AY22" s="53">
        <f t="shared" si="15"/>
        <v>0.17959132253720481</v>
      </c>
      <c r="AZ22" s="54">
        <f t="shared" si="35"/>
        <v>1.0884416612765706</v>
      </c>
      <c r="BA22" s="23">
        <f t="shared" si="16"/>
        <v>0.83207095843018808</v>
      </c>
      <c r="BB22"/>
      <c r="BC22"/>
      <c r="BD22"/>
    </row>
    <row r="23" spans="1:56" ht="14.4" x14ac:dyDescent="0.3">
      <c r="A23" t="s">
        <v>120</v>
      </c>
      <c r="B23">
        <v>1</v>
      </c>
      <c r="C23" s="2">
        <v>45047</v>
      </c>
      <c r="D23" s="11">
        <v>0.62986111111111109</v>
      </c>
      <c r="E23" s="15">
        <v>1013.3</v>
      </c>
      <c r="F23">
        <v>1119.5</v>
      </c>
      <c r="G23">
        <v>1115.8</v>
      </c>
      <c r="H23">
        <v>0</v>
      </c>
      <c r="I23">
        <v>0.47</v>
      </c>
      <c r="J23">
        <v>20.59</v>
      </c>
      <c r="K23">
        <v>76.45</v>
      </c>
      <c r="L23">
        <v>1</v>
      </c>
      <c r="N23" t="s">
        <v>99</v>
      </c>
      <c r="O23">
        <v>800.41</v>
      </c>
      <c r="P23" s="3">
        <f t="shared" si="4"/>
        <v>45047.629861111112</v>
      </c>
      <c r="Q23" s="4">
        <f t="shared" si="5"/>
        <v>12.995138888887595</v>
      </c>
      <c r="R23">
        <f t="shared" si="17"/>
        <v>97.51</v>
      </c>
      <c r="S23">
        <f t="shared" si="18"/>
        <v>0</v>
      </c>
      <c r="T23">
        <f t="shared" si="19"/>
        <v>0.48200184596451645</v>
      </c>
      <c r="U23">
        <f t="shared" si="20"/>
        <v>21.115782996615732</v>
      </c>
      <c r="V23">
        <f t="shared" si="21"/>
        <v>78.402215157419747</v>
      </c>
      <c r="W23">
        <f t="shared" si="22"/>
        <v>100</v>
      </c>
      <c r="X23" s="6">
        <f t="shared" si="23"/>
        <v>4.4138894272880008E-2</v>
      </c>
      <c r="Y23" s="6">
        <f t="shared" si="0"/>
        <v>2.1275028518360787E-4</v>
      </c>
      <c r="Z23" s="6">
        <f t="shared" si="6"/>
        <v>0</v>
      </c>
      <c r="AA23" s="6">
        <f t="shared" si="1"/>
        <v>9.3202731317669919E-3</v>
      </c>
      <c r="AB23" s="6">
        <f t="shared" si="2"/>
        <v>3.4605870855929408E-2</v>
      </c>
      <c r="AC23" s="6">
        <f t="shared" si="24"/>
        <v>2.1275028518360787E-4</v>
      </c>
      <c r="AD23" s="6">
        <f t="shared" si="7"/>
        <v>4.399301315737339E-2</v>
      </c>
      <c r="AE23" s="6">
        <f t="shared" si="8"/>
        <v>2.1204713551395234E-4</v>
      </c>
      <c r="AF23" s="6">
        <f t="shared" si="9"/>
        <v>0</v>
      </c>
      <c r="AG23" s="6">
        <f t="shared" si="10"/>
        <v>9.2894691919835713E-3</v>
      </c>
      <c r="AH23" s="6">
        <f t="shared" si="11"/>
        <v>3.4491496829875866E-2</v>
      </c>
      <c r="AI23" s="6">
        <f t="shared" si="25"/>
        <v>2.1204713551395234E-4</v>
      </c>
      <c r="AJ23" s="22"/>
      <c r="AL23" s="25"/>
      <c r="AM23" s="6"/>
      <c r="AN23" s="6"/>
      <c r="AO23" s="6"/>
      <c r="AP23" s="19"/>
      <c r="AQ23">
        <f>F23*100*T23/100</f>
        <v>539.60106655727611</v>
      </c>
      <c r="AR23" s="6">
        <f>AQ23*$D$7</f>
        <v>2.8221135780945543</v>
      </c>
      <c r="AS23" s="6">
        <f t="shared" si="28"/>
        <v>2.7656713065326633E-4</v>
      </c>
      <c r="AT23" s="6">
        <f t="shared" si="12"/>
        <v>537.81765972720746</v>
      </c>
      <c r="AU23" s="6">
        <f t="shared" si="13"/>
        <v>2.8127863603732952</v>
      </c>
      <c r="AV23" s="6">
        <f t="shared" si="14"/>
        <v>2.7565306331658293E-4</v>
      </c>
      <c r="AW23" s="6">
        <f t="shared" si="29"/>
        <v>-1.949539716867858E-3</v>
      </c>
      <c r="AX23" s="52">
        <f t="shared" si="30"/>
        <v>3.493457261791635E-4</v>
      </c>
      <c r="AY23" s="53">
        <f t="shared" si="15"/>
        <v>2.729125158323642E-2</v>
      </c>
      <c r="AZ23" s="54"/>
      <c r="BA23" s="23">
        <f t="shared" si="16"/>
        <v>0</v>
      </c>
    </row>
    <row r="24" spans="1:56" s="7" customFormat="1" ht="14.4" x14ac:dyDescent="0.3">
      <c r="A24" t="s">
        <v>120</v>
      </c>
      <c r="B24">
        <v>1</v>
      </c>
      <c r="C24" s="2">
        <v>45050</v>
      </c>
      <c r="D24" s="11">
        <v>0.41875000000000001</v>
      </c>
      <c r="E24" s="15">
        <v>1017.6</v>
      </c>
      <c r="F24">
        <v>1062.3</v>
      </c>
      <c r="G24">
        <v>1059.7</v>
      </c>
      <c r="H24">
        <v>0</v>
      </c>
      <c r="I24">
        <v>5.7</v>
      </c>
      <c r="J24">
        <v>11.5</v>
      </c>
      <c r="K24">
        <v>80.7</v>
      </c>
      <c r="L24">
        <v>0</v>
      </c>
      <c r="M24"/>
      <c r="N24" t="s">
        <v>99</v>
      </c>
      <c r="O24"/>
      <c r="P24" s="8">
        <f t="shared" si="4"/>
        <v>45050.418749999997</v>
      </c>
      <c r="Q24" s="9">
        <f t="shared" si="5"/>
        <v>15.78402777777228</v>
      </c>
      <c r="R24">
        <f t="shared" si="17"/>
        <v>97.9</v>
      </c>
      <c r="S24">
        <f t="shared" si="18"/>
        <v>0</v>
      </c>
      <c r="T24">
        <f t="shared" si="19"/>
        <v>5.8222676200204289</v>
      </c>
      <c r="U24">
        <f t="shared" si="20"/>
        <v>11.746680286006129</v>
      </c>
      <c r="V24">
        <f t="shared" si="21"/>
        <v>82.431052093973435</v>
      </c>
      <c r="W24">
        <f t="shared" si="22"/>
        <v>100</v>
      </c>
      <c r="X24" s="10">
        <f t="shared" si="23"/>
        <v>4.1883651081804765E-2</v>
      </c>
      <c r="Y24" s="10">
        <f t="shared" si="0"/>
        <v>2.4385782550182551E-3</v>
      </c>
      <c r="Z24" s="10">
        <f t="shared" si="6"/>
        <v>0</v>
      </c>
      <c r="AA24" s="10">
        <f t="shared" si="1"/>
        <v>4.9199385846859529E-3</v>
      </c>
      <c r="AB24" s="10">
        <f t="shared" si="2"/>
        <v>3.4525134242100554E-2</v>
      </c>
      <c r="AC24" s="10">
        <f t="shared" si="24"/>
        <v>2.4385782550182551E-3</v>
      </c>
      <c r="AD24" s="10">
        <f t="shared" si="7"/>
        <v>4.1781140027664983E-2</v>
      </c>
      <c r="AE24" s="10">
        <f t="shared" si="8"/>
        <v>2.4326097871061329E-3</v>
      </c>
      <c r="AF24" s="10">
        <f t="shared" si="9"/>
        <v>0</v>
      </c>
      <c r="AG24" s="10">
        <f t="shared" si="10"/>
        <v>4.9078969388983377E-3</v>
      </c>
      <c r="AH24" s="10">
        <f t="shared" si="11"/>
        <v>3.4440633301660507E-2</v>
      </c>
      <c r="AI24" s="10">
        <f t="shared" si="25"/>
        <v>2.4326097871061329E-3</v>
      </c>
      <c r="AJ24" s="22">
        <f t="shared" si="31"/>
        <v>2.2265311195043026E-3</v>
      </c>
      <c r="AK24">
        <f t="shared" si="32"/>
        <v>4.3695306072976184E-3</v>
      </c>
      <c r="AL24" s="25">
        <f t="shared" si="33"/>
        <v>2.2265311195043026E-3</v>
      </c>
      <c r="AM24" s="6">
        <f>AK24+AM22</f>
        <v>2.1445007799031367E-2</v>
      </c>
      <c r="AN24" s="6">
        <f>AL24+AN22</f>
        <v>1.3380884367670135E-2</v>
      </c>
      <c r="AO24" s="6">
        <f>AJ24+AO22</f>
        <v>1.3860405095812075E-2</v>
      </c>
      <c r="AP24" s="19">
        <f t="shared" si="34"/>
        <v>1.0827892662450467</v>
      </c>
      <c r="AQ24" s="7">
        <f t="shared" si="26"/>
        <v>6184.9948927477017</v>
      </c>
      <c r="AR24" s="10">
        <f t="shared" si="27"/>
        <v>32.34752328907048</v>
      </c>
      <c r="AS24" s="6">
        <f t="shared" si="28"/>
        <v>3.1700572823289072E-3</v>
      </c>
      <c r="AT24" s="6">
        <f t="shared" si="12"/>
        <v>6169.8569969356477</v>
      </c>
      <c r="AU24" s="6">
        <f t="shared" si="13"/>
        <v>32.268352093973441</v>
      </c>
      <c r="AV24" s="6">
        <f t="shared" si="14"/>
        <v>3.1622985052093973E-3</v>
      </c>
      <c r="AW24" s="6">
        <f t="shared" si="29"/>
        <v>2.8944042190123245E-3</v>
      </c>
      <c r="AX24" s="52">
        <f t="shared" si="30"/>
        <v>3.2437499451914882E-3</v>
      </c>
      <c r="AY24" s="53">
        <f t="shared" si="15"/>
        <v>0.25340512046776636</v>
      </c>
      <c r="AZ24" s="54">
        <f t="shared" si="35"/>
        <v>1.336194386712813</v>
      </c>
      <c r="BA24" s="23">
        <f t="shared" si="16"/>
        <v>0.85326806890776585</v>
      </c>
      <c r="BB24"/>
      <c r="BC24"/>
      <c r="BD24"/>
    </row>
    <row r="25" spans="1:56" ht="14.4" x14ac:dyDescent="0.3">
      <c r="A25" t="s">
        <v>120</v>
      </c>
      <c r="B25">
        <v>1</v>
      </c>
      <c r="C25" s="2">
        <v>45050</v>
      </c>
      <c r="D25" s="11">
        <v>0.45763888888888887</v>
      </c>
      <c r="E25" s="15">
        <v>1017.1</v>
      </c>
      <c r="F25">
        <v>1124.0999999999999</v>
      </c>
      <c r="G25">
        <v>1120.3</v>
      </c>
      <c r="H25">
        <v>0</v>
      </c>
      <c r="I25">
        <v>0.69</v>
      </c>
      <c r="J25">
        <v>20.3</v>
      </c>
      <c r="K25">
        <v>75.819999999999993</v>
      </c>
      <c r="L25">
        <v>1</v>
      </c>
      <c r="N25" t="s">
        <v>99</v>
      </c>
      <c r="O25">
        <v>800.35</v>
      </c>
      <c r="P25" s="3">
        <f t="shared" si="4"/>
        <v>45050.457638888889</v>
      </c>
      <c r="Q25" s="4">
        <f t="shared" si="5"/>
        <v>15.822916666664241</v>
      </c>
      <c r="R25">
        <f t="shared" si="17"/>
        <v>96.81</v>
      </c>
      <c r="S25">
        <f t="shared" si="18"/>
        <v>0</v>
      </c>
      <c r="T25">
        <f t="shared" si="19"/>
        <v>0.71273628757359775</v>
      </c>
      <c r="U25">
        <f t="shared" si="20"/>
        <v>20.968908170643527</v>
      </c>
      <c r="V25">
        <f t="shared" si="21"/>
        <v>78.318355541782864</v>
      </c>
      <c r="W25">
        <f t="shared" si="22"/>
        <v>99.999999999999986</v>
      </c>
      <c r="X25" s="6">
        <f t="shared" si="23"/>
        <v>4.4320259984050391E-2</v>
      </c>
      <c r="Y25" s="6">
        <f t="shared" si="0"/>
        <v>3.1588657565328755E-4</v>
      </c>
      <c r="Z25" s="6">
        <f t="shared" si="6"/>
        <v>0</v>
      </c>
      <c r="AA25" s="6">
        <f t="shared" si="1"/>
        <v>9.2934746170459954E-3</v>
      </c>
      <c r="AB25" s="6">
        <f t="shared" si="2"/>
        <v>3.47108987913511E-2</v>
      </c>
      <c r="AC25" s="6">
        <f t="shared" si="24"/>
        <v>3.1588657565328755E-4</v>
      </c>
      <c r="AD25" s="6">
        <f t="shared" si="7"/>
        <v>4.417043613569225E-2</v>
      </c>
      <c r="AE25" s="6">
        <f t="shared" si="8"/>
        <v>3.1481872671859987E-4</v>
      </c>
      <c r="AF25" s="6">
        <f t="shared" si="9"/>
        <v>0</v>
      </c>
      <c r="AG25" s="6">
        <f t="shared" si="10"/>
        <v>9.2620581918660527E-3</v>
      </c>
      <c r="AH25" s="6">
        <f t="shared" si="11"/>
        <v>3.4593559217107592E-2</v>
      </c>
      <c r="AI25" s="6">
        <f t="shared" si="25"/>
        <v>3.1481872671859987E-4</v>
      </c>
      <c r="AJ25" s="22"/>
      <c r="AL25" s="25"/>
      <c r="AM25" s="6"/>
      <c r="AN25" s="6"/>
      <c r="AO25" s="6"/>
      <c r="AP25" s="19"/>
      <c r="AQ25">
        <f t="shared" si="26"/>
        <v>801.18686086148114</v>
      </c>
      <c r="AR25" s="6">
        <f t="shared" si="27"/>
        <v>4.190207282305547</v>
      </c>
      <c r="AS25" s="6">
        <f t="shared" si="28"/>
        <v>4.1064031366594363E-4</v>
      </c>
      <c r="AT25" s="6">
        <f t="shared" si="12"/>
        <v>798.47846296870148</v>
      </c>
      <c r="AU25" s="6">
        <f t="shared" si="13"/>
        <v>4.1760423613263091</v>
      </c>
      <c r="AV25" s="6">
        <f t="shared" si="14"/>
        <v>4.0925215140997834E-4</v>
      </c>
      <c r="AW25" s="6">
        <f t="shared" si="29"/>
        <v>-2.7516581915434535E-3</v>
      </c>
      <c r="AX25" s="52">
        <f t="shared" si="30"/>
        <v>4.9209175364803466E-4</v>
      </c>
      <c r="AY25" s="53">
        <f t="shared" si="15"/>
        <v>3.8442719759957729E-2</v>
      </c>
      <c r="AZ25" s="54"/>
      <c r="BA25" s="23">
        <f t="shared" si="16"/>
        <v>0</v>
      </c>
    </row>
    <row r="26" spans="1:56" s="7" customFormat="1" ht="14.4" x14ac:dyDescent="0.3">
      <c r="A26" t="s">
        <v>120</v>
      </c>
      <c r="B26">
        <v>1</v>
      </c>
      <c r="C26" s="2">
        <v>45054</v>
      </c>
      <c r="D26" s="11">
        <v>0.38263888888888892</v>
      </c>
      <c r="E26" s="15">
        <v>1018.7</v>
      </c>
      <c r="F26">
        <v>1035.0999999999999</v>
      </c>
      <c r="G26">
        <v>1032.9000000000001</v>
      </c>
      <c r="H26">
        <v>0</v>
      </c>
      <c r="I26">
        <v>8.67</v>
      </c>
      <c r="J26">
        <v>4.82</v>
      </c>
      <c r="K26">
        <v>84.17</v>
      </c>
      <c r="L26">
        <v>0</v>
      </c>
      <c r="M26"/>
      <c r="N26" t="s">
        <v>99</v>
      </c>
      <c r="O26"/>
      <c r="P26" s="8">
        <f t="shared" si="4"/>
        <v>45054.382638888892</v>
      </c>
      <c r="Q26" s="9">
        <f t="shared" si="5"/>
        <v>19.747916666667152</v>
      </c>
      <c r="R26">
        <f t="shared" si="17"/>
        <v>97.66</v>
      </c>
      <c r="S26">
        <f t="shared" si="18"/>
        <v>0</v>
      </c>
      <c r="T26">
        <f t="shared" si="19"/>
        <v>8.8777390948187591</v>
      </c>
      <c r="U26">
        <f t="shared" si="20"/>
        <v>4.9354904771656773</v>
      </c>
      <c r="V26">
        <f t="shared" si="21"/>
        <v>86.186770428015564</v>
      </c>
      <c r="W26">
        <f t="shared" si="22"/>
        <v>100</v>
      </c>
      <c r="X26" s="10">
        <f t="shared" si="23"/>
        <v>4.0811227746188561E-2</v>
      </c>
      <c r="Y26" s="10">
        <f t="shared" si="0"/>
        <v>3.6231143206989025E-3</v>
      </c>
      <c r="Z26" s="10">
        <f t="shared" si="6"/>
        <v>0</v>
      </c>
      <c r="AA26" s="10">
        <f t="shared" si="1"/>
        <v>2.0142342590275331E-3</v>
      </c>
      <c r="AB26" s="10">
        <f t="shared" si="2"/>
        <v>3.5173879166462127E-2</v>
      </c>
      <c r="AC26" s="10">
        <f t="shared" si="24"/>
        <v>3.6231143206989025E-3</v>
      </c>
      <c r="AD26" s="10">
        <f t="shared" si="7"/>
        <v>4.0724487623454909E-2</v>
      </c>
      <c r="AE26" s="10">
        <f t="shared" si="8"/>
        <v>3.6154137589120834E-3</v>
      </c>
      <c r="AF26" s="10">
        <f t="shared" si="9"/>
        <v>0</v>
      </c>
      <c r="AG26" s="10">
        <f t="shared" si="10"/>
        <v>2.0099532085301321E-3</v>
      </c>
      <c r="AH26" s="10">
        <f t="shared" si="11"/>
        <v>3.5099120656012693E-2</v>
      </c>
      <c r="AI26" s="10">
        <f t="shared" si="25"/>
        <v>3.6154137589120834E-3</v>
      </c>
      <c r="AJ26" s="22">
        <f t="shared" si="31"/>
        <v>3.3082955939803026E-3</v>
      </c>
      <c r="AK26">
        <f t="shared" si="32"/>
        <v>7.2478239328385196E-3</v>
      </c>
      <c r="AL26" s="25">
        <f t="shared" si="33"/>
        <v>3.3082955939803026E-3</v>
      </c>
      <c r="AM26" s="6">
        <f>AK26+AM24</f>
        <v>2.8692831731869886E-2</v>
      </c>
      <c r="AN26" s="6">
        <f>AL26+AN24</f>
        <v>1.6689179961650438E-2</v>
      </c>
      <c r="AO26" s="6">
        <f>AJ26+AO24</f>
        <v>1.7168700689792378E-2</v>
      </c>
      <c r="AP26" s="19">
        <f t="shared" si="34"/>
        <v>1.3412367599485324</v>
      </c>
      <c r="AQ26" s="7">
        <f t="shared" si="26"/>
        <v>9189.3477370468954</v>
      </c>
      <c r="AR26" s="10">
        <f>AQ26*$D$7</f>
        <v>48.060288664755262</v>
      </c>
      <c r="AS26" s="6">
        <f t="shared" si="28"/>
        <v>4.7099082891460158E-3</v>
      </c>
      <c r="AT26" s="6">
        <f t="shared" si="12"/>
        <v>9169.8167110382983</v>
      </c>
      <c r="AU26" s="6">
        <f t="shared" si="13"/>
        <v>47.958141398730305</v>
      </c>
      <c r="AV26" s="6">
        <f t="shared" si="14"/>
        <v>4.6998978570755709E-3</v>
      </c>
      <c r="AW26" s="6">
        <f t="shared" si="29"/>
        <v>4.3006561377360378E-3</v>
      </c>
      <c r="AX26" s="52">
        <f t="shared" si="30"/>
        <v>4.7927478913840724E-3</v>
      </c>
      <c r="AY26" s="53">
        <f t="shared" si="15"/>
        <v>0.37441445157885567</v>
      </c>
      <c r="AZ26" s="54">
        <f t="shared" si="35"/>
        <v>1.7156512115273881</v>
      </c>
      <c r="BA26" s="23">
        <f t="shared" si="16"/>
        <v>0.95253908664283748</v>
      </c>
      <c r="BB26"/>
      <c r="BC26"/>
      <c r="BD26"/>
    </row>
    <row r="27" spans="1:56" ht="14.4" x14ac:dyDescent="0.3">
      <c r="A27" t="s">
        <v>120</v>
      </c>
      <c r="B27">
        <v>1</v>
      </c>
      <c r="C27" s="2">
        <v>45054</v>
      </c>
      <c r="D27" s="11">
        <v>0.42152777777777778</v>
      </c>
      <c r="E27" s="15">
        <v>1018.7</v>
      </c>
      <c r="F27">
        <v>1126</v>
      </c>
      <c r="G27">
        <v>1122.9000000000001</v>
      </c>
      <c r="H27">
        <v>0</v>
      </c>
      <c r="I27">
        <v>0.52</v>
      </c>
      <c r="J27">
        <v>20.190000000000001</v>
      </c>
      <c r="K27">
        <v>75.23</v>
      </c>
      <c r="L27">
        <v>1</v>
      </c>
      <c r="N27" t="s">
        <v>99</v>
      </c>
      <c r="O27">
        <v>800.31</v>
      </c>
      <c r="P27" s="3">
        <f t="shared" si="4"/>
        <v>45054.421527777777</v>
      </c>
      <c r="Q27" s="4">
        <f t="shared" si="5"/>
        <v>19.786805555551837</v>
      </c>
      <c r="R27">
        <f t="shared" si="17"/>
        <v>95.94</v>
      </c>
      <c r="S27">
        <f t="shared" si="18"/>
        <v>0</v>
      </c>
      <c r="T27">
        <f t="shared" si="19"/>
        <v>0.5420054200542006</v>
      </c>
      <c r="U27">
        <f t="shared" si="20"/>
        <v>21.044402751719829</v>
      </c>
      <c r="V27">
        <f t="shared" si="21"/>
        <v>78.413591828225975</v>
      </c>
      <c r="W27">
        <f t="shared" si="22"/>
        <v>100</v>
      </c>
      <c r="X27" s="6">
        <f t="shared" si="23"/>
        <v>4.4395171908229468E-2</v>
      </c>
      <c r="Y27" s="6">
        <f t="shared" si="0"/>
        <v>2.406242379849836E-4</v>
      </c>
      <c r="Z27" s="6">
        <f t="shared" si="6"/>
        <v>0</v>
      </c>
      <c r="AA27" s="6">
        <f t="shared" si="1"/>
        <v>9.3426987786861902E-3</v>
      </c>
      <c r="AB27" s="6">
        <f t="shared" si="2"/>
        <v>3.4811848891558299E-2</v>
      </c>
      <c r="AC27" s="6">
        <f t="shared" si="24"/>
        <v>2.406242379849836E-4</v>
      </c>
      <c r="AD27" s="6">
        <f t="shared" si="7"/>
        <v>4.4272947189832046E-2</v>
      </c>
      <c r="AE27" s="6">
        <f t="shared" si="8"/>
        <v>2.3996177338662358E-4</v>
      </c>
      <c r="AF27" s="6">
        <f t="shared" si="9"/>
        <v>0</v>
      </c>
      <c r="AG27" s="6">
        <f t="shared" si="10"/>
        <v>9.3169773166844813E-3</v>
      </c>
      <c r="AH27" s="6">
        <f t="shared" si="11"/>
        <v>3.4716008099760942E-2</v>
      </c>
      <c r="AI27" s="6">
        <f t="shared" si="25"/>
        <v>2.3996177338662358E-4</v>
      </c>
      <c r="AJ27" s="22"/>
      <c r="AL27" s="25"/>
      <c r="AM27" s="6"/>
      <c r="AN27" s="6"/>
      <c r="AO27" s="6"/>
      <c r="AP27" s="19"/>
      <c r="AQ27">
        <f t="shared" si="26"/>
        <v>610.29810298102984</v>
      </c>
      <c r="AR27" s="6">
        <f t="shared" si="27"/>
        <v>3.1918590785907863</v>
      </c>
      <c r="AS27" s="6">
        <f t="shared" si="28"/>
        <v>3.1280218970189703E-4</v>
      </c>
      <c r="AT27" s="6">
        <f t="shared" si="12"/>
        <v>608.61788617886191</v>
      </c>
      <c r="AU27" s="6">
        <f t="shared" si="13"/>
        <v>3.1830715447154478</v>
      </c>
      <c r="AV27" s="6">
        <f t="shared" si="14"/>
        <v>3.1194101138211388E-4</v>
      </c>
      <c r="AW27" s="6">
        <f t="shared" si="29"/>
        <v>-4.3870956673736743E-3</v>
      </c>
      <c r="AX27" s="52">
        <f t="shared" si="30"/>
        <v>4.0565222401039817E-4</v>
      </c>
      <c r="AY27" s="53">
        <f t="shared" si="15"/>
        <v>3.1689973774258993E-2</v>
      </c>
      <c r="AZ27" s="54"/>
      <c r="BA27" s="23">
        <f t="shared" si="16"/>
        <v>0</v>
      </c>
    </row>
    <row r="28" spans="1:56" s="7" customFormat="1" ht="14.4" x14ac:dyDescent="0.3">
      <c r="A28" t="s">
        <v>120</v>
      </c>
      <c r="B28">
        <v>1</v>
      </c>
      <c r="C28" s="2">
        <v>45056</v>
      </c>
      <c r="D28" s="11">
        <v>0.41180555555555554</v>
      </c>
      <c r="E28" s="15">
        <v>1007.7</v>
      </c>
      <c r="F28">
        <v>1104.5999999999999</v>
      </c>
      <c r="G28">
        <v>1101.5</v>
      </c>
      <c r="H28">
        <v>0</v>
      </c>
      <c r="I28">
        <v>4</v>
      </c>
      <c r="J28">
        <v>15.67</v>
      </c>
      <c r="K28">
        <v>78.16</v>
      </c>
      <c r="L28">
        <v>0</v>
      </c>
      <c r="M28"/>
      <c r="N28" t="s">
        <v>99</v>
      </c>
      <c r="O28"/>
      <c r="P28" s="8">
        <f t="shared" si="4"/>
        <v>45056.411805555559</v>
      </c>
      <c r="Q28" s="9">
        <f t="shared" si="5"/>
        <v>21.777083333334303</v>
      </c>
      <c r="R28">
        <f t="shared" si="17"/>
        <v>97.83</v>
      </c>
      <c r="S28">
        <f t="shared" si="18"/>
        <v>0</v>
      </c>
      <c r="T28">
        <f t="shared" si="19"/>
        <v>4.0887253398752943</v>
      </c>
      <c r="U28">
        <f t="shared" si="20"/>
        <v>16.017581518961464</v>
      </c>
      <c r="V28">
        <f t="shared" si="21"/>
        <v>79.89369314116324</v>
      </c>
      <c r="W28">
        <f t="shared" si="22"/>
        <v>100</v>
      </c>
      <c r="X28" s="10">
        <f t="shared" si="23"/>
        <v>4.3551427078002011E-2</v>
      </c>
      <c r="Y28" s="10">
        <f t="shared" si="0"/>
        <v>1.7806982348155787E-3</v>
      </c>
      <c r="Z28" s="10">
        <f t="shared" si="6"/>
        <v>0</v>
      </c>
      <c r="AA28" s="10">
        <f t="shared" si="1"/>
        <v>6.9758853348900283E-3</v>
      </c>
      <c r="AB28" s="10">
        <f t="shared" si="2"/>
        <v>3.4794843508296404E-2</v>
      </c>
      <c r="AC28" s="10">
        <f t="shared" si="24"/>
        <v>1.7806982348155787E-3</v>
      </c>
      <c r="AD28" s="10">
        <f t="shared" si="7"/>
        <v>4.3429202359604582E-2</v>
      </c>
      <c r="AE28" s="10">
        <f t="shared" si="8"/>
        <v>1.7757008017828717E-3</v>
      </c>
      <c r="AF28" s="10">
        <f t="shared" si="9"/>
        <v>0</v>
      </c>
      <c r="AG28" s="10">
        <f t="shared" si="10"/>
        <v>6.9563078909844001E-3</v>
      </c>
      <c r="AH28" s="10">
        <f t="shared" si="11"/>
        <v>3.4697193666837309E-2</v>
      </c>
      <c r="AI28" s="10">
        <f t="shared" si="25"/>
        <v>1.7757008017828717E-3</v>
      </c>
      <c r="AJ28" s="22">
        <f t="shared" si="31"/>
        <v>1.5407364614289552E-3</v>
      </c>
      <c r="AK28">
        <f t="shared" si="32"/>
        <v>2.341091981794453E-3</v>
      </c>
      <c r="AL28" s="25">
        <f t="shared" si="33"/>
        <v>1.5407364614289552E-3</v>
      </c>
      <c r="AM28" s="6">
        <f>AK28+AM26</f>
        <v>3.1033923713664341E-2</v>
      </c>
      <c r="AN28" s="6">
        <f>AL28+AN26</f>
        <v>1.8229916423079393E-2</v>
      </c>
      <c r="AO28" s="6">
        <f>AJ28+AO26</f>
        <v>1.8709437151221333E-2</v>
      </c>
      <c r="AP28" s="19">
        <f t="shared" si="34"/>
        <v>1.4616006952747607</v>
      </c>
      <c r="AQ28" s="7">
        <f t="shared" si="26"/>
        <v>4516.4060104262498</v>
      </c>
      <c r="AR28" s="10">
        <f t="shared" si="27"/>
        <v>23.620803434529289</v>
      </c>
      <c r="AS28" s="6">
        <f t="shared" si="28"/>
        <v>2.3148387365838703E-3</v>
      </c>
      <c r="AT28" s="6">
        <f t="shared" si="12"/>
        <v>4503.7309618726367</v>
      </c>
      <c r="AU28" s="6">
        <f t="shared" si="13"/>
        <v>23.554512930593891</v>
      </c>
      <c r="AV28" s="6">
        <f t="shared" si="14"/>
        <v>2.3083422671982016E-3</v>
      </c>
      <c r="AW28" s="6">
        <f t="shared" si="29"/>
        <v>2.0028977252017563E-3</v>
      </c>
      <c r="AX28" s="52">
        <f t="shared" si="30"/>
        <v>2.4085499492121545E-3</v>
      </c>
      <c r="AY28" s="53">
        <f t="shared" si="15"/>
        <v>0.18815842785215323</v>
      </c>
      <c r="AZ28" s="54">
        <f t="shared" si="35"/>
        <v>1.649759123126914</v>
      </c>
      <c r="BA28" s="23">
        <f t="shared" si="16"/>
        <v>0.66064719395326865</v>
      </c>
      <c r="BB28"/>
      <c r="BC28"/>
      <c r="BD28"/>
    </row>
    <row r="29" spans="1:56" ht="15" customHeight="1" x14ac:dyDescent="0.3">
      <c r="A29" t="s">
        <v>120</v>
      </c>
      <c r="B29">
        <v>1</v>
      </c>
      <c r="C29" s="2">
        <v>45056</v>
      </c>
      <c r="D29" s="11">
        <v>0.4465277777777778</v>
      </c>
      <c r="E29" s="15">
        <v>1008</v>
      </c>
      <c r="F29">
        <v>1115.7</v>
      </c>
      <c r="G29">
        <v>1113</v>
      </c>
      <c r="H29">
        <v>0</v>
      </c>
      <c r="I29">
        <v>0.39</v>
      </c>
      <c r="J29">
        <v>20.28</v>
      </c>
      <c r="K29">
        <v>75.27</v>
      </c>
      <c r="L29">
        <v>1</v>
      </c>
      <c r="N29" t="s">
        <v>99</v>
      </c>
      <c r="O29">
        <v>800.23</v>
      </c>
      <c r="P29" s="3">
        <f t="shared" si="4"/>
        <v>45056.446527777778</v>
      </c>
      <c r="Q29" s="4">
        <f t="shared" si="5"/>
        <v>21.811805555553292</v>
      </c>
      <c r="R29">
        <f t="shared" si="17"/>
        <v>95.94</v>
      </c>
      <c r="S29">
        <f t="shared" si="18"/>
        <v>0</v>
      </c>
      <c r="T29">
        <f t="shared" si="19"/>
        <v>0.4065040650406504</v>
      </c>
      <c r="U29">
        <f t="shared" si="20"/>
        <v>21.138211382113823</v>
      </c>
      <c r="V29">
        <f t="shared" si="21"/>
        <v>78.455284552845526</v>
      </c>
      <c r="W29">
        <f t="shared" si="22"/>
        <v>100</v>
      </c>
      <c r="X29" s="6">
        <f t="shared" si="23"/>
        <v>4.398907042452186E-2</v>
      </c>
      <c r="Y29" s="6">
        <f t="shared" si="0"/>
        <v>1.7881735944927582E-4</v>
      </c>
      <c r="Z29" s="6">
        <f t="shared" si="6"/>
        <v>0</v>
      </c>
      <c r="AA29" s="6">
        <f t="shared" si="1"/>
        <v>9.298502691362346E-3</v>
      </c>
      <c r="AB29" s="6">
        <f t="shared" si="2"/>
        <v>3.4511750373710237E-2</v>
      </c>
      <c r="AC29" s="6">
        <f>Y29+Z29</f>
        <v>1.7881735944927582E-4</v>
      </c>
      <c r="AD29" s="6">
        <f t="shared" si="7"/>
        <v>4.3882616637530555E-2</v>
      </c>
      <c r="AE29" s="6">
        <f t="shared" si="8"/>
        <v>1.7838462047776646E-4</v>
      </c>
      <c r="AF29" s="6">
        <f t="shared" si="9"/>
        <v>0</v>
      </c>
      <c r="AG29" s="6">
        <f t="shared" si="10"/>
        <v>9.2760002648438582E-3</v>
      </c>
      <c r="AH29" s="6">
        <f t="shared" si="11"/>
        <v>3.4428231752208931E-2</v>
      </c>
      <c r="AI29" s="6">
        <f>AE29+AF29</f>
        <v>1.7838462047776646E-4</v>
      </c>
      <c r="AJ29" s="22"/>
      <c r="AL29" s="25"/>
      <c r="AM29" s="6"/>
      <c r="AN29" s="6"/>
      <c r="AO29" s="6"/>
      <c r="AP29" s="19"/>
      <c r="AQ29">
        <f>F29*100*T29/100</f>
        <v>453.53658536585368</v>
      </c>
      <c r="AR29" s="6">
        <f t="shared" si="27"/>
        <v>2.3719963414634151</v>
      </c>
      <c r="AS29" s="6">
        <f t="shared" si="28"/>
        <v>2.3245564146341468E-4</v>
      </c>
      <c r="AT29" s="6">
        <f t="shared" si="12"/>
        <v>452.43902439024384</v>
      </c>
      <c r="AU29" s="6">
        <f t="shared" si="13"/>
        <v>2.3662560975609752</v>
      </c>
      <c r="AV29" s="6">
        <f t="shared" si="14"/>
        <v>2.318930975609756E-4</v>
      </c>
      <c r="AW29" s="6">
        <f t="shared" si="29"/>
        <v>-2.0758866257347868E-3</v>
      </c>
      <c r="AX29" s="52">
        <f t="shared" si="30"/>
        <v>3.3266332347736769E-4</v>
      </c>
      <c r="AY29" s="53">
        <f t="shared" si="15"/>
        <v>2.5988004928047405E-2</v>
      </c>
      <c r="AZ29" s="54"/>
      <c r="BA29" s="23">
        <f t="shared" si="16"/>
        <v>0</v>
      </c>
    </row>
    <row r="30" spans="1:56" ht="15" customHeight="1" x14ac:dyDescent="0.3">
      <c r="A30" t="s">
        <v>120</v>
      </c>
      <c r="B30">
        <v>1</v>
      </c>
      <c r="C30" s="2">
        <v>45058</v>
      </c>
      <c r="D30" s="11">
        <v>0.39166666666666666</v>
      </c>
      <c r="E30" s="15">
        <v>1014.7</v>
      </c>
      <c r="F30">
        <v>1100</v>
      </c>
      <c r="G30">
        <v>1097.7</v>
      </c>
      <c r="H30">
        <v>0</v>
      </c>
      <c r="I30">
        <v>2.48</v>
      </c>
      <c r="J30">
        <v>17.48</v>
      </c>
      <c r="K30">
        <v>76.930000000000007</v>
      </c>
      <c r="L30">
        <v>0</v>
      </c>
      <c r="N30" t="s">
        <v>99</v>
      </c>
      <c r="P30" s="8">
        <f t="shared" si="4"/>
        <v>45058.39166666667</v>
      </c>
      <c r="Q30" s="9">
        <f t="shared" si="5"/>
        <v>23.756944444445253</v>
      </c>
      <c r="R30">
        <f t="shared" si="17"/>
        <v>96.890000000000015</v>
      </c>
      <c r="S30">
        <f t="shared" si="18"/>
        <v>0</v>
      </c>
      <c r="T30">
        <f t="shared" si="19"/>
        <v>2.5596036742697903</v>
      </c>
      <c r="U30">
        <f t="shared" si="20"/>
        <v>18.041077510579004</v>
      </c>
      <c r="V30">
        <f t="shared" si="21"/>
        <v>79.399318815151204</v>
      </c>
      <c r="W30">
        <f t="shared" si="22"/>
        <v>100</v>
      </c>
      <c r="X30" s="6">
        <f t="shared" si="23"/>
        <v>4.3370061366831629E-2</v>
      </c>
      <c r="Y30" s="6">
        <f t="shared" si="0"/>
        <v>1.1101016842784853E-3</v>
      </c>
      <c r="Z30" s="6">
        <f t="shared" si="6"/>
        <v>0</v>
      </c>
      <c r="AA30" s="6">
        <f t="shared" si="1"/>
        <v>7.8244263875757742E-3</v>
      </c>
      <c r="AB30" s="6">
        <f t="shared" si="2"/>
        <v>3.4435533294977366E-2</v>
      </c>
      <c r="AC30" s="6">
        <f t="shared" ref="AC30:AC36" si="70">Y30+Z30</f>
        <v>1.1101016842784853E-3</v>
      </c>
      <c r="AD30" s="6">
        <f t="shared" si="7"/>
        <v>4.3279378511246441E-2</v>
      </c>
      <c r="AE30" s="6">
        <f t="shared" si="8"/>
        <v>1.107780562574994E-3</v>
      </c>
      <c r="AF30" s="6">
        <f t="shared" si="9"/>
        <v>0</v>
      </c>
      <c r="AG30" s="6">
        <f t="shared" si="10"/>
        <v>7.8080662233108444E-3</v>
      </c>
      <c r="AH30" s="6">
        <f t="shared" si="11"/>
        <v>3.4363531725360601E-2</v>
      </c>
      <c r="AI30" s="6">
        <f t="shared" ref="AI30:AI36" si="71">AE30+AF30</f>
        <v>1.107780562574994E-3</v>
      </c>
      <c r="AJ30" s="22">
        <f t="shared" ref="AJ30:AJ35" si="72">AC30-AI29</f>
        <v>9.3171706380071881E-4</v>
      </c>
      <c r="AK30">
        <f t="shared" ref="AK30:AK35" si="73">(AA30-AG29)*-1</f>
        <v>1.451573877268084E-3</v>
      </c>
      <c r="AL30" s="25">
        <f t="shared" ref="AL30:AL35" si="74">Y30-AE29</f>
        <v>9.3171706380071881E-4</v>
      </c>
      <c r="AM30" s="6">
        <f>AK30+AM28</f>
        <v>3.2485497590932423E-2</v>
      </c>
      <c r="AN30" s="6">
        <f>AL30+AN28</f>
        <v>1.9161633486880113E-2</v>
      </c>
      <c r="AO30" s="6">
        <f>AJ30+AO28</f>
        <v>1.9641154215022053E-2</v>
      </c>
      <c r="AP30" s="19">
        <f t="shared" si="34"/>
        <v>1.5343874016435088</v>
      </c>
      <c r="AQ30">
        <f t="shared" ref="AQ30:AQ36" si="75">F30*100*T30/100</f>
        <v>2815.5640416967694</v>
      </c>
      <c r="AR30" s="6">
        <f t="shared" si="27"/>
        <v>14.725399938074105</v>
      </c>
      <c r="AS30" s="6">
        <f t="shared" si="28"/>
        <v>1.4430891939312624E-3</v>
      </c>
      <c r="AT30" s="6">
        <f t="shared" si="12"/>
        <v>2809.6769532459484</v>
      </c>
      <c r="AU30" s="6">
        <f t="shared" si="13"/>
        <v>14.694610465476311</v>
      </c>
      <c r="AV30" s="6">
        <f t="shared" si="14"/>
        <v>1.4400718256166786E-3</v>
      </c>
      <c r="AW30" s="6">
        <f t="shared" si="29"/>
        <v>1.2111960963702869E-3</v>
      </c>
      <c r="AX30" s="52">
        <f t="shared" si="30"/>
        <v>1.5438594198476545E-3</v>
      </c>
      <c r="AY30" s="53">
        <f t="shared" si="15"/>
        <v>0.12060790408697665</v>
      </c>
      <c r="AZ30" s="54">
        <f t="shared" si="35"/>
        <v>1.6549953057304856</v>
      </c>
      <c r="BA30" s="23">
        <f t="shared" si="16"/>
        <v>0.67738343496488096</v>
      </c>
    </row>
    <row r="31" spans="1:56" ht="15" customHeight="1" x14ac:dyDescent="0.3">
      <c r="A31" t="s">
        <v>120</v>
      </c>
      <c r="B31">
        <v>1</v>
      </c>
      <c r="C31" s="2">
        <v>45058</v>
      </c>
      <c r="D31" s="11">
        <v>0.4291666666666667</v>
      </c>
      <c r="E31" s="15">
        <v>1014.9</v>
      </c>
      <c r="F31">
        <v>1123.2</v>
      </c>
      <c r="G31">
        <v>1119.7</v>
      </c>
      <c r="H31">
        <v>0</v>
      </c>
      <c r="I31">
        <v>0.31</v>
      </c>
      <c r="J31">
        <v>20.36</v>
      </c>
      <c r="K31">
        <v>75.569999999999993</v>
      </c>
      <c r="L31">
        <v>1</v>
      </c>
      <c r="N31" t="s">
        <v>99</v>
      </c>
      <c r="O31">
        <v>800.14</v>
      </c>
      <c r="P31" s="3">
        <f t="shared" si="4"/>
        <v>45058.429166666669</v>
      </c>
      <c r="Q31" s="4">
        <f t="shared" si="5"/>
        <v>23.794444444443798</v>
      </c>
      <c r="R31">
        <f t="shared" si="17"/>
        <v>96.24</v>
      </c>
      <c r="S31">
        <f t="shared" si="18"/>
        <v>0</v>
      </c>
      <c r="T31">
        <f t="shared" si="19"/>
        <v>0.32211138819617624</v>
      </c>
      <c r="U31">
        <f t="shared" si="20"/>
        <v>21.155444721529509</v>
      </c>
      <c r="V31">
        <f t="shared" si="21"/>
        <v>78.522443890274303</v>
      </c>
      <c r="W31">
        <f t="shared" si="22"/>
        <v>99.999999999999986</v>
      </c>
      <c r="X31" s="10">
        <f t="shared" si="23"/>
        <v>4.428477538838662E-2</v>
      </c>
      <c r="Y31" s="10">
        <f t="shared" si="0"/>
        <v>1.4264630476309073E-4</v>
      </c>
      <c r="Z31" s="10">
        <f t="shared" si="6"/>
        <v>0</v>
      </c>
      <c r="AA31" s="10">
        <f t="shared" si="1"/>
        <v>9.3686411773436368E-3</v>
      </c>
      <c r="AB31" s="10">
        <f t="shared" si="2"/>
        <v>3.477348790627989E-2</v>
      </c>
      <c r="AC31" s="10">
        <f t="shared" si="70"/>
        <v>1.4264630476309073E-4</v>
      </c>
      <c r="AD31" s="10">
        <f t="shared" si="7"/>
        <v>4.4146779738583074E-2</v>
      </c>
      <c r="AE31" s="10">
        <f t="shared" si="8"/>
        <v>1.4220180505985819E-4</v>
      </c>
      <c r="AF31" s="10">
        <f t="shared" si="9"/>
        <v>0</v>
      </c>
      <c r="AG31" s="10">
        <f t="shared" si="10"/>
        <v>9.3394475839313311E-3</v>
      </c>
      <c r="AH31" s="10">
        <f t="shared" si="11"/>
        <v>3.4665130349591879E-2</v>
      </c>
      <c r="AI31" s="10">
        <f t="shared" si="71"/>
        <v>1.4220180505985819E-4</v>
      </c>
      <c r="AJ31" s="22"/>
      <c r="AL31" s="25"/>
      <c r="AM31" s="6"/>
      <c r="AN31" s="6"/>
      <c r="AO31" s="6"/>
      <c r="AP31" s="19"/>
      <c r="AQ31" s="7">
        <f t="shared" si="75"/>
        <v>361.79551122194511</v>
      </c>
      <c r="AR31" s="10">
        <f t="shared" si="27"/>
        <v>1.892190523690773</v>
      </c>
      <c r="AS31" s="6">
        <f t="shared" si="28"/>
        <v>1.8543467132169574E-4</v>
      </c>
      <c r="AT31" s="6">
        <f t="shared" si="12"/>
        <v>360.66812136325854</v>
      </c>
      <c r="AU31" s="6">
        <f t="shared" si="13"/>
        <v>1.8862942747298423</v>
      </c>
      <c r="AV31" s="6">
        <f t="shared" si="14"/>
        <v>1.8485683892352457E-4</v>
      </c>
      <c r="AW31" s="6">
        <f t="shared" si="29"/>
        <v>-1.2546371542949829E-3</v>
      </c>
      <c r="AX31" s="52">
        <f t="shared" si="30"/>
        <v>2.8922226555267165E-4</v>
      </c>
      <c r="AY31" s="53">
        <f t="shared" si="15"/>
        <v>2.2594344287536792E-2</v>
      </c>
      <c r="AZ31" s="54"/>
      <c r="BA31" s="23">
        <f t="shared" si="16"/>
        <v>0</v>
      </c>
    </row>
    <row r="32" spans="1:56" ht="15" customHeight="1" x14ac:dyDescent="0.3">
      <c r="A32" t="s">
        <v>120</v>
      </c>
      <c r="B32">
        <v>1</v>
      </c>
      <c r="C32" s="2">
        <v>45061</v>
      </c>
      <c r="D32" s="11">
        <v>0.41944444444444445</v>
      </c>
      <c r="E32" s="15">
        <v>1012.7</v>
      </c>
      <c r="F32">
        <v>1101</v>
      </c>
      <c r="G32">
        <v>1097.5</v>
      </c>
      <c r="H32">
        <v>0</v>
      </c>
      <c r="I32">
        <v>2.62</v>
      </c>
      <c r="J32">
        <v>17.03</v>
      </c>
      <c r="K32">
        <v>79.55</v>
      </c>
      <c r="L32">
        <v>0</v>
      </c>
      <c r="N32" t="s">
        <v>99</v>
      </c>
      <c r="P32" s="8">
        <f t="shared" si="4"/>
        <v>45061.419444444444</v>
      </c>
      <c r="Q32" s="9">
        <f t="shared" si="5"/>
        <v>26.784722222218988</v>
      </c>
      <c r="R32">
        <f t="shared" ref="R32:R36" si="76">SUM(H32:K32)</f>
        <v>99.2</v>
      </c>
      <c r="S32">
        <f t="shared" si="18"/>
        <v>0</v>
      </c>
      <c r="T32">
        <f t="shared" si="19"/>
        <v>2.6411290322580645</v>
      </c>
      <c r="U32">
        <f t="shared" si="20"/>
        <v>17.16733870967742</v>
      </c>
      <c r="V32">
        <f t="shared" si="21"/>
        <v>80.191532258064512</v>
      </c>
      <c r="W32">
        <f t="shared" si="22"/>
        <v>100</v>
      </c>
      <c r="X32" s="6">
        <f t="shared" si="23"/>
        <v>4.3409488695346929E-2</v>
      </c>
      <c r="Y32" s="6">
        <f t="shared" si="0"/>
        <v>1.1465006086875903E-3</v>
      </c>
      <c r="Z32" s="6">
        <f t="shared" si="6"/>
        <v>0</v>
      </c>
      <c r="AA32" s="6">
        <f t="shared" si="1"/>
        <v>7.4522539564693367E-3</v>
      </c>
      <c r="AB32" s="6">
        <f t="shared" si="2"/>
        <v>3.4810734130190001E-2</v>
      </c>
      <c r="AC32" s="6">
        <f t="shared" si="70"/>
        <v>1.1465006086875903E-3</v>
      </c>
      <c r="AD32" s="6">
        <f t="shared" si="7"/>
        <v>4.3271493045543376E-2</v>
      </c>
      <c r="AE32" s="6">
        <f t="shared" si="8"/>
        <v>1.1428559655173754E-3</v>
      </c>
      <c r="AF32" s="6">
        <f t="shared" si="9"/>
        <v>0</v>
      </c>
      <c r="AG32" s="6">
        <f t="shared" si="10"/>
        <v>7.4285637758629407E-3</v>
      </c>
      <c r="AH32" s="6">
        <f t="shared" si="11"/>
        <v>3.4700073304163054E-2</v>
      </c>
      <c r="AI32" s="6">
        <f t="shared" si="71"/>
        <v>1.1428559655173754E-3</v>
      </c>
      <c r="AJ32" s="22">
        <f t="shared" si="72"/>
        <v>1.0042988036277321E-3</v>
      </c>
      <c r="AK32">
        <f t="shared" si="73"/>
        <v>1.8871936274619944E-3</v>
      </c>
      <c r="AL32" s="25">
        <f t="shared" si="74"/>
        <v>1.0042988036277321E-3</v>
      </c>
      <c r="AM32" s="6">
        <f>AK32+AM30</f>
        <v>3.4372691218394417E-2</v>
      </c>
      <c r="AN32" s="6">
        <f>AL32+AN30</f>
        <v>2.0165932290507844E-2</v>
      </c>
      <c r="AO32" s="6">
        <f>AJ32+AO30</f>
        <v>2.0645453018649784E-2</v>
      </c>
      <c r="AP32" s="19">
        <f t="shared" si="34"/>
        <v>1.6128442690405098</v>
      </c>
      <c r="AQ32">
        <f t="shared" si="75"/>
        <v>2907.8830645161293</v>
      </c>
      <c r="AR32" s="6">
        <f t="shared" si="27"/>
        <v>15.208228427419357</v>
      </c>
      <c r="AS32" s="6">
        <f t="shared" si="28"/>
        <v>1.4904063858870971E-3</v>
      </c>
      <c r="AT32" s="6">
        <f t="shared" si="12"/>
        <v>2898.6391129032259</v>
      </c>
      <c r="AU32" s="6">
        <f t="shared" si="13"/>
        <v>15.159882560483872</v>
      </c>
      <c r="AV32" s="6">
        <f t="shared" si="14"/>
        <v>1.4856684909274197E-3</v>
      </c>
      <c r="AW32" s="6">
        <f t="shared" si="29"/>
        <v>1.3055495469635726E-3</v>
      </c>
      <c r="AX32" s="52">
        <f t="shared" si="30"/>
        <v>1.5947718125162442E-3</v>
      </c>
      <c r="AY32" s="53">
        <f t="shared" si="15"/>
        <v>0.12458523317074628</v>
      </c>
      <c r="AZ32" s="54">
        <f t="shared" si="35"/>
        <v>1.737429502211256</v>
      </c>
      <c r="BA32" s="23">
        <f t="shared" si="16"/>
        <v>0.81702057495631097</v>
      </c>
    </row>
    <row r="33" spans="1:53" ht="15" customHeight="1" x14ac:dyDescent="0.3">
      <c r="A33" t="s">
        <v>120</v>
      </c>
      <c r="B33">
        <v>1</v>
      </c>
      <c r="C33" s="2">
        <v>45061</v>
      </c>
      <c r="D33" s="11">
        <v>0.45277777777777778</v>
      </c>
      <c r="E33" s="15">
        <v>1012.8</v>
      </c>
      <c r="F33">
        <v>1119.9000000000001</v>
      </c>
      <c r="G33">
        <v>1115.9000000000001</v>
      </c>
      <c r="H33">
        <v>0</v>
      </c>
      <c r="I33">
        <v>0.33</v>
      </c>
      <c r="J33">
        <v>20.5</v>
      </c>
      <c r="K33">
        <v>76.11</v>
      </c>
      <c r="L33">
        <v>1</v>
      </c>
      <c r="N33" t="s">
        <v>99</v>
      </c>
      <c r="O33">
        <v>800.03</v>
      </c>
      <c r="P33" s="3">
        <f t="shared" si="4"/>
        <v>45061.452777777777</v>
      </c>
      <c r="Q33" s="4">
        <f t="shared" si="5"/>
        <v>26.818055555551837</v>
      </c>
      <c r="R33">
        <f t="shared" si="76"/>
        <v>96.94</v>
      </c>
      <c r="S33">
        <f t="shared" si="18"/>
        <v>0</v>
      </c>
      <c r="T33">
        <f t="shared" si="19"/>
        <v>0.34041675263049309</v>
      </c>
      <c r="U33">
        <f t="shared" si="20"/>
        <v>21.147101299773055</v>
      </c>
      <c r="V33">
        <f t="shared" si="21"/>
        <v>78.512481947596456</v>
      </c>
      <c r="W33">
        <f t="shared" si="22"/>
        <v>100</v>
      </c>
      <c r="X33" s="10">
        <f t="shared" si="23"/>
        <v>4.4154665204286139E-2</v>
      </c>
      <c r="Y33" s="10">
        <f t="shared" si="0"/>
        <v>1.5030987742329716E-4</v>
      </c>
      <c r="Z33" s="10">
        <f t="shared" si="6"/>
        <v>0</v>
      </c>
      <c r="AA33" s="10">
        <f t="shared" si="1"/>
        <v>9.3374317793260345E-3</v>
      </c>
      <c r="AB33" s="10">
        <f t="shared" si="2"/>
        <v>3.466692354753681E-2</v>
      </c>
      <c r="AC33" s="10">
        <f t="shared" si="70"/>
        <v>1.5030987742329716E-4</v>
      </c>
      <c r="AD33" s="10">
        <f t="shared" si="7"/>
        <v>4.3996955890224926E-2</v>
      </c>
      <c r="AE33" s="10">
        <f t="shared" si="8"/>
        <v>1.4977300849777414E-4</v>
      </c>
      <c r="AF33" s="10">
        <f t="shared" si="9"/>
        <v>0</v>
      </c>
      <c r="AG33" s="10">
        <f t="shared" si="10"/>
        <v>9.3040808309223337E-3</v>
      </c>
      <c r="AH33" s="10">
        <f t="shared" si="11"/>
        <v>3.4543102050804818E-2</v>
      </c>
      <c r="AI33" s="10">
        <f t="shared" si="71"/>
        <v>1.4977300849777414E-4</v>
      </c>
      <c r="AJ33" s="22"/>
      <c r="AL33" s="25"/>
      <c r="AM33" s="6"/>
      <c r="AN33" s="6"/>
      <c r="AO33" s="6"/>
      <c r="AP33" s="19"/>
      <c r="AQ33" s="7">
        <f t="shared" si="75"/>
        <v>381.23272127088921</v>
      </c>
      <c r="AR33" s="10">
        <f t="shared" si="27"/>
        <v>1.9938471322467508</v>
      </c>
      <c r="AS33" s="6">
        <f t="shared" si="28"/>
        <v>1.9539701896018158E-4</v>
      </c>
      <c r="AT33" s="6">
        <f t="shared" si="12"/>
        <v>379.87105426036732</v>
      </c>
      <c r="AU33" s="6">
        <f t="shared" si="13"/>
        <v>1.9867256137817211</v>
      </c>
      <c r="AV33" s="6">
        <f t="shared" si="14"/>
        <v>1.9469911015060866E-4</v>
      </c>
      <c r="AW33" s="6">
        <f t="shared" si="29"/>
        <v>-1.290271471967238E-3</v>
      </c>
      <c r="AX33" s="52">
        <f t="shared" si="30"/>
        <v>3.0450034054900618E-4</v>
      </c>
      <c r="AY33" s="53">
        <f t="shared" si="15"/>
        <v>2.3787883401333421E-2</v>
      </c>
      <c r="AZ33" s="54"/>
      <c r="BA33" s="23">
        <f t="shared" si="16"/>
        <v>0</v>
      </c>
    </row>
    <row r="34" spans="1:53" ht="15" customHeight="1" x14ac:dyDescent="0.3">
      <c r="A34" t="s">
        <v>120</v>
      </c>
      <c r="B34">
        <v>1</v>
      </c>
      <c r="C34" s="2">
        <v>45063</v>
      </c>
      <c r="D34" s="11">
        <v>0.38263888888888892</v>
      </c>
      <c r="E34" s="15">
        <v>1025.3</v>
      </c>
      <c r="F34">
        <v>1108.0999999999999</v>
      </c>
      <c r="G34">
        <v>1105.4000000000001</v>
      </c>
      <c r="H34">
        <v>0</v>
      </c>
      <c r="I34">
        <v>1.91</v>
      </c>
      <c r="J34">
        <v>18.690000000000001</v>
      </c>
      <c r="K34">
        <v>79.03</v>
      </c>
      <c r="L34">
        <v>0</v>
      </c>
      <c r="N34" t="s">
        <v>99</v>
      </c>
      <c r="P34" s="3">
        <f t="shared" si="4"/>
        <v>45063.382638888892</v>
      </c>
      <c r="Q34" s="4">
        <f t="shared" si="5"/>
        <v>28.747916666667152</v>
      </c>
      <c r="R34">
        <f t="shared" si="76"/>
        <v>99.63</v>
      </c>
      <c r="S34">
        <f t="shared" si="18"/>
        <v>0</v>
      </c>
      <c r="T34">
        <f t="shared" si="19"/>
        <v>1.9170932450065241</v>
      </c>
      <c r="U34">
        <f t="shared" si="20"/>
        <v>18.759409816320389</v>
      </c>
      <c r="V34">
        <f t="shared" si="21"/>
        <v>79.323496938673088</v>
      </c>
      <c r="W34">
        <f t="shared" si="22"/>
        <v>100</v>
      </c>
      <c r="X34" s="10">
        <f t="shared" si="23"/>
        <v>4.3689422727805571E-2</v>
      </c>
      <c r="Y34" s="10">
        <f t="shared" si="0"/>
        <v>8.3756697189710575E-4</v>
      </c>
      <c r="Z34" s="10">
        <f t="shared" si="6"/>
        <v>0</v>
      </c>
      <c r="AA34" s="10">
        <f t="shared" si="1"/>
        <v>8.1958778558936692E-3</v>
      </c>
      <c r="AB34" s="10">
        <f t="shared" si="2"/>
        <v>3.4655977900014796E-2</v>
      </c>
      <c r="AC34" s="10">
        <f t="shared" si="70"/>
        <v>8.3756697189710575E-4</v>
      </c>
      <c r="AD34" s="10">
        <f t="shared" si="7"/>
        <v>4.3582968940814266E-2</v>
      </c>
      <c r="AE34" s="10">
        <f t="shared" si="8"/>
        <v>8.3552615353764187E-4</v>
      </c>
      <c r="AF34" s="10">
        <f t="shared" si="9"/>
        <v>0</v>
      </c>
      <c r="AG34" s="10">
        <f t="shared" si="10"/>
        <v>8.175907753726978E-3</v>
      </c>
      <c r="AH34" s="10">
        <f t="shared" si="11"/>
        <v>3.457153503354965E-2</v>
      </c>
      <c r="AI34" s="10">
        <f t="shared" si="71"/>
        <v>8.3552615353764187E-4</v>
      </c>
      <c r="AJ34" s="22">
        <f t="shared" si="72"/>
        <v>6.8779396339933158E-4</v>
      </c>
      <c r="AK34">
        <f t="shared" si="73"/>
        <v>1.1082029750286645E-3</v>
      </c>
      <c r="AL34" s="25">
        <f t="shared" si="74"/>
        <v>6.8779396339933158E-4</v>
      </c>
      <c r="AM34" s="6">
        <f>AK34+AM32</f>
        <v>3.5480894193423082E-2</v>
      </c>
      <c r="AN34" s="6">
        <f>AL34+AN32</f>
        <v>2.0853726253907176E-2</v>
      </c>
      <c r="AO34" s="6">
        <f>AJ34+AO32</f>
        <v>2.1333246982049116E-2</v>
      </c>
      <c r="AP34" s="19">
        <f t="shared" si="34"/>
        <v>1.66657544903192</v>
      </c>
      <c r="AQ34" s="7">
        <f t="shared" si="75"/>
        <v>2124.3310247917289</v>
      </c>
      <c r="AR34" s="10">
        <f t="shared" si="27"/>
        <v>11.110251259660743</v>
      </c>
      <c r="AS34" s="6">
        <f t="shared" si="28"/>
        <v>1.0888046234467528E-3</v>
      </c>
      <c r="AT34" s="6">
        <f t="shared" si="12"/>
        <v>2119.154873030212</v>
      </c>
      <c r="AU34" s="6">
        <f t="shared" si="13"/>
        <v>11.083179985948009</v>
      </c>
      <c r="AV34" s="6">
        <f t="shared" si="14"/>
        <v>1.0861516386229048E-3</v>
      </c>
      <c r="AW34" s="6">
        <f t="shared" si="29"/>
        <v>8.9410551329614416E-4</v>
      </c>
      <c r="AX34" s="52">
        <f t="shared" si="30"/>
        <v>1.1986058538451503E-3</v>
      </c>
      <c r="AY34" s="53">
        <f t="shared" si="15"/>
        <v>9.3636336314163723E-2</v>
      </c>
      <c r="AZ34" s="54">
        <f t="shared" si="35"/>
        <v>1.7602117853460837</v>
      </c>
      <c r="BA34" s="23">
        <f t="shared" si="16"/>
        <v>0.70055208396911284</v>
      </c>
    </row>
    <row r="35" spans="1:53" ht="15" customHeight="1" x14ac:dyDescent="0.3">
      <c r="A35" t="s">
        <v>120</v>
      </c>
      <c r="B35">
        <v>1</v>
      </c>
      <c r="C35" s="2">
        <v>45068</v>
      </c>
      <c r="D35" s="11">
        <v>0.60416666666666663</v>
      </c>
      <c r="E35" s="15">
        <v>1013.4</v>
      </c>
      <c r="F35">
        <v>1081</v>
      </c>
      <c r="G35">
        <v>1078.3</v>
      </c>
      <c r="H35">
        <v>0.51</v>
      </c>
      <c r="I35">
        <v>4.38</v>
      </c>
      <c r="J35">
        <v>13.76</v>
      </c>
      <c r="K35">
        <v>81.48</v>
      </c>
      <c r="L35">
        <v>0</v>
      </c>
      <c r="N35" t="s">
        <v>99</v>
      </c>
      <c r="P35" s="3">
        <f t="shared" si="4"/>
        <v>45068.604166666664</v>
      </c>
      <c r="Q35" s="4">
        <f t="shared" si="5"/>
        <v>33.969444444439432</v>
      </c>
      <c r="R35">
        <f t="shared" si="76"/>
        <v>100.13</v>
      </c>
      <c r="S35">
        <f t="shared" si="18"/>
        <v>0.50933786078098475</v>
      </c>
      <c r="T35">
        <f t="shared" si="19"/>
        <v>4.3743133925896336</v>
      </c>
      <c r="U35">
        <f t="shared" si="20"/>
        <v>13.74213522420853</v>
      </c>
      <c r="V35">
        <f t="shared" si="21"/>
        <v>81.37421352242086</v>
      </c>
      <c r="W35">
        <f t="shared" si="22"/>
        <v>100</v>
      </c>
      <c r="X35" s="10">
        <f t="shared" si="23"/>
        <v>4.2620942125040903E-2</v>
      </c>
      <c r="Y35" s="10">
        <f t="shared" si="0"/>
        <v>1.8643735794235412E-3</v>
      </c>
      <c r="Z35" s="10">
        <f t="shared" si="6"/>
        <v>2.1708459486438492E-4</v>
      </c>
      <c r="AA35" s="10">
        <f t="shared" si="1"/>
        <v>5.8570275006547779E-3</v>
      </c>
      <c r="AB35" s="10">
        <f t="shared" si="2"/>
        <v>3.4682456450098202E-2</v>
      </c>
      <c r="AC35" s="10">
        <f t="shared" si="70"/>
        <v>2.0814581742879261E-3</v>
      </c>
      <c r="AD35" s="10">
        <f t="shared" si="7"/>
        <v>4.2514488338049584E-2</v>
      </c>
      <c r="AE35" s="10">
        <f t="shared" si="8"/>
        <v>1.8597169571622609E-3</v>
      </c>
      <c r="AF35" s="10">
        <f t="shared" si="9"/>
        <v>2.1654238542300299E-4</v>
      </c>
      <c r="AG35" s="10">
        <f t="shared" si="10"/>
        <v>5.8423984772951396E-3</v>
      </c>
      <c r="AH35" s="10">
        <f t="shared" si="11"/>
        <v>3.4595830518169189E-2</v>
      </c>
      <c r="AI35" s="10">
        <f t="shared" si="71"/>
        <v>2.076259342585264E-3</v>
      </c>
      <c r="AJ35" s="22">
        <f t="shared" si="72"/>
        <v>1.2459320207502842E-3</v>
      </c>
      <c r="AK35">
        <f t="shared" si="73"/>
        <v>2.3188802530722001E-3</v>
      </c>
      <c r="AL35" s="25">
        <f t="shared" si="74"/>
        <v>1.0288474258858993E-3</v>
      </c>
      <c r="AM35" s="6">
        <f t="shared" ref="AM35" si="77">AK35+AM34</f>
        <v>3.779977444649528E-2</v>
      </c>
      <c r="AN35" s="6">
        <f t="shared" ref="AN35" si="78">AL35+AN34</f>
        <v>2.1882573679793075E-2</v>
      </c>
      <c r="AO35" s="6">
        <f t="shared" ref="AO35" si="79">AJ35+AO34</f>
        <v>2.2579179002799401E-2</v>
      </c>
      <c r="AP35" s="19">
        <f t="shared" si="34"/>
        <v>1.763908954742156</v>
      </c>
      <c r="AQ35" s="7">
        <f t="shared" si="75"/>
        <v>4728.6327773893936</v>
      </c>
      <c r="AR35" s="10">
        <f t="shared" si="27"/>
        <v>24.730749425746531</v>
      </c>
      <c r="AS35" s="6">
        <f t="shared" si="28"/>
        <v>2.42361344372316E-3</v>
      </c>
      <c r="AT35" s="6">
        <f t="shared" si="12"/>
        <v>4716.8221312294017</v>
      </c>
      <c r="AU35" s="6">
        <f t="shared" si="13"/>
        <v>24.668979746329772</v>
      </c>
      <c r="AV35" s="6">
        <f t="shared" si="14"/>
        <v>2.4175600151403178E-3</v>
      </c>
      <c r="AW35" s="6">
        <f t="shared" si="29"/>
        <v>1.3374618051002552E-3</v>
      </c>
      <c r="AX35" s="52">
        <f t="shared" si="30"/>
        <v>2.5360676589454055E-3</v>
      </c>
      <c r="AY35" s="53">
        <f t="shared" si="15"/>
        <v>0.19812024400405165</v>
      </c>
      <c r="AZ35" s="54">
        <f t="shared" si="35"/>
        <v>1.9620291987462077</v>
      </c>
      <c r="BA35" s="23">
        <f t="shared" si="16"/>
        <v>0.97995655965294604</v>
      </c>
    </row>
    <row r="36" spans="1:53" ht="15" customHeight="1" x14ac:dyDescent="0.3">
      <c r="A36" t="s">
        <v>120</v>
      </c>
      <c r="B36">
        <v>1</v>
      </c>
      <c r="C36" s="2">
        <v>45068</v>
      </c>
      <c r="D36" s="11">
        <v>0.6430555555555556</v>
      </c>
      <c r="E36" s="15">
        <v>1013.6</v>
      </c>
      <c r="F36">
        <v>1113.2</v>
      </c>
      <c r="G36">
        <v>1109.7</v>
      </c>
      <c r="H36">
        <v>0</v>
      </c>
      <c r="I36">
        <v>0.28000000000000003</v>
      </c>
      <c r="J36">
        <v>20.32</v>
      </c>
      <c r="K36">
        <v>75.48</v>
      </c>
      <c r="L36">
        <v>1</v>
      </c>
      <c r="N36" t="s">
        <v>99</v>
      </c>
      <c r="O36">
        <v>799.93</v>
      </c>
      <c r="P36" s="3">
        <f t="shared" si="4"/>
        <v>45068.643055555556</v>
      </c>
      <c r="Q36" s="4">
        <f t="shared" si="5"/>
        <v>34.008333333331393</v>
      </c>
      <c r="R36">
        <f t="shared" si="76"/>
        <v>96.080000000000013</v>
      </c>
      <c r="S36">
        <f t="shared" si="18"/>
        <v>0</v>
      </c>
      <c r="T36">
        <f t="shared" si="19"/>
        <v>0.29142381348875934</v>
      </c>
      <c r="U36">
        <f t="shared" si="20"/>
        <v>21.149042464612819</v>
      </c>
      <c r="V36">
        <f t="shared" si="21"/>
        <v>78.559533721898404</v>
      </c>
      <c r="W36">
        <f t="shared" si="22"/>
        <v>99.999999999999986</v>
      </c>
      <c r="X36" s="10">
        <f t="shared" si="23"/>
        <v>4.3890502103233607E-2</v>
      </c>
      <c r="Y36" s="10">
        <f t="shared" si="0"/>
        <v>1.2790737498860749E-4</v>
      </c>
      <c r="Z36" s="10">
        <f t="shared" si="6"/>
        <v>0</v>
      </c>
      <c r="AA36" s="10">
        <f t="shared" si="1"/>
        <v>9.2824209277446584E-3</v>
      </c>
      <c r="AB36" s="10">
        <f t="shared" si="2"/>
        <v>3.4480173800500336E-2</v>
      </c>
      <c r="AC36" s="10">
        <f t="shared" si="70"/>
        <v>1.2790737498860749E-4</v>
      </c>
      <c r="AD36" s="10">
        <f t="shared" si="7"/>
        <v>4.3752506453430054E-2</v>
      </c>
      <c r="AE36" s="10">
        <f t="shared" si="8"/>
        <v>1.275052228035014E-4</v>
      </c>
      <c r="AF36" s="10">
        <f t="shared" si="9"/>
        <v>0</v>
      </c>
      <c r="AG36" s="10">
        <f t="shared" si="10"/>
        <v>9.2532361691683856E-3</v>
      </c>
      <c r="AH36" s="10">
        <f t="shared" si="11"/>
        <v>3.4371765061458157E-2</v>
      </c>
      <c r="AI36" s="10">
        <f t="shared" si="71"/>
        <v>1.275052228035014E-4</v>
      </c>
      <c r="AJ36" s="22"/>
      <c r="AL36" s="25"/>
      <c r="AM36" s="6"/>
      <c r="AN36" s="6"/>
      <c r="AO36" s="6"/>
      <c r="AP36" s="19"/>
      <c r="AQ36" s="7">
        <f t="shared" si="75"/>
        <v>324.4129891756869</v>
      </c>
      <c r="AR36" s="10">
        <f t="shared" si="27"/>
        <v>1.6966799333888425</v>
      </c>
      <c r="AS36" s="6">
        <f t="shared" si="28"/>
        <v>1.6627463347210659E-4</v>
      </c>
      <c r="AT36" s="6">
        <f t="shared" si="12"/>
        <v>323.39300582847625</v>
      </c>
      <c r="AU36" s="6">
        <f t="shared" si="13"/>
        <v>1.6913454204829308</v>
      </c>
      <c r="AV36" s="6">
        <f t="shared" si="14"/>
        <v>1.657518512073272E-4</v>
      </c>
      <c r="AW36" s="6">
        <f t="shared" si="29"/>
        <v>-2.2512853816682114E-3</v>
      </c>
      <c r="AX36" s="52">
        <f t="shared" si="30"/>
        <v>2.8478227727719418E-4</v>
      </c>
      <c r="AY36" s="53">
        <f t="shared" si="15"/>
        <v>2.2247487784158439E-2</v>
      </c>
      <c r="AZ36" s="54"/>
      <c r="BA36"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6">
    <cfRule type="expression" dxfId="19" priority="1">
      <formula>$L13=0</formula>
    </cfRule>
    <cfRule type="expression" dxfId="18" priority="2">
      <formula>$L13=1</formula>
    </cfRule>
  </conditionalFormatting>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C658-FF43-4AAA-87EE-91D4A144AE24}">
  <dimension ref="A1:BD36"/>
  <sheetViews>
    <sheetView topLeftCell="AL11" zoomScale="128" zoomScaleNormal="85" workbookViewId="0">
      <selection activeCell="AW23" sqref="AW23"/>
    </sheetView>
  </sheetViews>
  <sheetFormatPr defaultRowHeight="15" customHeight="1" x14ac:dyDescent="0.3"/>
  <cols>
    <col min="3" max="3" width="24.109375" customWidth="1"/>
    <col min="16" max="16" width="16.33203125" bestFit="1" customWidth="1"/>
    <col min="17" max="17" width="14.6640625" customWidth="1"/>
    <col min="24" max="24" width="9.44140625" customWidth="1"/>
    <col min="26" max="26" width="9.33203125" bestFit="1" customWidth="1"/>
    <col min="32" max="32" width="9.33203125" bestFit="1" customWidth="1"/>
    <col min="36" max="36" width="9.33203125" bestFit="1" customWidth="1"/>
    <col min="37" max="37" width="9.88671875" customWidth="1"/>
    <col min="38" max="38" width="9.33203125" bestFit="1" customWidth="1"/>
    <col min="39" max="39" width="10.88671875" customWidth="1"/>
    <col min="40" max="42" width="11.5546875" customWidth="1"/>
    <col min="44" max="44" width="9.33203125" bestFit="1" customWidth="1"/>
    <col min="45" max="46" width="9.33203125" customWidth="1"/>
    <col min="47" max="47" width="9.5546875" customWidth="1"/>
    <col min="48" max="48" width="10.33203125" customWidth="1"/>
    <col min="49" max="49" width="9.33203125" bestFit="1" customWidth="1"/>
  </cols>
  <sheetData>
    <row r="1" spans="1:56" ht="15" customHeight="1" x14ac:dyDescent="0.3">
      <c r="B1" t="s">
        <v>15</v>
      </c>
      <c r="C1" s="1" t="s">
        <v>16</v>
      </c>
      <c r="D1" s="1">
        <v>8314.5</v>
      </c>
      <c r="E1" s="1" t="s">
        <v>17</v>
      </c>
    </row>
    <row r="2" spans="1:56" ht="15" customHeight="1" x14ac:dyDescent="0.3">
      <c r="B2" t="s">
        <v>15</v>
      </c>
      <c r="C2" s="1" t="s">
        <v>18</v>
      </c>
      <c r="D2" s="1">
        <v>293.14999999999998</v>
      </c>
      <c r="E2" s="1" t="s">
        <v>19</v>
      </c>
    </row>
    <row r="3" spans="1:56" ht="15" customHeight="1" x14ac:dyDescent="0.3">
      <c r="C3" s="12" t="s">
        <v>131</v>
      </c>
      <c r="D3" s="12">
        <v>0.96099999999999997</v>
      </c>
      <c r="E3" s="13" t="s">
        <v>21</v>
      </c>
    </row>
    <row r="4" spans="1:56" ht="15" customHeight="1" x14ac:dyDescent="0.3">
      <c r="B4" t="s">
        <v>15</v>
      </c>
      <c r="C4" t="s">
        <v>24</v>
      </c>
      <c r="D4" s="1">
        <v>12</v>
      </c>
      <c r="E4" s="1" t="s">
        <v>25</v>
      </c>
    </row>
    <row r="5" spans="1:56" ht="15" customHeight="1" x14ac:dyDescent="0.3">
      <c r="C5" s="12" t="s">
        <v>132</v>
      </c>
      <c r="D5" s="12">
        <v>9.8000000000000004E-2</v>
      </c>
      <c r="E5" s="12" t="s">
        <v>21</v>
      </c>
    </row>
    <row r="6" spans="1:56" ht="15" customHeight="1" x14ac:dyDescent="0.3">
      <c r="C6" t="s">
        <v>133</v>
      </c>
      <c r="D6" s="14">
        <v>153.60778531406666</v>
      </c>
      <c r="E6" s="12" t="s">
        <v>32</v>
      </c>
    </row>
    <row r="7" spans="1:56" ht="15" customHeight="1" x14ac:dyDescent="0.3">
      <c r="B7" t="s">
        <v>15</v>
      </c>
      <c r="C7" t="s">
        <v>134</v>
      </c>
      <c r="D7" s="6">
        <v>5.2300000000000003E-3</v>
      </c>
      <c r="E7" s="1"/>
      <c r="AB7" t="s">
        <v>36</v>
      </c>
    </row>
    <row r="8" spans="1:56" ht="15" customHeight="1" thickBot="1" x14ac:dyDescent="0.35">
      <c r="D8" s="6"/>
      <c r="E8" s="1"/>
    </row>
    <row r="9" spans="1:56" ht="15" customHeight="1" thickBot="1" x14ac:dyDescent="0.35">
      <c r="A9" s="77"/>
      <c r="B9" s="78"/>
      <c r="C9" s="78"/>
      <c r="D9" s="78"/>
      <c r="E9" s="78"/>
      <c r="F9" s="78"/>
      <c r="G9" s="78"/>
      <c r="H9" s="78"/>
      <c r="I9" s="78"/>
      <c r="J9" s="78"/>
      <c r="K9" s="78"/>
      <c r="L9" s="78"/>
      <c r="M9" s="78"/>
      <c r="N9" s="78"/>
      <c r="O9" s="78"/>
      <c r="P9" s="42" t="s">
        <v>38</v>
      </c>
      <c r="Q9" s="43"/>
      <c r="R9" s="43"/>
      <c r="S9" s="43"/>
      <c r="T9" s="43"/>
      <c r="U9" s="43"/>
      <c r="V9" s="43"/>
      <c r="W9" s="43"/>
      <c r="X9" s="79" t="s">
        <v>108</v>
      </c>
      <c r="Y9" s="79"/>
      <c r="Z9" s="79"/>
      <c r="AA9" s="79"/>
      <c r="AB9" s="79"/>
      <c r="AC9" s="79"/>
      <c r="AD9" s="79"/>
      <c r="AE9" s="79"/>
      <c r="AF9" s="79"/>
      <c r="AG9" s="79"/>
      <c r="AH9" s="79"/>
      <c r="AI9" s="79"/>
      <c r="AJ9" s="79"/>
      <c r="AK9" s="79"/>
      <c r="AL9" s="79"/>
      <c r="AM9" s="79"/>
      <c r="AN9" s="79"/>
      <c r="AO9" s="79"/>
      <c r="AP9" s="80"/>
      <c r="AQ9" s="79" t="s">
        <v>109</v>
      </c>
      <c r="AR9" s="79"/>
      <c r="AS9" s="79"/>
      <c r="AT9" s="79"/>
      <c r="AU9" s="79"/>
      <c r="AV9" s="79"/>
      <c r="AW9" s="79"/>
      <c r="AX9" s="79"/>
      <c r="AY9" s="80"/>
      <c r="AZ9" s="43"/>
      <c r="BA9" s="44"/>
    </row>
    <row r="10" spans="1:56" ht="15" customHeight="1" thickBot="1" x14ac:dyDescent="0.35">
      <c r="A10" s="18"/>
      <c r="B10" s="18"/>
      <c r="C10" s="18"/>
      <c r="D10" s="18"/>
      <c r="E10" s="18"/>
      <c r="F10" s="18"/>
      <c r="G10" s="18"/>
      <c r="H10" s="18"/>
      <c r="I10" s="18"/>
      <c r="J10" s="18"/>
      <c r="K10" s="18"/>
      <c r="L10" s="18"/>
      <c r="M10" s="18"/>
      <c r="N10" s="18"/>
      <c r="O10" s="18"/>
      <c r="P10" s="81" t="s">
        <v>39</v>
      </c>
      <c r="Q10" s="82"/>
      <c r="R10" s="75" t="s">
        <v>40</v>
      </c>
      <c r="S10" s="83"/>
      <c r="T10" s="83"/>
      <c r="U10" s="83"/>
      <c r="V10" s="83"/>
      <c r="W10" s="82"/>
      <c r="X10" s="75" t="s">
        <v>41</v>
      </c>
      <c r="Y10" s="83"/>
      <c r="Z10" s="83"/>
      <c r="AA10" s="83"/>
      <c r="AB10" s="83"/>
      <c r="AC10" s="82"/>
      <c r="AD10" s="75" t="s">
        <v>42</v>
      </c>
      <c r="AE10" s="83"/>
      <c r="AF10" s="83"/>
      <c r="AG10" s="83"/>
      <c r="AH10" s="83"/>
      <c r="AI10" s="83"/>
      <c r="AJ10" s="75" t="s">
        <v>43</v>
      </c>
      <c r="AK10" s="83"/>
      <c r="AL10" s="82"/>
      <c r="AM10" s="75" t="s">
        <v>44</v>
      </c>
      <c r="AN10" s="83"/>
      <c r="AO10" s="83"/>
      <c r="AP10" s="83"/>
      <c r="AQ10" s="75" t="s">
        <v>110</v>
      </c>
      <c r="AR10" s="83"/>
      <c r="AS10" s="82"/>
      <c r="AT10" s="84" t="s">
        <v>111</v>
      </c>
      <c r="AU10" s="85"/>
      <c r="AV10" s="86"/>
      <c r="AW10" s="45"/>
      <c r="AX10" s="45"/>
      <c r="AY10" s="45"/>
      <c r="AZ10" s="75"/>
      <c r="BA10" s="76"/>
    </row>
    <row r="11" spans="1:56" ht="72" x14ac:dyDescent="0.3">
      <c r="A11" s="32" t="s">
        <v>46</v>
      </c>
      <c r="B11" s="32" t="s">
        <v>47</v>
      </c>
      <c r="C11" s="32" t="s">
        <v>48</v>
      </c>
      <c r="D11" s="32" t="s">
        <v>39</v>
      </c>
      <c r="E11" s="32" t="s">
        <v>49</v>
      </c>
      <c r="F11" s="32" t="s">
        <v>50</v>
      </c>
      <c r="G11" s="32" t="s">
        <v>51</v>
      </c>
      <c r="H11" s="32" t="s">
        <v>52</v>
      </c>
      <c r="I11" s="32" t="s">
        <v>53</v>
      </c>
      <c r="J11" s="32" t="s">
        <v>54</v>
      </c>
      <c r="K11" s="32" t="s">
        <v>55</v>
      </c>
      <c r="L11" s="32" t="s">
        <v>56</v>
      </c>
      <c r="M11" s="32" t="s">
        <v>57</v>
      </c>
      <c r="N11" s="32" t="s">
        <v>58</v>
      </c>
      <c r="O11" s="32" t="s">
        <v>59</v>
      </c>
      <c r="P11" s="32" t="s">
        <v>60</v>
      </c>
      <c r="Q11" s="32" t="s">
        <v>61</v>
      </c>
      <c r="R11" s="32" t="s">
        <v>62</v>
      </c>
      <c r="S11" s="32" t="s">
        <v>63</v>
      </c>
      <c r="T11" s="32" t="s">
        <v>64</v>
      </c>
      <c r="U11" s="32" t="s">
        <v>65</v>
      </c>
      <c r="V11" s="32" t="s">
        <v>66</v>
      </c>
      <c r="W11" s="32" t="s">
        <v>67</v>
      </c>
      <c r="X11" s="32" t="s">
        <v>68</v>
      </c>
      <c r="Y11" s="33" t="s">
        <v>69</v>
      </c>
      <c r="Z11" s="34" t="s">
        <v>70</v>
      </c>
      <c r="AA11" s="34" t="s">
        <v>71</v>
      </c>
      <c r="AB11" s="34" t="s">
        <v>72</v>
      </c>
      <c r="AC11" s="33" t="s">
        <v>73</v>
      </c>
      <c r="AD11" s="32" t="s">
        <v>74</v>
      </c>
      <c r="AE11" s="33" t="s">
        <v>75</v>
      </c>
      <c r="AF11" s="34" t="s">
        <v>76</v>
      </c>
      <c r="AG11" s="34" t="s">
        <v>77</v>
      </c>
      <c r="AH11" s="34" t="s">
        <v>78</v>
      </c>
      <c r="AI11" s="35" t="s">
        <v>79</v>
      </c>
      <c r="AJ11" s="36" t="s">
        <v>80</v>
      </c>
      <c r="AK11" s="32" t="s">
        <v>81</v>
      </c>
      <c r="AL11" s="37" t="s">
        <v>82</v>
      </c>
      <c r="AM11" s="38" t="s">
        <v>83</v>
      </c>
      <c r="AN11" s="32" t="s">
        <v>84</v>
      </c>
      <c r="AO11" s="35" t="s">
        <v>85</v>
      </c>
      <c r="AP11" s="27" t="s">
        <v>102</v>
      </c>
      <c r="AQ11" s="5" t="s">
        <v>103</v>
      </c>
      <c r="AR11" s="35" t="s">
        <v>112</v>
      </c>
      <c r="AS11" s="46" t="s">
        <v>112</v>
      </c>
      <c r="AT11" s="5" t="s">
        <v>113</v>
      </c>
      <c r="AU11" s="35" t="s">
        <v>114</v>
      </c>
      <c r="AV11" s="35" t="s">
        <v>114</v>
      </c>
      <c r="AW11" s="35" t="s">
        <v>115</v>
      </c>
      <c r="AX11" s="47" t="s">
        <v>116</v>
      </c>
      <c r="AY11" s="48" t="s">
        <v>87</v>
      </c>
      <c r="AZ11" s="49" t="s">
        <v>88</v>
      </c>
      <c r="BA11" s="58" t="s">
        <v>89</v>
      </c>
    </row>
    <row r="12" spans="1:56" ht="14.4" x14ac:dyDescent="0.3">
      <c r="A12" s="28"/>
      <c r="B12" s="28"/>
      <c r="C12" s="28"/>
      <c r="D12" s="28"/>
      <c r="E12" s="28" t="s">
        <v>90</v>
      </c>
      <c r="F12" s="28" t="s">
        <v>90</v>
      </c>
      <c r="G12" s="28" t="s">
        <v>90</v>
      </c>
      <c r="H12" s="28" t="s">
        <v>91</v>
      </c>
      <c r="I12" s="28" t="s">
        <v>91</v>
      </c>
      <c r="J12" s="28" t="s">
        <v>91</v>
      </c>
      <c r="K12" s="28" t="s">
        <v>91</v>
      </c>
      <c r="L12" s="28"/>
      <c r="M12" s="28"/>
      <c r="N12" s="28"/>
      <c r="O12" s="28" t="s">
        <v>92</v>
      </c>
      <c r="P12" s="28"/>
      <c r="Q12" s="28"/>
      <c r="R12" s="28" t="s">
        <v>91</v>
      </c>
      <c r="S12" s="28" t="s">
        <v>91</v>
      </c>
      <c r="T12" s="28" t="s">
        <v>91</v>
      </c>
      <c r="U12" s="28" t="s">
        <v>91</v>
      </c>
      <c r="V12" s="28" t="s">
        <v>91</v>
      </c>
      <c r="W12" s="28" t="s">
        <v>91</v>
      </c>
      <c r="X12" s="28" t="s">
        <v>93</v>
      </c>
      <c r="Y12" s="28" t="s">
        <v>93</v>
      </c>
      <c r="Z12" s="28" t="s">
        <v>93</v>
      </c>
      <c r="AA12" s="28" t="s">
        <v>93</v>
      </c>
      <c r="AB12" s="28" t="s">
        <v>93</v>
      </c>
      <c r="AC12" s="28" t="s">
        <v>93</v>
      </c>
      <c r="AD12" s="28" t="s">
        <v>93</v>
      </c>
      <c r="AE12" s="28" t="s">
        <v>93</v>
      </c>
      <c r="AF12" s="28" t="s">
        <v>93</v>
      </c>
      <c r="AG12" s="28" t="s">
        <v>93</v>
      </c>
      <c r="AH12" s="28" t="s">
        <v>93</v>
      </c>
      <c r="AI12" s="28" t="s">
        <v>93</v>
      </c>
      <c r="AJ12" s="28" t="s">
        <v>93</v>
      </c>
      <c r="AK12" s="28" t="s">
        <v>93</v>
      </c>
      <c r="AL12" s="28" t="s">
        <v>93</v>
      </c>
      <c r="AM12" s="28" t="s">
        <v>93</v>
      </c>
      <c r="AN12" s="28" t="s">
        <v>93</v>
      </c>
      <c r="AO12" s="28" t="s">
        <v>93</v>
      </c>
      <c r="AP12" s="29" t="s">
        <v>94</v>
      </c>
      <c r="AQ12" s="30" t="s">
        <v>95</v>
      </c>
      <c r="AR12" s="31" t="s">
        <v>96</v>
      </c>
      <c r="AS12" s="31" t="s">
        <v>97</v>
      </c>
      <c r="AT12" s="30" t="s">
        <v>95</v>
      </c>
      <c r="AU12" s="31" t="s">
        <v>96</v>
      </c>
      <c r="AV12" s="31" t="s">
        <v>97</v>
      </c>
      <c r="AW12" s="31" t="s">
        <v>97</v>
      </c>
      <c r="AX12" s="50" t="s">
        <v>97</v>
      </c>
      <c r="AY12" s="51" t="s">
        <v>94</v>
      </c>
      <c r="AZ12" s="51" t="s">
        <v>94</v>
      </c>
      <c r="BA12" s="59"/>
    </row>
    <row r="13" spans="1:56" ht="14.4" x14ac:dyDescent="0.3">
      <c r="A13" t="s">
        <v>120</v>
      </c>
      <c r="B13">
        <v>2</v>
      </c>
      <c r="C13" s="2">
        <v>45034</v>
      </c>
      <c r="D13" s="11">
        <v>0.63541666666666663</v>
      </c>
      <c r="E13" s="15">
        <v>1025.4000000000001</v>
      </c>
      <c r="F13">
        <f>SUM(F14:F36)/(35-14)</f>
        <v>1212.7366666666667</v>
      </c>
      <c r="M13" t="s">
        <v>4</v>
      </c>
      <c r="O13">
        <v>774.83</v>
      </c>
      <c r="P13" s="3">
        <f>C13+D13</f>
        <v>45034.635416666664</v>
      </c>
      <c r="Q13" s="4">
        <f>P13-$P$13</f>
        <v>0</v>
      </c>
      <c r="S13">
        <v>0</v>
      </c>
      <c r="T13">
        <v>0.03</v>
      </c>
      <c r="U13">
        <v>21.9</v>
      </c>
      <c r="V13">
        <v>78.069999999999993</v>
      </c>
      <c r="W13">
        <f>SUM(S13:V13)</f>
        <v>100</v>
      </c>
      <c r="X13" s="6">
        <f>F13*100*$D$3/($D$1*$D$2)</f>
        <v>4.7814966959218337E-2</v>
      </c>
      <c r="Y13" s="6">
        <f t="shared" ref="Y13:Y36" si="0">X13*T13/100</f>
        <v>1.4344490087765499E-5</v>
      </c>
      <c r="Z13" s="6">
        <f>X13*S13/100</f>
        <v>0</v>
      </c>
      <c r="AA13" s="6">
        <f t="shared" ref="AA13:AA36" si="1">X13*U13/100</f>
        <v>1.0471477764068815E-2</v>
      </c>
      <c r="AB13" s="6">
        <f t="shared" ref="AB13:AB36" si="2">X13*V13/100</f>
        <v>3.7329144705061754E-2</v>
      </c>
      <c r="AC13" s="6">
        <f>Y13+Z13</f>
        <v>1.4344490087765499E-5</v>
      </c>
      <c r="AD13" s="6">
        <f>X13</f>
        <v>4.7814966959218337E-2</v>
      </c>
      <c r="AE13" s="6">
        <f>Y13</f>
        <v>1.4344490087765499E-5</v>
      </c>
      <c r="AF13" s="6">
        <f t="shared" ref="AF13:AI13" si="3">Z13</f>
        <v>0</v>
      </c>
      <c r="AG13" s="6">
        <f t="shared" si="3"/>
        <v>1.0471477764068815E-2</v>
      </c>
      <c r="AH13" s="6">
        <f t="shared" si="3"/>
        <v>3.7329144705061754E-2</v>
      </c>
      <c r="AI13" s="6">
        <f t="shared" si="3"/>
        <v>1.4344490087765499E-5</v>
      </c>
      <c r="AJ13" s="22">
        <f>AC13-AI13</f>
        <v>0</v>
      </c>
      <c r="AK13" s="6">
        <f>AA13-AG13</f>
        <v>0</v>
      </c>
      <c r="AL13" s="23">
        <f>Y13-AE13</f>
        <v>0</v>
      </c>
      <c r="AM13" s="6">
        <f>AK13</f>
        <v>0</v>
      </c>
      <c r="AN13" s="6">
        <f>AL13</f>
        <v>0</v>
      </c>
      <c r="AO13" s="6">
        <f>AJ13</f>
        <v>0</v>
      </c>
      <c r="AP13" s="19">
        <f>AO13*$D$4*1000/$D$6</f>
        <v>0</v>
      </c>
      <c r="AQ13">
        <f>F13*100*T13/100</f>
        <v>36.382100000000001</v>
      </c>
      <c r="AR13" s="6">
        <f>AQ13*$D$7</f>
        <v>0.19027838300000002</v>
      </c>
      <c r="AS13" s="6">
        <f>AR13*$D$5/1000</f>
        <v>1.8647281534000004E-5</v>
      </c>
      <c r="AT13" s="6">
        <f>G13*100*T13/100</f>
        <v>0</v>
      </c>
      <c r="AU13" s="6">
        <f>AT13*$D$7</f>
        <v>0</v>
      </c>
      <c r="AV13" s="6">
        <f>AU13*$D$5/1000</f>
        <v>0</v>
      </c>
      <c r="AW13" s="6">
        <f>AS13-AV13</f>
        <v>1.8647281534000004E-5</v>
      </c>
      <c r="AX13" s="52">
        <f>AW13</f>
        <v>1.8647281534000004E-5</v>
      </c>
      <c r="AY13" s="53">
        <f>(AX13*$D$4*1000/$D$6)</f>
        <v>1.4567450337916467E-3</v>
      </c>
      <c r="AZ13" s="54">
        <f>AP13</f>
        <v>0</v>
      </c>
      <c r="BA13" s="23">
        <v>0</v>
      </c>
    </row>
    <row r="14" spans="1:56" ht="14.4" x14ac:dyDescent="0.3">
      <c r="A14" t="s">
        <v>120</v>
      </c>
      <c r="B14">
        <v>2</v>
      </c>
      <c r="C14" s="2">
        <v>45035</v>
      </c>
      <c r="D14" s="11">
        <v>0.65972222222222221</v>
      </c>
      <c r="E14" s="15">
        <v>1022.5</v>
      </c>
      <c r="F14">
        <v>1138.2</v>
      </c>
      <c r="G14">
        <v>1135.8</v>
      </c>
      <c r="H14">
        <v>0.75</v>
      </c>
      <c r="I14">
        <v>6.92</v>
      </c>
      <c r="J14">
        <v>14.65</v>
      </c>
      <c r="K14">
        <v>75.930000000000007</v>
      </c>
      <c r="L14">
        <v>0</v>
      </c>
      <c r="N14" t="s">
        <v>99</v>
      </c>
      <c r="P14" s="3">
        <f t="shared" ref="P14:P36" si="4">C14+D14</f>
        <v>45035.659722222219</v>
      </c>
      <c r="Q14" s="4">
        <f t="shared" ref="Q14:Q36" si="5">P14-$P$13</f>
        <v>1.0243055555547471</v>
      </c>
      <c r="R14">
        <f>SUM(H14:K14)</f>
        <v>98.25</v>
      </c>
      <c r="S14">
        <f>H14 * 100/R14</f>
        <v>0.76335877862595425</v>
      </c>
      <c r="T14">
        <f>I14* 100/R14</f>
        <v>7.0432569974554706</v>
      </c>
      <c r="U14">
        <f>J14* 100/R14</f>
        <v>14.910941475826972</v>
      </c>
      <c r="V14">
        <f>K14* 100/R14</f>
        <v>77.282442748091611</v>
      </c>
      <c r="W14">
        <f>SUM(S14:V14)</f>
        <v>100</v>
      </c>
      <c r="X14" s="6">
        <f>F14*100*$D$3/($D$1*$D$2)</f>
        <v>4.4876185316116146E-2</v>
      </c>
      <c r="Y14" s="6">
        <f t="shared" si="0"/>
        <v>3.1607450624684345E-3</v>
      </c>
      <c r="Z14" s="6">
        <f t="shared" ref="Z14:Z36" si="6">X14*S14/100</f>
        <v>3.4256630012302408E-4</v>
      </c>
      <c r="AA14" s="6">
        <f t="shared" si="1"/>
        <v>6.6914617290697352E-3</v>
      </c>
      <c r="AB14" s="6">
        <f t="shared" si="2"/>
        <v>3.4681412224454956E-2</v>
      </c>
      <c r="AC14" s="6">
        <f>Y14+Z14</f>
        <v>3.5033113625914584E-3</v>
      </c>
      <c r="AD14" s="6">
        <f t="shared" ref="AD14:AD36" si="7">G14*100*$D$3/($D$1*$D$2)</f>
        <v>4.4781559727679422E-2</v>
      </c>
      <c r="AE14" s="6">
        <f t="shared" ref="AE14:AE36" si="8">AD14*T14/100</f>
        <v>3.1540803390894818E-3</v>
      </c>
      <c r="AF14" s="6">
        <f t="shared" ref="AF14:AF36" si="9">AD14*S14/100</f>
        <v>3.418439673868658E-4</v>
      </c>
      <c r="AG14" s="6">
        <f t="shared" ref="AG14:AG36" si="10">AD14*U14/100</f>
        <v>6.6773521629567793E-3</v>
      </c>
      <c r="AH14" s="6">
        <f t="shared" ref="AH14:AH36" si="11">AD14*V14/100</f>
        <v>3.4608283258246296E-2</v>
      </c>
      <c r="AI14" s="6">
        <f>AE14+AF14</f>
        <v>3.4959243064763479E-3</v>
      </c>
      <c r="AJ14" s="22">
        <f>AC14-AI13</f>
        <v>3.488966872503693E-3</v>
      </c>
      <c r="AK14">
        <f>(AA14-AG13)*-1</f>
        <v>3.7800160349990798E-3</v>
      </c>
      <c r="AL14" s="25">
        <f>Y14-AE13</f>
        <v>3.1464005723806691E-3</v>
      </c>
      <c r="AM14" s="6">
        <f>AK14+AM13</f>
        <v>3.7800160349990798E-3</v>
      </c>
      <c r="AN14" s="6">
        <f>AL14+AN13</f>
        <v>3.1464005723806691E-3</v>
      </c>
      <c r="AO14" s="6">
        <f>AJ14+AO13</f>
        <v>3.488966872503693E-3</v>
      </c>
      <c r="AP14" s="19">
        <f>AO14*$D$4*1000/$D$6</f>
        <v>0.2725617219494556</v>
      </c>
      <c r="AQ14">
        <f>F14*100*T14/100</f>
        <v>8016.635114503817</v>
      </c>
      <c r="AR14" s="6">
        <f>AQ14*$D$7</f>
        <v>41.927001648854969</v>
      </c>
      <c r="AS14" s="6">
        <f>AR14*$D$5/1000</f>
        <v>4.1088461615877876E-3</v>
      </c>
      <c r="AT14" s="6">
        <f t="shared" ref="AT14:AT36" si="12">G14*100*T14/100</f>
        <v>7999.7312977099236</v>
      </c>
      <c r="AU14" s="6">
        <f t="shared" ref="AU14:AU36" si="13">AT14*$D$7</f>
        <v>41.838594687022905</v>
      </c>
      <c r="AV14" s="6">
        <f t="shared" ref="AV14:AV36" si="14">AU14*$D$5/1000</f>
        <v>4.1001822793282454E-3</v>
      </c>
      <c r="AW14" s="6">
        <f>AS14-AV13</f>
        <v>4.1088461615877876E-3</v>
      </c>
      <c r="AX14" s="52">
        <f>AW14+AX13</f>
        <v>4.1274934431217878E-3</v>
      </c>
      <c r="AY14" s="53">
        <f t="shared" ref="AY14:AY36" si="15">(AX14*$D$4*1000/$D$6)</f>
        <v>0.32244408195972957</v>
      </c>
      <c r="AZ14" s="54">
        <f>AY14+AP14</f>
        <v>0.59500580390918523</v>
      </c>
      <c r="BA14" s="23">
        <f t="shared" ref="BA14:BA36" si="16">AK14/(AL14+AW14)</f>
        <v>0.52100447767011993</v>
      </c>
    </row>
    <row r="15" spans="1:56" ht="14.4" x14ac:dyDescent="0.3">
      <c r="A15" t="s">
        <v>120</v>
      </c>
      <c r="B15">
        <v>2</v>
      </c>
      <c r="C15" s="2">
        <v>45035</v>
      </c>
      <c r="D15" s="11">
        <v>0.74513888888888891</v>
      </c>
      <c r="E15" s="15">
        <v>1021.4</v>
      </c>
      <c r="F15">
        <v>1134.4000000000001</v>
      </c>
      <c r="G15">
        <v>1128.5</v>
      </c>
      <c r="H15">
        <v>0</v>
      </c>
      <c r="I15">
        <v>0.76</v>
      </c>
      <c r="J15">
        <v>20.52</v>
      </c>
      <c r="K15">
        <v>76.28</v>
      </c>
      <c r="L15">
        <v>1</v>
      </c>
      <c r="N15" t="s">
        <v>99</v>
      </c>
      <c r="O15">
        <v>774.64</v>
      </c>
      <c r="P15" s="3">
        <f t="shared" si="4"/>
        <v>45035.745138888888</v>
      </c>
      <c r="Q15" s="4">
        <f t="shared" si="5"/>
        <v>1.109722222223354</v>
      </c>
      <c r="R15">
        <f t="shared" ref="R15:R31" si="17">SUM(H15:K15)</f>
        <v>97.56</v>
      </c>
      <c r="S15">
        <f t="shared" ref="S15:S36" si="18">H15 * 100/R15</f>
        <v>0</v>
      </c>
      <c r="T15">
        <f t="shared" ref="T15:T36" si="19">I15* 100/R15</f>
        <v>0.77900779007790077</v>
      </c>
      <c r="U15">
        <f t="shared" ref="U15:U36" si="20">J15* 100/R15</f>
        <v>21.033210332103319</v>
      </c>
      <c r="V15">
        <f t="shared" ref="V15:V36" si="21">K15* 100/R15</f>
        <v>78.187781877818779</v>
      </c>
      <c r="W15">
        <f t="shared" ref="W15:W36" si="22">SUM(S15:V15)</f>
        <v>100</v>
      </c>
      <c r="X15" s="6">
        <f t="shared" ref="X15:X36" si="23">F15*100*$D$3/($D$1*$D$2)</f>
        <v>4.4726361467758005E-2</v>
      </c>
      <c r="Y15" s="6">
        <f t="shared" si="0"/>
        <v>3.4842184005223536E-4</v>
      </c>
      <c r="Z15" s="6">
        <f t="shared" si="6"/>
        <v>0</v>
      </c>
      <c r="AA15" s="6">
        <f t="shared" si="1"/>
        <v>9.4073896814103539E-3</v>
      </c>
      <c r="AB15" s="6">
        <f t="shared" si="2"/>
        <v>3.4970549946295414E-2</v>
      </c>
      <c r="AC15" s="6">
        <f t="shared" ref="AC15:AC28" si="24">Y15+Z15</f>
        <v>3.4842184005223536E-4</v>
      </c>
      <c r="AD15" s="6">
        <f t="shared" si="7"/>
        <v>4.4493740229517721E-2</v>
      </c>
      <c r="AE15" s="6">
        <f t="shared" si="8"/>
        <v>3.4660970248496793E-4</v>
      </c>
      <c r="AF15" s="6">
        <f t="shared" si="9"/>
        <v>0</v>
      </c>
      <c r="AG15" s="6">
        <f t="shared" si="10"/>
        <v>9.3584619670941324E-3</v>
      </c>
      <c r="AH15" s="6">
        <f t="shared" si="11"/>
        <v>3.4788668559938618E-2</v>
      </c>
      <c r="AI15" s="6">
        <f t="shared" ref="AI15:AI28" si="25">AE15+AF15</f>
        <v>3.4660970248496793E-4</v>
      </c>
      <c r="AJ15" s="22"/>
      <c r="AL15" s="25"/>
      <c r="AM15" s="6"/>
      <c r="AN15" s="6"/>
      <c r="AO15" s="6"/>
      <c r="AP15" s="19"/>
      <c r="AQ15">
        <f t="shared" ref="AQ15:AQ28" si="26">F15*100*T15/100</f>
        <v>883.70643706437068</v>
      </c>
      <c r="AR15" s="6">
        <f t="shared" ref="AR15:AR36" si="27">AQ15*$D$7</f>
        <v>4.6217846658466586</v>
      </c>
      <c r="AS15" s="6">
        <f t="shared" ref="AS15:AS36" si="28">AR15*$D$5/1000</f>
        <v>4.5293489725297255E-4</v>
      </c>
      <c r="AT15" s="6">
        <f t="shared" si="12"/>
        <v>879.11029110291099</v>
      </c>
      <c r="AU15" s="6">
        <f t="shared" si="13"/>
        <v>4.597746822468225</v>
      </c>
      <c r="AV15" s="6">
        <f t="shared" si="14"/>
        <v>4.5057918860188606E-4</v>
      </c>
      <c r="AW15" s="6">
        <f t="shared" ref="AW15:AW36" si="29">AS15-AV14</f>
        <v>-3.6472473820752726E-3</v>
      </c>
      <c r="AX15" s="52">
        <f t="shared" ref="AX15:AX36" si="30">AW15+AX14</f>
        <v>4.8024606104651521E-4</v>
      </c>
      <c r="AY15" s="53">
        <f t="shared" si="15"/>
        <v>3.7517321929843868E-2</v>
      </c>
      <c r="AZ15" s="54"/>
      <c r="BA15" s="23">
        <f t="shared" si="16"/>
        <v>0</v>
      </c>
    </row>
    <row r="16" spans="1:56" s="7" customFormat="1" ht="14.4" x14ac:dyDescent="0.3">
      <c r="A16" t="s">
        <v>120</v>
      </c>
      <c r="B16">
        <v>2</v>
      </c>
      <c r="C16" s="2">
        <v>45040</v>
      </c>
      <c r="D16" s="11">
        <v>0.45555555555555555</v>
      </c>
      <c r="E16" s="15">
        <v>1003.1</v>
      </c>
      <c r="F16">
        <v>1086</v>
      </c>
      <c r="G16">
        <v>1082.0999999999999</v>
      </c>
      <c r="H16">
        <v>0.1</v>
      </c>
      <c r="I16">
        <v>9.2100000000000009</v>
      </c>
      <c r="J16">
        <v>9.3699999999999992</v>
      </c>
      <c r="K16">
        <v>80.489999999999995</v>
      </c>
      <c r="L16">
        <v>0</v>
      </c>
      <c r="M16"/>
      <c r="N16" t="s">
        <v>99</v>
      </c>
      <c r="O16"/>
      <c r="P16" s="8">
        <f t="shared" si="4"/>
        <v>45040.455555555556</v>
      </c>
      <c r="Q16" s="9">
        <f t="shared" si="5"/>
        <v>5.820138888891961</v>
      </c>
      <c r="R16">
        <f t="shared" si="17"/>
        <v>99.169999999999987</v>
      </c>
      <c r="S16">
        <f t="shared" si="18"/>
        <v>0.10083694665725523</v>
      </c>
      <c r="T16">
        <f t="shared" si="19"/>
        <v>9.2870827871332082</v>
      </c>
      <c r="U16">
        <f t="shared" si="20"/>
        <v>9.4484219017848137</v>
      </c>
      <c r="V16">
        <f t="shared" si="21"/>
        <v>81.16365836442472</v>
      </c>
      <c r="W16">
        <f t="shared" si="22"/>
        <v>100</v>
      </c>
      <c r="X16" s="10">
        <f t="shared" si="23"/>
        <v>4.281807876761741E-2</v>
      </c>
      <c r="Y16" s="10">
        <f t="shared" si="0"/>
        <v>3.976550423008535E-3</v>
      </c>
      <c r="Z16" s="10">
        <f t="shared" si="6"/>
        <v>4.3176443246563891E-5</v>
      </c>
      <c r="AA16" s="10">
        <f t="shared" si="1"/>
        <v>4.0456327322030364E-3</v>
      </c>
      <c r="AB16" s="10">
        <f t="shared" si="2"/>
        <v>3.4752719169159271E-2</v>
      </c>
      <c r="AC16" s="10">
        <f t="shared" si="24"/>
        <v>4.0197268662550993E-3</v>
      </c>
      <c r="AD16" s="10">
        <f t="shared" si="7"/>
        <v>4.2664312186407725E-2</v>
      </c>
      <c r="AE16" s="10">
        <f t="shared" si="8"/>
        <v>3.9622699933126474E-3</v>
      </c>
      <c r="AF16" s="10">
        <f t="shared" si="9"/>
        <v>4.30213897210928E-5</v>
      </c>
      <c r="AG16" s="10">
        <f t="shared" si="10"/>
        <v>4.0311042168663944E-3</v>
      </c>
      <c r="AH16" s="10">
        <f t="shared" si="11"/>
        <v>3.4627916586507587E-2</v>
      </c>
      <c r="AI16" s="10">
        <f t="shared" si="25"/>
        <v>4.0052913830337404E-3</v>
      </c>
      <c r="AJ16" s="22">
        <f t="shared" ref="AJ16:AJ28" si="31">AC16-AI15</f>
        <v>3.6731171637701312E-3</v>
      </c>
      <c r="AK16">
        <f t="shared" ref="AK16:AK28" si="32">(AA16-AG15)*-1</f>
        <v>5.312829234891096E-3</v>
      </c>
      <c r="AL16" s="25">
        <f t="shared" ref="AL16:AL28" si="33">Y16-AE15</f>
        <v>3.6299407205235669E-3</v>
      </c>
      <c r="AM16" s="6">
        <f>AK16+AM14</f>
        <v>9.0928452698901749E-3</v>
      </c>
      <c r="AN16" s="6">
        <f>AL16+AN14</f>
        <v>6.7763412929042355E-3</v>
      </c>
      <c r="AO16" s="6">
        <f>AJ16+AO14</f>
        <v>7.1620840362738242E-3</v>
      </c>
      <c r="AP16" s="19">
        <f>AO16*$D$4*1000/$D$6</f>
        <v>0.55950945623988158</v>
      </c>
      <c r="AQ16" s="7">
        <f t="shared" si="26"/>
        <v>10085.771906826663</v>
      </c>
      <c r="AR16" s="10">
        <f t="shared" si="27"/>
        <v>52.748587072703451</v>
      </c>
      <c r="AS16" s="6">
        <f t="shared" si="28"/>
        <v>5.1693615331249382E-3</v>
      </c>
      <c r="AT16" s="6">
        <f t="shared" si="12"/>
        <v>10049.552283956842</v>
      </c>
      <c r="AU16" s="6">
        <f t="shared" si="13"/>
        <v>52.559158445094283</v>
      </c>
      <c r="AV16" s="6">
        <f t="shared" si="14"/>
        <v>5.1507975276192395E-3</v>
      </c>
      <c r="AW16" s="6">
        <f t="shared" si="29"/>
        <v>4.7187823445230519E-3</v>
      </c>
      <c r="AX16" s="52">
        <f t="shared" si="30"/>
        <v>5.1990284055695671E-3</v>
      </c>
      <c r="AY16" s="53">
        <f t="shared" si="15"/>
        <v>0.40615350803525696</v>
      </c>
      <c r="AZ16" s="54">
        <f t="shared" ref="AZ16:AZ35" si="34">AY16+AP16</f>
        <v>0.96566296427513854</v>
      </c>
      <c r="BA16" s="23">
        <f t="shared" si="16"/>
        <v>0.63636429110149539</v>
      </c>
      <c r="BB16"/>
      <c r="BC16"/>
      <c r="BD16"/>
    </row>
    <row r="17" spans="1:56" ht="14.4" x14ac:dyDescent="0.3">
      <c r="A17" t="s">
        <v>120</v>
      </c>
      <c r="B17">
        <v>2</v>
      </c>
      <c r="C17" s="2">
        <v>45040</v>
      </c>
      <c r="D17" s="11">
        <v>0.50694444444444442</v>
      </c>
      <c r="E17" s="15">
        <v>1003.9</v>
      </c>
      <c r="F17">
        <v>1108.8</v>
      </c>
      <c r="G17">
        <v>1105.8</v>
      </c>
      <c r="H17">
        <v>0</v>
      </c>
      <c r="I17">
        <v>0.78</v>
      </c>
      <c r="J17">
        <v>20.5</v>
      </c>
      <c r="K17">
        <v>76.22</v>
      </c>
      <c r="L17">
        <v>1</v>
      </c>
      <c r="N17" t="s">
        <v>99</v>
      </c>
      <c r="O17">
        <v>774.5</v>
      </c>
      <c r="P17" s="3">
        <f t="shared" si="4"/>
        <v>45040.506944444445</v>
      </c>
      <c r="Q17" s="4">
        <f t="shared" si="5"/>
        <v>5.8715277777810115</v>
      </c>
      <c r="R17">
        <f t="shared" si="17"/>
        <v>97.5</v>
      </c>
      <c r="S17">
        <f t="shared" si="18"/>
        <v>0</v>
      </c>
      <c r="T17">
        <f t="shared" si="19"/>
        <v>0.8</v>
      </c>
      <c r="U17">
        <f t="shared" si="20"/>
        <v>21.025641025641026</v>
      </c>
      <c r="V17">
        <f t="shared" si="21"/>
        <v>78.174358974358981</v>
      </c>
      <c r="W17">
        <f t="shared" si="22"/>
        <v>100</v>
      </c>
      <c r="X17" s="6">
        <f t="shared" si="23"/>
        <v>4.3717021857766283E-2</v>
      </c>
      <c r="Y17" s="6">
        <f t="shared" si="0"/>
        <v>3.4973617486213027E-4</v>
      </c>
      <c r="Z17" s="6">
        <f t="shared" si="6"/>
        <v>0</v>
      </c>
      <c r="AA17" s="6">
        <f t="shared" si="1"/>
        <v>9.1917840829149628E-3</v>
      </c>
      <c r="AB17" s="6">
        <f t="shared" si="2"/>
        <v>3.4175501599989194E-2</v>
      </c>
      <c r="AC17" s="6">
        <f t="shared" si="24"/>
        <v>3.4973617486213027E-4</v>
      </c>
      <c r="AD17" s="6">
        <f t="shared" si="7"/>
        <v>4.3598739872220377E-2</v>
      </c>
      <c r="AE17" s="6">
        <f t="shared" si="8"/>
        <v>3.4878991897776304E-4</v>
      </c>
      <c r="AF17" s="6">
        <f t="shared" si="9"/>
        <v>0</v>
      </c>
      <c r="AG17" s="6">
        <f t="shared" si="10"/>
        <v>9.1669145372360802E-3</v>
      </c>
      <c r="AH17" s="6">
        <f t="shared" si="11"/>
        <v>3.4083035416006539E-2</v>
      </c>
      <c r="AI17" s="6">
        <f t="shared" si="25"/>
        <v>3.4878991897776304E-4</v>
      </c>
      <c r="AJ17" s="22"/>
      <c r="AL17" s="25"/>
      <c r="AM17" s="6"/>
      <c r="AN17" s="6"/>
      <c r="AO17" s="6"/>
      <c r="AP17" s="19"/>
      <c r="AQ17">
        <f t="shared" si="26"/>
        <v>887.04</v>
      </c>
      <c r="AR17" s="6">
        <f t="shared" si="27"/>
        <v>4.6392192000000003</v>
      </c>
      <c r="AS17" s="6">
        <f t="shared" si="28"/>
        <v>4.5464348160000008E-4</v>
      </c>
      <c r="AT17" s="6">
        <f t="shared" si="12"/>
        <v>884.64</v>
      </c>
      <c r="AU17" s="6">
        <f t="shared" si="13"/>
        <v>4.6266672</v>
      </c>
      <c r="AV17" s="6">
        <f t="shared" si="14"/>
        <v>4.5341338560000001E-4</v>
      </c>
      <c r="AW17" s="6">
        <f t="shared" si="29"/>
        <v>-4.6961540460192398E-3</v>
      </c>
      <c r="AX17" s="52">
        <f t="shared" si="30"/>
        <v>5.0287435955032739E-4</v>
      </c>
      <c r="AY17" s="53">
        <f t="shared" si="15"/>
        <v>3.9285068151108347E-2</v>
      </c>
      <c r="AZ17" s="54"/>
      <c r="BA17" s="23">
        <f t="shared" si="16"/>
        <v>0</v>
      </c>
    </row>
    <row r="18" spans="1:56" s="7" customFormat="1" ht="14.4" x14ac:dyDescent="0.3">
      <c r="A18" t="s">
        <v>120</v>
      </c>
      <c r="B18">
        <v>2</v>
      </c>
      <c r="C18" s="2">
        <v>45042</v>
      </c>
      <c r="D18" s="11">
        <v>0.38958333333333334</v>
      </c>
      <c r="E18" s="15">
        <v>1017.1</v>
      </c>
      <c r="F18">
        <v>1098</v>
      </c>
      <c r="G18">
        <v>1093</v>
      </c>
      <c r="H18">
        <v>0</v>
      </c>
      <c r="I18">
        <v>4.0999999999999996</v>
      </c>
      <c r="J18">
        <v>17.100000000000001</v>
      </c>
      <c r="K18">
        <v>77.02</v>
      </c>
      <c r="L18">
        <v>0</v>
      </c>
      <c r="M18"/>
      <c r="N18" t="s">
        <v>99</v>
      </c>
      <c r="O18"/>
      <c r="P18" s="8">
        <f t="shared" si="4"/>
        <v>45042.38958333333</v>
      </c>
      <c r="Q18" s="9">
        <f t="shared" si="5"/>
        <v>7.7541666666656965</v>
      </c>
      <c r="R18">
        <f t="shared" si="17"/>
        <v>98.22</v>
      </c>
      <c r="S18">
        <f t="shared" si="18"/>
        <v>0</v>
      </c>
      <c r="T18">
        <f t="shared" si="19"/>
        <v>4.1743025860313576</v>
      </c>
      <c r="U18">
        <f t="shared" si="20"/>
        <v>17.409896151496643</v>
      </c>
      <c r="V18">
        <f t="shared" si="21"/>
        <v>78.415801262472002</v>
      </c>
      <c r="W18">
        <f t="shared" si="22"/>
        <v>100</v>
      </c>
      <c r="X18" s="10">
        <f t="shared" si="23"/>
        <v>4.3291206709801029E-2</v>
      </c>
      <c r="Y18" s="10">
        <f t="shared" si="0"/>
        <v>1.8071059612114048E-3</v>
      </c>
      <c r="Z18" s="10">
        <f t="shared" si="6"/>
        <v>0</v>
      </c>
      <c r="AA18" s="10">
        <f t="shared" si="1"/>
        <v>7.5369541309061065E-3</v>
      </c>
      <c r="AB18" s="10">
        <f t="shared" si="2"/>
        <v>3.394714661768352E-2</v>
      </c>
      <c r="AC18" s="10">
        <f t="shared" si="24"/>
        <v>1.8071059612114048E-3</v>
      </c>
      <c r="AD18" s="10">
        <f t="shared" si="7"/>
        <v>4.3094070067224523E-2</v>
      </c>
      <c r="AE18" s="10">
        <f t="shared" si="8"/>
        <v>1.7988768812423183E-3</v>
      </c>
      <c r="AF18" s="10">
        <f t="shared" si="9"/>
        <v>0</v>
      </c>
      <c r="AG18" s="10">
        <f t="shared" si="10"/>
        <v>7.5026328461569895E-3</v>
      </c>
      <c r="AH18" s="10">
        <f t="shared" si="11"/>
        <v>3.3792560339825216E-2</v>
      </c>
      <c r="AI18" s="10">
        <f t="shared" si="25"/>
        <v>1.7988768812423183E-3</v>
      </c>
      <c r="AJ18" s="22">
        <f t="shared" si="31"/>
        <v>1.4583160422336418E-3</v>
      </c>
      <c r="AK18">
        <f t="shared" si="32"/>
        <v>1.6299604063299738E-3</v>
      </c>
      <c r="AL18" s="25">
        <f t="shared" si="33"/>
        <v>1.4583160422336418E-3</v>
      </c>
      <c r="AM18" s="6">
        <f>AK18+AM16</f>
        <v>1.0722805676220148E-2</v>
      </c>
      <c r="AN18" s="6">
        <f>AL18+AN16</f>
        <v>8.2346573351378769E-3</v>
      </c>
      <c r="AO18" s="6">
        <f>AJ18+AO16</f>
        <v>8.6204000785074664E-3</v>
      </c>
      <c r="AP18" s="19">
        <f t="shared" ref="AP18:AP35" si="35">AO18*$D$4*1000/$D$6</f>
        <v>0.6734346226695882</v>
      </c>
      <c r="AQ18" s="7">
        <f t="shared" si="26"/>
        <v>4583.3842394624307</v>
      </c>
      <c r="AR18" s="10">
        <f t="shared" si="27"/>
        <v>23.971099572388514</v>
      </c>
      <c r="AS18" s="6">
        <f t="shared" si="28"/>
        <v>2.3491677580940746E-3</v>
      </c>
      <c r="AT18" s="6">
        <f t="shared" si="12"/>
        <v>4562.5127265322735</v>
      </c>
      <c r="AU18" s="6">
        <f t="shared" si="13"/>
        <v>23.861941559763792</v>
      </c>
      <c r="AV18" s="6">
        <f t="shared" si="14"/>
        <v>2.3384702728568517E-3</v>
      </c>
      <c r="AW18" s="6">
        <f t="shared" si="29"/>
        <v>1.8957543724940746E-3</v>
      </c>
      <c r="AX18" s="52">
        <f t="shared" si="30"/>
        <v>2.398628732044402E-3</v>
      </c>
      <c r="AY18" s="53">
        <f t="shared" si="15"/>
        <v>0.18738337204512096</v>
      </c>
      <c r="AZ18" s="54">
        <f t="shared" si="34"/>
        <v>0.86081799471470921</v>
      </c>
      <c r="BA18" s="23">
        <f t="shared" si="16"/>
        <v>0.48596487395518617</v>
      </c>
      <c r="BB18"/>
      <c r="BC18"/>
      <c r="BD18"/>
    </row>
    <row r="19" spans="1:56" ht="14.4" x14ac:dyDescent="0.3">
      <c r="A19" t="s">
        <v>120</v>
      </c>
      <c r="B19">
        <v>2</v>
      </c>
      <c r="C19" s="2">
        <v>45042</v>
      </c>
      <c r="D19" s="11">
        <v>0.43611111111111112</v>
      </c>
      <c r="E19" s="15">
        <v>1017.3</v>
      </c>
      <c r="F19">
        <v>1126</v>
      </c>
      <c r="G19">
        <v>1122.8</v>
      </c>
      <c r="H19">
        <v>0</v>
      </c>
      <c r="I19">
        <v>0.38</v>
      </c>
      <c r="J19">
        <v>20.67</v>
      </c>
      <c r="K19">
        <v>76.58</v>
      </c>
      <c r="L19">
        <v>1</v>
      </c>
      <c r="N19" t="s">
        <v>99</v>
      </c>
      <c r="O19">
        <v>774.35</v>
      </c>
      <c r="P19" s="3">
        <f t="shared" si="4"/>
        <v>45042.436111111114</v>
      </c>
      <c r="Q19" s="4">
        <f t="shared" si="5"/>
        <v>7.8006944444496185</v>
      </c>
      <c r="R19">
        <f t="shared" si="17"/>
        <v>97.63</v>
      </c>
      <c r="S19">
        <f t="shared" si="18"/>
        <v>0</v>
      </c>
      <c r="T19">
        <f t="shared" si="19"/>
        <v>0.38922462357881799</v>
      </c>
      <c r="U19">
        <f t="shared" si="20"/>
        <v>21.171770972037283</v>
      </c>
      <c r="V19">
        <f t="shared" si="21"/>
        <v>78.439004404383908</v>
      </c>
      <c r="W19">
        <f t="shared" si="22"/>
        <v>100.00000000000001</v>
      </c>
      <c r="X19" s="6">
        <f t="shared" si="23"/>
        <v>4.4395171908229468E-2</v>
      </c>
      <c r="Y19" s="6">
        <f t="shared" si="0"/>
        <v>1.7279694074697526E-4</v>
      </c>
      <c r="Z19" s="6">
        <f t="shared" si="6"/>
        <v>0</v>
      </c>
      <c r="AA19" s="6">
        <f t="shared" si="1"/>
        <v>9.3992441190525761E-3</v>
      </c>
      <c r="AB19" s="6">
        <f t="shared" si="2"/>
        <v>3.4823130848429924E-2</v>
      </c>
      <c r="AC19" s="6">
        <f t="shared" si="24"/>
        <v>1.7279694074697526E-4</v>
      </c>
      <c r="AD19" s="6">
        <f t="shared" si="7"/>
        <v>4.426900445698051E-2</v>
      </c>
      <c r="AE19" s="6">
        <f t="shared" si="8"/>
        <v>1.7230586595977257E-4</v>
      </c>
      <c r="AF19" s="6">
        <f t="shared" si="9"/>
        <v>0</v>
      </c>
      <c r="AG19" s="6">
        <f t="shared" si="10"/>
        <v>9.3725322352328916E-3</v>
      </c>
      <c r="AH19" s="6">
        <f t="shared" si="11"/>
        <v>3.4724166355787851E-2</v>
      </c>
      <c r="AI19" s="6">
        <f t="shared" si="25"/>
        <v>1.7230586595977257E-4</v>
      </c>
      <c r="AJ19" s="22"/>
      <c r="AL19" s="25"/>
      <c r="AM19" s="6"/>
      <c r="AN19" s="6"/>
      <c r="AO19" s="6"/>
      <c r="AP19" s="19"/>
      <c r="AQ19">
        <f t="shared" si="26"/>
        <v>438.26692614974905</v>
      </c>
      <c r="AR19" s="6">
        <f t="shared" si="27"/>
        <v>2.2921360237631876</v>
      </c>
      <c r="AS19" s="6">
        <f t="shared" si="28"/>
        <v>2.246293303287924E-4</v>
      </c>
      <c r="AT19" s="6">
        <f t="shared" si="12"/>
        <v>437.0214073542968</v>
      </c>
      <c r="AU19" s="6">
        <f t="shared" si="13"/>
        <v>2.2856219604629722</v>
      </c>
      <c r="AV19" s="6">
        <f t="shared" si="14"/>
        <v>2.2399095212537128E-4</v>
      </c>
      <c r="AW19" s="6">
        <f t="shared" si="29"/>
        <v>-2.1138409425280591E-3</v>
      </c>
      <c r="AX19" s="52">
        <f t="shared" si="30"/>
        <v>2.8478778951634282E-4</v>
      </c>
      <c r="AY19" s="53">
        <f t="shared" si="15"/>
        <v>2.2247918406015581E-2</v>
      </c>
      <c r="AZ19" s="54"/>
      <c r="BA19" s="23">
        <f t="shared" si="16"/>
        <v>0</v>
      </c>
    </row>
    <row r="20" spans="1:56" ht="14.4" x14ac:dyDescent="0.3">
      <c r="A20" t="s">
        <v>120</v>
      </c>
      <c r="B20">
        <v>2</v>
      </c>
      <c r="C20" s="2">
        <v>45044</v>
      </c>
      <c r="D20" s="11">
        <v>0.42083333333333334</v>
      </c>
      <c r="E20" s="15">
        <v>1007</v>
      </c>
      <c r="F20">
        <v>1112.2</v>
      </c>
      <c r="G20">
        <v>1109.4000000000001</v>
      </c>
      <c r="H20">
        <v>0</v>
      </c>
      <c r="I20">
        <v>2.91</v>
      </c>
      <c r="J20">
        <v>17.66</v>
      </c>
      <c r="K20">
        <v>78.55</v>
      </c>
      <c r="L20">
        <v>0</v>
      </c>
      <c r="N20" t="s">
        <v>99</v>
      </c>
      <c r="P20" s="3">
        <f t="shared" si="4"/>
        <v>45044.42083333333</v>
      </c>
      <c r="Q20" s="4">
        <f t="shared" si="5"/>
        <v>9.7854166666656965</v>
      </c>
      <c r="R20">
        <f t="shared" si="17"/>
        <v>99.12</v>
      </c>
      <c r="S20">
        <f t="shared" si="18"/>
        <v>0</v>
      </c>
      <c r="T20">
        <f t="shared" si="19"/>
        <v>2.935835351089588</v>
      </c>
      <c r="U20">
        <f t="shared" si="20"/>
        <v>17.81678773204197</v>
      </c>
      <c r="V20">
        <f t="shared" si="21"/>
        <v>79.247376916868433</v>
      </c>
      <c r="W20">
        <f t="shared" si="22"/>
        <v>99.999999999999986</v>
      </c>
      <c r="X20" s="6">
        <f t="shared" si="23"/>
        <v>4.3851074774718307E-2</v>
      </c>
      <c r="Y20" s="6">
        <f t="shared" si="0"/>
        <v>1.2873953550689092E-3</v>
      </c>
      <c r="Z20" s="6">
        <f t="shared" si="6"/>
        <v>0</v>
      </c>
      <c r="AA20" s="6">
        <f t="shared" si="1"/>
        <v>7.8128529108305624E-3</v>
      </c>
      <c r="AB20" s="6">
        <f t="shared" si="2"/>
        <v>3.4750826508818833E-2</v>
      </c>
      <c r="AC20" s="6">
        <f t="shared" si="24"/>
        <v>1.2873953550689092E-3</v>
      </c>
      <c r="AD20" s="6">
        <f t="shared" si="7"/>
        <v>4.3740678254875473E-2</v>
      </c>
      <c r="AE20" s="6">
        <f t="shared" si="8"/>
        <v>1.2841542950129906E-3</v>
      </c>
      <c r="AF20" s="6">
        <f t="shared" si="9"/>
        <v>0</v>
      </c>
      <c r="AG20" s="6">
        <f t="shared" si="10"/>
        <v>7.7931837972266028E-3</v>
      </c>
      <c r="AH20" s="6">
        <f t="shared" si="11"/>
        <v>3.4663340162635878E-2</v>
      </c>
      <c r="AI20" s="6">
        <f t="shared" si="25"/>
        <v>1.2841542950129906E-3</v>
      </c>
      <c r="AJ20" s="22">
        <f t="shared" si="31"/>
        <v>1.1150894891091365E-3</v>
      </c>
      <c r="AK20">
        <f t="shared" si="32"/>
        <v>1.5596793244023292E-3</v>
      </c>
      <c r="AL20" s="25">
        <f t="shared" si="33"/>
        <v>1.1150894891091365E-3</v>
      </c>
      <c r="AM20" s="6">
        <f>AK20+AM18</f>
        <v>1.2282485000622477E-2</v>
      </c>
      <c r="AN20" s="6">
        <f>AL20+AN18</f>
        <v>9.3497468242470134E-3</v>
      </c>
      <c r="AO20" s="6">
        <f>AJ20+AO18</f>
        <v>9.735489567616603E-3</v>
      </c>
      <c r="AP20" s="19">
        <f t="shared" si="35"/>
        <v>0.76054657368138545</v>
      </c>
      <c r="AQ20">
        <f t="shared" si="26"/>
        <v>3265.2360774818399</v>
      </c>
      <c r="AR20" s="6">
        <f t="shared" si="27"/>
        <v>17.077184685230023</v>
      </c>
      <c r="AS20" s="6">
        <f t="shared" si="28"/>
        <v>1.6735640991525423E-3</v>
      </c>
      <c r="AT20" s="6">
        <f t="shared" si="12"/>
        <v>3257.0157384987892</v>
      </c>
      <c r="AU20" s="6">
        <f t="shared" si="13"/>
        <v>17.034192312348669</v>
      </c>
      <c r="AV20" s="6">
        <f t="shared" si="14"/>
        <v>1.6693508466101696E-3</v>
      </c>
      <c r="AW20" s="6">
        <f t="shared" si="29"/>
        <v>1.449573147027171E-3</v>
      </c>
      <c r="AX20" s="52">
        <f t="shared" si="30"/>
        <v>1.7343609365435139E-3</v>
      </c>
      <c r="AY20" s="53">
        <f t="shared" si="15"/>
        <v>0.13549008076621408</v>
      </c>
      <c r="AZ20" s="54">
        <f t="shared" si="34"/>
        <v>0.8960366544475995</v>
      </c>
      <c r="BA20" s="23">
        <f t="shared" si="16"/>
        <v>0.60814210119737366</v>
      </c>
    </row>
    <row r="21" spans="1:56" ht="14.4" x14ac:dyDescent="0.3">
      <c r="A21" t="s">
        <v>120</v>
      </c>
      <c r="B21">
        <v>2</v>
      </c>
      <c r="C21" s="2">
        <v>45044</v>
      </c>
      <c r="D21" s="11">
        <v>0.42152777777777778</v>
      </c>
      <c r="E21">
        <f t="shared" ref="E21:K21" si="36">AVERAGE(E15,E17,E19,E23,E25,E27, E29, E31,E33,E36)</f>
        <v>1014.1200000000001</v>
      </c>
      <c r="F21">
        <f t="shared" si="36"/>
        <v>1121.5700000000002</v>
      </c>
      <c r="G21">
        <f t="shared" si="36"/>
        <v>1118.06</v>
      </c>
      <c r="H21">
        <f t="shared" si="36"/>
        <v>2.4E-2</v>
      </c>
      <c r="I21">
        <f t="shared" si="36"/>
        <v>0.45200000000000007</v>
      </c>
      <c r="J21">
        <f t="shared" si="36"/>
        <v>20.434000000000001</v>
      </c>
      <c r="K21">
        <f t="shared" si="36"/>
        <v>75.897999999999996</v>
      </c>
      <c r="L21">
        <f>AVERAGE(L15,L17,L19,L23,L25,L27, L29, L31,L33,L36)</f>
        <v>1</v>
      </c>
      <c r="N21" t="s">
        <v>99</v>
      </c>
      <c r="O21">
        <v>774.26</v>
      </c>
      <c r="P21" s="3">
        <f t="shared" si="4"/>
        <v>45044.421527777777</v>
      </c>
      <c r="Q21" s="4">
        <f t="shared" si="5"/>
        <v>9.7861111111124046</v>
      </c>
      <c r="R21">
        <f t="shared" ref="R21" si="37">SUM(H21:K21)</f>
        <v>96.807999999999993</v>
      </c>
      <c r="S21">
        <f t="shared" ref="S21" si="38">H21 * 100/R21</f>
        <v>2.4791339558714157E-2</v>
      </c>
      <c r="T21">
        <f t="shared" ref="T21" si="39">I21* 100/R21</f>
        <v>0.46690356168911673</v>
      </c>
      <c r="U21">
        <f t="shared" ref="U21" si="40">J21* 100/R21</f>
        <v>21.107759689281881</v>
      </c>
      <c r="V21">
        <f t="shared" ref="V21" si="41">K21* 100/R21</f>
        <v>78.400545409470297</v>
      </c>
      <c r="W21">
        <f t="shared" ref="W21" si="42">SUM(S21:V21)</f>
        <v>100</v>
      </c>
      <c r="X21" s="6">
        <f t="shared" ref="X21" si="43">F21*100*$D$3/($D$1*$D$2)</f>
        <v>4.4220508842906688E-2</v>
      </c>
      <c r="Y21" s="6">
        <f t="shared" ref="Y21" si="44">X21*T21/100</f>
        <v>2.0646713078458217E-4</v>
      </c>
      <c r="Z21" s="6">
        <f t="shared" ref="Z21" si="45">X21*S21/100</f>
        <v>1.0962856501836217E-5</v>
      </c>
      <c r="AA21" s="6">
        <f t="shared" ref="AA21" si="46">X21*U21/100</f>
        <v>9.3339587399383864E-3</v>
      </c>
      <c r="AB21" s="6">
        <f t="shared" ref="AB21" si="47">X21*V21/100</f>
        <v>3.4669120115681885E-2</v>
      </c>
      <c r="AC21" s="6">
        <f t="shared" ref="AC21" si="48">Y21+Z21</f>
        <v>2.1742998728641839E-4</v>
      </c>
      <c r="AD21" s="6">
        <f t="shared" ref="AD21" si="49">G21*100*$D$3/($D$1*$D$2)</f>
        <v>4.4082118919817975E-2</v>
      </c>
      <c r="AE21" s="6">
        <f t="shared" ref="AE21" si="50">AD21*T21/100</f>
        <v>2.0582098330466215E-4</v>
      </c>
      <c r="AF21" s="6">
        <f t="shared" ref="AF21" si="51">AD21*S21/100</f>
        <v>1.0928547786088251E-5</v>
      </c>
      <c r="AG21" s="6">
        <f t="shared" ref="AG21" si="52">AD21*U21/100</f>
        <v>9.3047477275386408E-3</v>
      </c>
      <c r="AH21" s="6">
        <f t="shared" ref="AH21" si="53">AD21*V21/100</f>
        <v>3.456062166118859E-2</v>
      </c>
      <c r="AI21" s="6">
        <f t="shared" ref="AI21" si="54">AE21+AF21</f>
        <v>2.1674953109075039E-4</v>
      </c>
      <c r="AJ21" s="22"/>
      <c r="AL21" s="25"/>
      <c r="AM21" s="6"/>
      <c r="AN21" s="6"/>
      <c r="AO21" s="6"/>
      <c r="AP21" s="19"/>
      <c r="AQ21">
        <f t="shared" ref="AQ21" si="55">F21*100*T21/100</f>
        <v>523.66502768366274</v>
      </c>
      <c r="AR21" s="6">
        <f t="shared" ref="AR21" si="56">AQ21*$D$7</f>
        <v>2.7387680947855562</v>
      </c>
      <c r="AS21" s="6">
        <f t="shared" ref="AS21" si="57">AR21*$D$5/1000</f>
        <v>2.6839927328898449E-4</v>
      </c>
      <c r="AT21" s="6">
        <f t="shared" ref="AT21" si="58">G21*100*T21/100</f>
        <v>522.02619618213384</v>
      </c>
      <c r="AU21" s="6">
        <f t="shared" ref="AU21" si="59">AT21*$D$7</f>
        <v>2.7301970060325602</v>
      </c>
      <c r="AV21" s="6">
        <f t="shared" ref="AV21" si="60">AU21*$D$5/1000</f>
        <v>2.6755930659119092E-4</v>
      </c>
      <c r="AW21" s="6">
        <f t="shared" ref="AW21" si="61">AS21-AV20</f>
        <v>-1.4009515733211851E-3</v>
      </c>
      <c r="AX21" s="52">
        <f t="shared" ref="AX21" si="62">AW21+AX20</f>
        <v>3.3340936322232874E-4</v>
      </c>
      <c r="AY21" s="53">
        <f t="shared" ref="AY21" si="63">(AX21*$D$4*1000/$D$6)</f>
        <v>2.6046286329092463E-2</v>
      </c>
      <c r="AZ21" s="54"/>
      <c r="BA21" s="23">
        <f t="shared" ref="BA21" si="64">AK21/(AL21+AW21)</f>
        <v>0</v>
      </c>
    </row>
    <row r="22" spans="1:56" s="7" customFormat="1" ht="14.4" x14ac:dyDescent="0.3">
      <c r="A22" t="s">
        <v>120</v>
      </c>
      <c r="B22">
        <v>2</v>
      </c>
      <c r="C22" s="2">
        <v>45047</v>
      </c>
      <c r="D22" s="11">
        <v>0.58958333333333335</v>
      </c>
      <c r="E22" s="15">
        <v>1013.2</v>
      </c>
      <c r="F22">
        <v>1089.5</v>
      </c>
      <c r="G22">
        <v>1085.8</v>
      </c>
      <c r="H22">
        <v>0</v>
      </c>
      <c r="I22">
        <v>3.85</v>
      </c>
      <c r="J22">
        <v>14.83</v>
      </c>
      <c r="K22">
        <v>79.59</v>
      </c>
      <c r="L22">
        <v>0</v>
      </c>
      <c r="M22"/>
      <c r="N22" t="s">
        <v>99</v>
      </c>
      <c r="O22"/>
      <c r="P22" s="8">
        <f t="shared" si="4"/>
        <v>45047.589583333334</v>
      </c>
      <c r="Q22" s="9">
        <f t="shared" si="5"/>
        <v>12.954166666670062</v>
      </c>
      <c r="R22">
        <f t="shared" si="17"/>
        <v>98.27000000000001</v>
      </c>
      <c r="S22">
        <f t="shared" si="18"/>
        <v>0</v>
      </c>
      <c r="T22">
        <f t="shared" si="19"/>
        <v>3.917777551643431</v>
      </c>
      <c r="U22">
        <f t="shared" si="20"/>
        <v>15.091075608018722</v>
      </c>
      <c r="V22">
        <f t="shared" si="21"/>
        <v>80.991146840337834</v>
      </c>
      <c r="W22">
        <f t="shared" si="22"/>
        <v>99.999999999999986</v>
      </c>
      <c r="X22" s="10">
        <f t="shared" si="23"/>
        <v>4.2956074417420963E-2</v>
      </c>
      <c r="Y22" s="10">
        <f t="shared" si="0"/>
        <v>1.6829234405929651E-3</v>
      </c>
      <c r="Z22" s="10">
        <f t="shared" si="6"/>
        <v>0</v>
      </c>
      <c r="AA22" s="10">
        <f t="shared" si="1"/>
        <v>6.482533668569785E-3</v>
      </c>
      <c r="AB22" s="10">
        <f t="shared" si="2"/>
        <v>3.4790617308258207E-2</v>
      </c>
      <c r="AC22" s="10">
        <f t="shared" si="24"/>
        <v>1.6829234405929651E-3</v>
      </c>
      <c r="AD22" s="10">
        <f t="shared" si="7"/>
        <v>4.2810193301914344E-2</v>
      </c>
      <c r="AE22" s="10">
        <f t="shared" si="8"/>
        <v>1.6772081429975599E-3</v>
      </c>
      <c r="AF22" s="10">
        <f t="shared" si="9"/>
        <v>0</v>
      </c>
      <c r="AG22" s="10">
        <f t="shared" si="10"/>
        <v>6.4605186391308604E-3</v>
      </c>
      <c r="AH22" s="10">
        <f t="shared" si="11"/>
        <v>3.4672466519785922E-2</v>
      </c>
      <c r="AI22" s="10">
        <f t="shared" si="25"/>
        <v>1.6772081429975599E-3</v>
      </c>
      <c r="AJ22" s="22">
        <f t="shared" ref="AJ22" si="65">AC22-AI21</f>
        <v>1.4661739095022147E-3</v>
      </c>
      <c r="AK22">
        <f t="shared" ref="AK22" si="66">(AA22-AG21)*-1</f>
        <v>2.8222140589688558E-3</v>
      </c>
      <c r="AL22" s="25">
        <f t="shared" ref="AL22" si="67">Y22-AE21</f>
        <v>1.477102457288303E-3</v>
      </c>
      <c r="AM22" s="6">
        <f t="shared" ref="AM22:AN22" si="68">AK22+AM20</f>
        <v>1.5104699059591333E-2</v>
      </c>
      <c r="AN22" s="6">
        <f t="shared" si="68"/>
        <v>1.0826849281535317E-2</v>
      </c>
      <c r="AO22" s="6">
        <f t="shared" ref="AO22" si="69">AJ22+AO20</f>
        <v>1.1201663477118817E-2</v>
      </c>
      <c r="AP22" s="19">
        <f t="shared" si="35"/>
        <v>0.8750856048773219</v>
      </c>
      <c r="AQ22" s="7">
        <f t="shared" si="26"/>
        <v>4268.4186425155176</v>
      </c>
      <c r="AR22" s="10">
        <f t="shared" si="27"/>
        <v>22.323829500356158</v>
      </c>
      <c r="AS22" s="6">
        <f t="shared" si="28"/>
        <v>2.1877352910349038E-3</v>
      </c>
      <c r="AT22" s="6">
        <f t="shared" si="12"/>
        <v>4253.9228655744373</v>
      </c>
      <c r="AU22" s="6">
        <f t="shared" si="13"/>
        <v>22.248016586954307</v>
      </c>
      <c r="AV22" s="6">
        <f t="shared" si="14"/>
        <v>2.1803056255215222E-3</v>
      </c>
      <c r="AW22" s="6">
        <f>AS22-AV21</f>
        <v>1.9201759844437128E-3</v>
      </c>
      <c r="AX22" s="52">
        <f>AW22+AX21</f>
        <v>2.2535853476660416E-3</v>
      </c>
      <c r="AY22" s="53">
        <f t="shared" si="15"/>
        <v>0.17605243195649425</v>
      </c>
      <c r="AZ22" s="54">
        <f t="shared" si="34"/>
        <v>1.0511380368338161</v>
      </c>
      <c r="BA22" s="23">
        <f t="shared" si="16"/>
        <v>0.83072792159185571</v>
      </c>
      <c r="BB22"/>
      <c r="BC22"/>
      <c r="BD22"/>
    </row>
    <row r="23" spans="1:56" ht="14.4" x14ac:dyDescent="0.3">
      <c r="A23" t="s">
        <v>120</v>
      </c>
      <c r="B23">
        <v>2</v>
      </c>
      <c r="C23" s="2">
        <v>45047</v>
      </c>
      <c r="D23" s="11">
        <v>0.63124999999999998</v>
      </c>
      <c r="E23" s="15">
        <v>1013.4</v>
      </c>
      <c r="F23">
        <v>1120.3</v>
      </c>
      <c r="G23">
        <v>1117</v>
      </c>
      <c r="H23">
        <v>0</v>
      </c>
      <c r="I23">
        <v>0.43</v>
      </c>
      <c r="J23">
        <v>20.61</v>
      </c>
      <c r="K23">
        <v>76.53</v>
      </c>
      <c r="L23">
        <v>1</v>
      </c>
      <c r="N23" t="s">
        <v>99</v>
      </c>
      <c r="O23">
        <v>774.17</v>
      </c>
      <c r="P23" s="3">
        <f t="shared" si="4"/>
        <v>45047.631249999999</v>
      </c>
      <c r="Q23" s="4">
        <f t="shared" si="5"/>
        <v>12.995833333334303</v>
      </c>
      <c r="R23">
        <f t="shared" si="17"/>
        <v>97.57</v>
      </c>
      <c r="S23">
        <f t="shared" si="18"/>
        <v>0</v>
      </c>
      <c r="T23">
        <f t="shared" si="19"/>
        <v>0.44070923439581844</v>
      </c>
      <c r="U23">
        <f t="shared" si="20"/>
        <v>21.123296095111204</v>
      </c>
      <c r="V23">
        <f t="shared" si="21"/>
        <v>78.435994670492988</v>
      </c>
      <c r="W23">
        <f t="shared" si="22"/>
        <v>100.00000000000001</v>
      </c>
      <c r="X23" s="6">
        <f t="shared" si="23"/>
        <v>4.417043613569225E-2</v>
      </c>
      <c r="Y23" s="6">
        <f t="shared" si="0"/>
        <v>1.9466319092290325E-4</v>
      </c>
      <c r="Z23" s="6">
        <f t="shared" si="6"/>
        <v>0</v>
      </c>
      <c r="AA23" s="6">
        <f t="shared" si="1"/>
        <v>9.3302520114442681E-3</v>
      </c>
      <c r="AB23" s="6">
        <f t="shared" si="2"/>
        <v>3.4645520933325083E-2</v>
      </c>
      <c r="AC23" s="6">
        <f t="shared" si="24"/>
        <v>1.9466319092290325E-4</v>
      </c>
      <c r="AD23" s="6">
        <f t="shared" si="7"/>
        <v>4.4040325951591755E-2</v>
      </c>
      <c r="AE23" s="6">
        <f t="shared" si="8"/>
        <v>1.9408978332668297E-4</v>
      </c>
      <c r="AF23" s="6">
        <f t="shared" si="9"/>
        <v>0</v>
      </c>
      <c r="AG23" s="6">
        <f t="shared" si="10"/>
        <v>9.3027684520068273E-3</v>
      </c>
      <c r="AH23" s="6">
        <f t="shared" si="11"/>
        <v>3.4543467716258248E-2</v>
      </c>
      <c r="AI23" s="6">
        <f t="shared" si="25"/>
        <v>1.9408978332668297E-4</v>
      </c>
      <c r="AJ23" s="22"/>
      <c r="AL23" s="25"/>
      <c r="AM23" s="6"/>
      <c r="AN23" s="6"/>
      <c r="AO23" s="6"/>
      <c r="AP23" s="19"/>
      <c r="AQ23">
        <f>F23*100*T23/100</f>
        <v>493.72655529363539</v>
      </c>
      <c r="AR23" s="6">
        <f>AQ23*$D$7</f>
        <v>2.5821898841857132</v>
      </c>
      <c r="AS23" s="6">
        <f t="shared" si="28"/>
        <v>2.5305460865019991E-4</v>
      </c>
      <c r="AT23" s="6">
        <f t="shared" si="12"/>
        <v>492.27221482012925</v>
      </c>
      <c r="AU23" s="6">
        <f t="shared" si="13"/>
        <v>2.5745836835092759</v>
      </c>
      <c r="AV23" s="6">
        <f t="shared" si="14"/>
        <v>2.5230920098390908E-4</v>
      </c>
      <c r="AW23" s="6">
        <f t="shared" si="29"/>
        <v>-1.9272510168713223E-3</v>
      </c>
      <c r="AX23" s="52">
        <f t="shared" si="30"/>
        <v>3.2633433079471926E-4</v>
      </c>
      <c r="AY23" s="53">
        <f t="shared" si="15"/>
        <v>2.5493577435088646E-2</v>
      </c>
      <c r="AZ23" s="54"/>
      <c r="BA23" s="23">
        <f t="shared" si="16"/>
        <v>0</v>
      </c>
    </row>
    <row r="24" spans="1:56" s="7" customFormat="1" ht="14.4" x14ac:dyDescent="0.3">
      <c r="A24" t="s">
        <v>120</v>
      </c>
      <c r="B24">
        <v>2</v>
      </c>
      <c r="C24" s="2">
        <v>45050</v>
      </c>
      <c r="D24" s="11">
        <v>0.42430555555555555</v>
      </c>
      <c r="E24" s="15">
        <v>1017.6</v>
      </c>
      <c r="F24">
        <v>1062.5999999999999</v>
      </c>
      <c r="G24">
        <v>1059.0999999999999</v>
      </c>
      <c r="H24">
        <v>0</v>
      </c>
      <c r="I24">
        <v>5.85</v>
      </c>
      <c r="J24">
        <v>11.27</v>
      </c>
      <c r="K24">
        <v>80.790000000000006</v>
      </c>
      <c r="L24">
        <v>0</v>
      </c>
      <c r="M24"/>
      <c r="N24" t="s">
        <v>99</v>
      </c>
      <c r="O24"/>
      <c r="P24" s="8">
        <f t="shared" si="4"/>
        <v>45050.424305555556</v>
      </c>
      <c r="Q24" s="9">
        <f t="shared" si="5"/>
        <v>15.788888888891961</v>
      </c>
      <c r="R24">
        <f t="shared" si="17"/>
        <v>97.91</v>
      </c>
      <c r="S24">
        <f t="shared" si="18"/>
        <v>0</v>
      </c>
      <c r="T24">
        <f t="shared" si="19"/>
        <v>5.9748748850985605</v>
      </c>
      <c r="U24">
        <f t="shared" si="20"/>
        <v>11.510570932489021</v>
      </c>
      <c r="V24">
        <f t="shared" si="21"/>
        <v>82.514554182412425</v>
      </c>
      <c r="W24">
        <f t="shared" si="22"/>
        <v>100</v>
      </c>
      <c r="X24" s="10">
        <f t="shared" si="23"/>
        <v>4.1895479280359353E-2</v>
      </c>
      <c r="Y24" s="10">
        <f t="shared" si="0"/>
        <v>2.5032024695138622E-3</v>
      </c>
      <c r="Z24" s="10">
        <f t="shared" si="6"/>
        <v>0</v>
      </c>
      <c r="AA24" s="10">
        <f t="shared" si="1"/>
        <v>4.8224088600720035E-3</v>
      </c>
      <c r="AB24" s="10">
        <f t="shared" si="2"/>
        <v>3.4569867950773492E-2</v>
      </c>
      <c r="AC24" s="10">
        <f t="shared" si="24"/>
        <v>2.5032024695138622E-3</v>
      </c>
      <c r="AD24" s="10">
        <f t="shared" si="7"/>
        <v>4.1757483630555793E-2</v>
      </c>
      <c r="AE24" s="10">
        <f t="shared" si="8"/>
        <v>2.4949574020912209E-3</v>
      </c>
      <c r="AF24" s="10">
        <f t="shared" si="9"/>
        <v>0</v>
      </c>
      <c r="AG24" s="10">
        <f t="shared" si="10"/>
        <v>4.8065247729176166E-3</v>
      </c>
      <c r="AH24" s="10">
        <f t="shared" si="11"/>
        <v>3.4456001455546961E-2</v>
      </c>
      <c r="AI24" s="10">
        <f t="shared" si="25"/>
        <v>2.4949574020912209E-3</v>
      </c>
      <c r="AJ24" s="22">
        <f t="shared" si="31"/>
        <v>2.3091126861871794E-3</v>
      </c>
      <c r="AK24">
        <f t="shared" si="32"/>
        <v>4.4803595919348238E-3</v>
      </c>
      <c r="AL24" s="25">
        <f t="shared" si="33"/>
        <v>2.3091126861871794E-3</v>
      </c>
      <c r="AM24" s="6">
        <f>AK24+AM22</f>
        <v>1.9585058651526155E-2</v>
      </c>
      <c r="AN24" s="6">
        <f>AL24+AN22</f>
        <v>1.3135961967722497E-2</v>
      </c>
      <c r="AO24" s="6">
        <f>AJ24+AO22</f>
        <v>1.3510776163305996E-2</v>
      </c>
      <c r="AP24" s="19">
        <f t="shared" si="35"/>
        <v>1.0554758902889079</v>
      </c>
      <c r="AQ24" s="7">
        <f t="shared" si="26"/>
        <v>6348.9020529057298</v>
      </c>
      <c r="AR24" s="10">
        <f t="shared" si="27"/>
        <v>33.204757736696969</v>
      </c>
      <c r="AS24" s="6">
        <f t="shared" si="28"/>
        <v>3.2540662581963028E-3</v>
      </c>
      <c r="AT24" s="6">
        <f t="shared" si="12"/>
        <v>6327.9899908078842</v>
      </c>
      <c r="AU24" s="6">
        <f t="shared" si="13"/>
        <v>33.095387651925236</v>
      </c>
      <c r="AV24" s="6">
        <f t="shared" si="14"/>
        <v>3.2433479898886734E-3</v>
      </c>
      <c r="AW24" s="6">
        <f t="shared" si="29"/>
        <v>3.0017570572123935E-3</v>
      </c>
      <c r="AX24" s="52">
        <f t="shared" si="30"/>
        <v>3.3280913880071126E-3</v>
      </c>
      <c r="AY24" s="53">
        <f t="shared" si="15"/>
        <v>0.25999396172811107</v>
      </c>
      <c r="AZ24" s="54">
        <f t="shared" si="34"/>
        <v>1.3154698520170189</v>
      </c>
      <c r="BA24" s="23">
        <f t="shared" si="16"/>
        <v>0.8436206889658856</v>
      </c>
      <c r="BB24"/>
      <c r="BC24"/>
      <c r="BD24"/>
    </row>
    <row r="25" spans="1:56" ht="14.4" x14ac:dyDescent="0.3">
      <c r="A25" t="s">
        <v>120</v>
      </c>
      <c r="B25">
        <v>2</v>
      </c>
      <c r="C25" s="2">
        <v>45050</v>
      </c>
      <c r="D25" s="11">
        <v>0.4604166666666667</v>
      </c>
      <c r="E25" s="15">
        <v>1017.1</v>
      </c>
      <c r="F25">
        <v>1123.0999999999999</v>
      </c>
      <c r="G25">
        <v>1119.3</v>
      </c>
      <c r="H25">
        <v>0</v>
      </c>
      <c r="I25">
        <v>0.43</v>
      </c>
      <c r="J25">
        <v>20.399999999999999</v>
      </c>
      <c r="K25">
        <v>75.87</v>
      </c>
      <c r="L25">
        <v>1</v>
      </c>
      <c r="N25" t="s">
        <v>99</v>
      </c>
      <c r="O25">
        <v>774.06</v>
      </c>
      <c r="P25" s="3">
        <f t="shared" si="4"/>
        <v>45050.460416666669</v>
      </c>
      <c r="Q25" s="4">
        <f t="shared" si="5"/>
        <v>15.825000000004366</v>
      </c>
      <c r="R25">
        <f t="shared" si="17"/>
        <v>96.7</v>
      </c>
      <c r="S25">
        <f t="shared" si="18"/>
        <v>0</v>
      </c>
      <c r="T25">
        <f t="shared" si="19"/>
        <v>0.44467425025853152</v>
      </c>
      <c r="U25">
        <f t="shared" si="20"/>
        <v>21.096173733195446</v>
      </c>
      <c r="V25">
        <f t="shared" si="21"/>
        <v>78.459152016546014</v>
      </c>
      <c r="W25">
        <f t="shared" si="22"/>
        <v>100</v>
      </c>
      <c r="X25" s="6">
        <f t="shared" si="23"/>
        <v>4.4280832655535091E-2</v>
      </c>
      <c r="Y25" s="6">
        <f t="shared" si="0"/>
        <v>1.9690546061923566E-4</v>
      </c>
      <c r="Z25" s="6">
        <f t="shared" si="6"/>
        <v>0</v>
      </c>
      <c r="AA25" s="6">
        <f t="shared" si="1"/>
        <v>9.3415613875172249E-3</v>
      </c>
      <c r="AB25" s="6">
        <f t="shared" si="2"/>
        <v>3.4742365807398624E-2</v>
      </c>
      <c r="AC25" s="6">
        <f t="shared" si="24"/>
        <v>1.9690546061923566E-4</v>
      </c>
      <c r="AD25" s="6">
        <f t="shared" si="7"/>
        <v>4.413100880717695E-2</v>
      </c>
      <c r="AE25" s="6">
        <f t="shared" si="8"/>
        <v>1.962392325448406E-4</v>
      </c>
      <c r="AF25" s="6">
        <f t="shared" si="9"/>
        <v>0</v>
      </c>
      <c r="AG25" s="6">
        <f t="shared" si="10"/>
        <v>9.3099542881738325E-3</v>
      </c>
      <c r="AH25" s="6">
        <f t="shared" si="11"/>
        <v>3.4624815286458277E-2</v>
      </c>
      <c r="AI25" s="6">
        <f t="shared" si="25"/>
        <v>1.962392325448406E-4</v>
      </c>
      <c r="AJ25" s="22"/>
      <c r="AL25" s="25"/>
      <c r="AM25" s="6"/>
      <c r="AN25" s="6"/>
      <c r="AO25" s="6"/>
      <c r="AP25" s="19"/>
      <c r="AQ25">
        <f t="shared" si="26"/>
        <v>499.41365046535668</v>
      </c>
      <c r="AR25" s="6">
        <f t="shared" si="27"/>
        <v>2.6119333919338157</v>
      </c>
      <c r="AS25" s="6">
        <f t="shared" si="28"/>
        <v>2.5596947240951395E-4</v>
      </c>
      <c r="AT25" s="6">
        <f t="shared" si="12"/>
        <v>497.72388831437434</v>
      </c>
      <c r="AU25" s="6">
        <f t="shared" si="13"/>
        <v>2.6030959358841779</v>
      </c>
      <c r="AV25" s="6">
        <f t="shared" si="14"/>
        <v>2.5510340171664943E-4</v>
      </c>
      <c r="AW25" s="6">
        <f t="shared" si="29"/>
        <v>-2.9873785174791595E-3</v>
      </c>
      <c r="AX25" s="52">
        <f t="shared" si="30"/>
        <v>3.4071287052795307E-4</v>
      </c>
      <c r="AY25" s="53">
        <f t="shared" si="15"/>
        <v>2.6616843918268681E-2</v>
      </c>
      <c r="AZ25" s="54"/>
      <c r="BA25" s="23">
        <f t="shared" si="16"/>
        <v>0</v>
      </c>
    </row>
    <row r="26" spans="1:56" s="7" customFormat="1" ht="14.4" x14ac:dyDescent="0.3">
      <c r="A26" t="s">
        <v>120</v>
      </c>
      <c r="B26">
        <v>2</v>
      </c>
      <c r="C26" s="2">
        <v>45054</v>
      </c>
      <c r="D26" s="11">
        <v>0.3888888888888889</v>
      </c>
      <c r="E26" s="15">
        <v>1018.6</v>
      </c>
      <c r="F26">
        <v>1032.8</v>
      </c>
      <c r="G26">
        <v>1031.5999999999999</v>
      </c>
      <c r="H26">
        <v>0</v>
      </c>
      <c r="I26">
        <v>8.58</v>
      </c>
      <c r="J26">
        <v>4.9000000000000004</v>
      </c>
      <c r="K26">
        <v>84.46</v>
      </c>
      <c r="L26">
        <v>0</v>
      </c>
      <c r="M26"/>
      <c r="N26" t="s">
        <v>99</v>
      </c>
      <c r="O26"/>
      <c r="P26" s="8">
        <f t="shared" si="4"/>
        <v>45054.388888888891</v>
      </c>
      <c r="Q26" s="9">
        <f t="shared" si="5"/>
        <v>19.753472222226264</v>
      </c>
      <c r="R26">
        <f t="shared" si="17"/>
        <v>97.94</v>
      </c>
      <c r="S26">
        <f t="shared" si="18"/>
        <v>0</v>
      </c>
      <c r="T26">
        <f t="shared" si="19"/>
        <v>8.7604655911782725</v>
      </c>
      <c r="U26">
        <f t="shared" si="20"/>
        <v>5.003063099857056</v>
      </c>
      <c r="V26">
        <f t="shared" si="21"/>
        <v>86.236471308964681</v>
      </c>
      <c r="W26">
        <f t="shared" si="22"/>
        <v>100.00000000000001</v>
      </c>
      <c r="X26" s="10">
        <f t="shared" si="23"/>
        <v>4.0720544890603373E-2</v>
      </c>
      <c r="Y26" s="10">
        <f t="shared" si="0"/>
        <v>3.5673093236816104E-3</v>
      </c>
      <c r="Z26" s="10">
        <f t="shared" si="6"/>
        <v>0</v>
      </c>
      <c r="AA26" s="10">
        <f t="shared" si="1"/>
        <v>2.037274555482505E-3</v>
      </c>
      <c r="AB26" s="10">
        <f t="shared" si="2"/>
        <v>3.511596101143926E-2</v>
      </c>
      <c r="AC26" s="10">
        <f t="shared" si="24"/>
        <v>3.5673093236816104E-3</v>
      </c>
      <c r="AD26" s="10">
        <f t="shared" si="7"/>
        <v>4.0673232096385001E-2</v>
      </c>
      <c r="AE26" s="10">
        <f t="shared" si="8"/>
        <v>3.563164502623885E-3</v>
      </c>
      <c r="AF26" s="10">
        <f t="shared" si="9"/>
        <v>0</v>
      </c>
      <c r="AG26" s="10">
        <f t="shared" si="10"/>
        <v>2.0349074665334545E-3</v>
      </c>
      <c r="AH26" s="10">
        <f t="shared" si="11"/>
        <v>3.5075160127227667E-2</v>
      </c>
      <c r="AI26" s="10">
        <f t="shared" si="25"/>
        <v>3.563164502623885E-3</v>
      </c>
      <c r="AJ26" s="22">
        <f t="shared" si="31"/>
        <v>3.3710700911367699E-3</v>
      </c>
      <c r="AK26">
        <f t="shared" si="32"/>
        <v>7.2726797326913275E-3</v>
      </c>
      <c r="AL26" s="25">
        <f t="shared" si="33"/>
        <v>3.3710700911367699E-3</v>
      </c>
      <c r="AM26" s="6">
        <f>AK26+AM24</f>
        <v>2.6857738384217483E-2</v>
      </c>
      <c r="AN26" s="6">
        <f>AL26+AN24</f>
        <v>1.6507032058859266E-2</v>
      </c>
      <c r="AO26" s="6">
        <f>AJ26+AO24</f>
        <v>1.6881846254442764E-2</v>
      </c>
      <c r="AP26" s="19">
        <f t="shared" si="35"/>
        <v>1.3188273930199141</v>
      </c>
      <c r="AQ26" s="7">
        <f t="shared" si="26"/>
        <v>9047.8088625689197</v>
      </c>
      <c r="AR26" s="10">
        <f>AQ26*$D$7</f>
        <v>47.320040351235455</v>
      </c>
      <c r="AS26" s="6">
        <f t="shared" si="28"/>
        <v>4.6373639544210754E-3</v>
      </c>
      <c r="AT26" s="6">
        <f t="shared" si="12"/>
        <v>9037.2963038595044</v>
      </c>
      <c r="AU26" s="6">
        <f t="shared" si="13"/>
        <v>47.265059669185213</v>
      </c>
      <c r="AV26" s="6">
        <f t="shared" si="14"/>
        <v>4.631975847580151E-3</v>
      </c>
      <c r="AW26" s="6">
        <f t="shared" si="29"/>
        <v>4.3822605527044263E-3</v>
      </c>
      <c r="AX26" s="52">
        <f t="shared" si="30"/>
        <v>4.7229734232323798E-3</v>
      </c>
      <c r="AY26" s="53">
        <f t="shared" si="15"/>
        <v>0.36896359753452207</v>
      </c>
      <c r="AZ26" s="54">
        <f t="shared" si="34"/>
        <v>1.6877909905544362</v>
      </c>
      <c r="BA26" s="23">
        <f t="shared" si="16"/>
        <v>0.93800716966305686</v>
      </c>
      <c r="BB26"/>
      <c r="BC26"/>
      <c r="BD26"/>
    </row>
    <row r="27" spans="1:56" ht="14.4" x14ac:dyDescent="0.3">
      <c r="A27" t="s">
        <v>120</v>
      </c>
      <c r="B27">
        <v>2</v>
      </c>
      <c r="C27" s="2">
        <v>45054</v>
      </c>
      <c r="D27" s="11">
        <v>0.42291666666666666</v>
      </c>
      <c r="E27" s="15">
        <v>1018.7</v>
      </c>
      <c r="F27">
        <v>1125.2</v>
      </c>
      <c r="G27">
        <v>1122.5</v>
      </c>
      <c r="H27">
        <v>0.11</v>
      </c>
      <c r="I27">
        <v>0.48</v>
      </c>
      <c r="J27">
        <v>20.18</v>
      </c>
      <c r="K27">
        <v>75.099999999999994</v>
      </c>
      <c r="L27">
        <v>1</v>
      </c>
      <c r="N27" t="s">
        <v>99</v>
      </c>
      <c r="O27">
        <v>774.03</v>
      </c>
      <c r="P27" s="3">
        <f t="shared" si="4"/>
        <v>45054.42291666667</v>
      </c>
      <c r="Q27" s="4">
        <f t="shared" si="5"/>
        <v>19.787500000005821</v>
      </c>
      <c r="R27">
        <f t="shared" si="17"/>
        <v>95.86999999999999</v>
      </c>
      <c r="S27">
        <f t="shared" si="18"/>
        <v>0.11473870866798791</v>
      </c>
      <c r="T27">
        <f t="shared" si="19"/>
        <v>0.50067800146031094</v>
      </c>
      <c r="U27">
        <f t="shared" si="20"/>
        <v>21.049337644727238</v>
      </c>
      <c r="V27">
        <f t="shared" si="21"/>
        <v>78.335245645144468</v>
      </c>
      <c r="W27">
        <f t="shared" si="22"/>
        <v>100</v>
      </c>
      <c r="X27" s="6">
        <f t="shared" si="23"/>
        <v>4.4363630045417227E-2</v>
      </c>
      <c r="Y27" s="6">
        <f t="shared" si="0"/>
        <v>2.2211893628664101E-4</v>
      </c>
      <c r="Z27" s="6">
        <f t="shared" si="6"/>
        <v>5.0902256232355227E-5</v>
      </c>
      <c r="AA27" s="6">
        <f t="shared" si="1"/>
        <v>9.3382502797175315E-3</v>
      </c>
      <c r="AB27" s="6">
        <f t="shared" si="2"/>
        <v>3.4752358573180701E-2</v>
      </c>
      <c r="AC27" s="6">
        <f t="shared" si="24"/>
        <v>2.7302119251899622E-4</v>
      </c>
      <c r="AD27" s="6">
        <f t="shared" si="7"/>
        <v>4.4257176258425915E-2</v>
      </c>
      <c r="AE27" s="6">
        <f t="shared" si="8"/>
        <v>2.215859455934541E-4</v>
      </c>
      <c r="AF27" s="6">
        <f t="shared" si="9"/>
        <v>5.0780112531833215E-5</v>
      </c>
      <c r="AG27" s="6">
        <f t="shared" si="10"/>
        <v>9.3158424626581318E-3</v>
      </c>
      <c r="AH27" s="6">
        <f t="shared" si="11"/>
        <v>3.4668967737642498E-2</v>
      </c>
      <c r="AI27" s="6">
        <f t="shared" si="25"/>
        <v>2.7236605812528731E-4</v>
      </c>
      <c r="AJ27" s="22"/>
      <c r="AL27" s="25"/>
      <c r="AM27" s="6"/>
      <c r="AN27" s="6"/>
      <c r="AO27" s="6"/>
      <c r="AP27" s="19"/>
      <c r="AQ27">
        <f t="shared" si="26"/>
        <v>563.36288724314193</v>
      </c>
      <c r="AR27" s="6">
        <f t="shared" si="27"/>
        <v>2.9463879002816324</v>
      </c>
      <c r="AS27" s="6">
        <f t="shared" si="28"/>
        <v>2.8874601422759999E-4</v>
      </c>
      <c r="AT27" s="6">
        <f t="shared" si="12"/>
        <v>562.01105663919907</v>
      </c>
      <c r="AU27" s="6">
        <f t="shared" si="13"/>
        <v>2.9393178262230113</v>
      </c>
      <c r="AV27" s="6">
        <f t="shared" si="14"/>
        <v>2.880531469698551E-4</v>
      </c>
      <c r="AW27" s="6">
        <f t="shared" si="29"/>
        <v>-4.3432298333525507E-3</v>
      </c>
      <c r="AX27" s="52">
        <f t="shared" si="30"/>
        <v>3.797435898798291E-4</v>
      </c>
      <c r="AY27" s="53">
        <f t="shared" si="15"/>
        <v>2.9665964321019658E-2</v>
      </c>
      <c r="AZ27" s="54"/>
      <c r="BA27" s="23">
        <f t="shared" si="16"/>
        <v>0</v>
      </c>
    </row>
    <row r="28" spans="1:56" s="7" customFormat="1" ht="14.4" x14ac:dyDescent="0.3">
      <c r="A28" t="s">
        <v>120</v>
      </c>
      <c r="B28">
        <v>2</v>
      </c>
      <c r="C28" s="2">
        <v>45056</v>
      </c>
      <c r="D28" s="11">
        <v>0.4145833333333333</v>
      </c>
      <c r="E28" s="15">
        <v>1007.7</v>
      </c>
      <c r="F28">
        <v>1105.8</v>
      </c>
      <c r="G28">
        <v>1102.7</v>
      </c>
      <c r="H28">
        <v>0</v>
      </c>
      <c r="I28">
        <v>4.04</v>
      </c>
      <c r="J28">
        <v>15.53</v>
      </c>
      <c r="K28">
        <v>77.760000000000005</v>
      </c>
      <c r="L28">
        <v>0</v>
      </c>
      <c r="M28"/>
      <c r="N28" t="s">
        <v>99</v>
      </c>
      <c r="O28"/>
      <c r="P28" s="8">
        <f t="shared" si="4"/>
        <v>45056.414583333331</v>
      </c>
      <c r="Q28" s="9">
        <f t="shared" si="5"/>
        <v>21.779166666667152</v>
      </c>
      <c r="R28">
        <f t="shared" si="17"/>
        <v>97.330000000000013</v>
      </c>
      <c r="S28">
        <f t="shared" si="18"/>
        <v>0</v>
      </c>
      <c r="T28">
        <f t="shared" si="19"/>
        <v>4.1508270831192844</v>
      </c>
      <c r="U28">
        <f t="shared" si="20"/>
        <v>15.956025891297646</v>
      </c>
      <c r="V28">
        <f t="shared" si="21"/>
        <v>79.893147025583062</v>
      </c>
      <c r="W28">
        <f t="shared" si="22"/>
        <v>100</v>
      </c>
      <c r="X28" s="10">
        <f t="shared" si="23"/>
        <v>4.3598739872220377E-2</v>
      </c>
      <c r="Y28" s="10">
        <f t="shared" si="0"/>
        <v>1.8097083025148495E-3</v>
      </c>
      <c r="Z28" s="10">
        <f t="shared" si="6"/>
        <v>0</v>
      </c>
      <c r="AA28" s="10">
        <f t="shared" si="1"/>
        <v>6.9566262222909934E-3</v>
      </c>
      <c r="AB28" s="10">
        <f t="shared" si="2"/>
        <v>3.4832405347414531E-2</v>
      </c>
      <c r="AC28" s="10">
        <f t="shared" si="24"/>
        <v>1.8097083025148495E-3</v>
      </c>
      <c r="AD28" s="10">
        <f t="shared" si="7"/>
        <v>4.3476515153822948E-2</v>
      </c>
      <c r="AE28" s="10">
        <f t="shared" si="8"/>
        <v>1.8046349658013428E-3</v>
      </c>
      <c r="AF28" s="10">
        <f t="shared" si="9"/>
        <v>0</v>
      </c>
      <c r="AG28" s="10">
        <f t="shared" si="10"/>
        <v>6.9371240145779346E-3</v>
      </c>
      <c r="AH28" s="10">
        <f t="shared" si="11"/>
        <v>3.4734756173443668E-2</v>
      </c>
      <c r="AI28" s="10">
        <f t="shared" si="25"/>
        <v>1.8046349658013428E-3</v>
      </c>
      <c r="AJ28" s="22">
        <f t="shared" si="31"/>
        <v>1.5373422443895621E-3</v>
      </c>
      <c r="AK28">
        <f t="shared" si="32"/>
        <v>2.3592162403671384E-3</v>
      </c>
      <c r="AL28" s="25">
        <f t="shared" si="33"/>
        <v>1.5881223569213954E-3</v>
      </c>
      <c r="AM28" s="6">
        <f>AK28+AM26</f>
        <v>2.9216954624584623E-2</v>
      </c>
      <c r="AN28" s="6">
        <f>AL28+AN26</f>
        <v>1.8095154415780662E-2</v>
      </c>
      <c r="AO28" s="6">
        <f>AJ28+AO26</f>
        <v>1.8419188498832326E-2</v>
      </c>
      <c r="AP28" s="19">
        <f t="shared" si="35"/>
        <v>1.4389261685797317</v>
      </c>
      <c r="AQ28" s="7">
        <f t="shared" si="26"/>
        <v>4589.9845885133045</v>
      </c>
      <c r="AR28" s="10">
        <f t="shared" si="27"/>
        <v>24.005619397924583</v>
      </c>
      <c r="AS28" s="6">
        <f t="shared" si="28"/>
        <v>2.352550700996609E-3</v>
      </c>
      <c r="AT28" s="6">
        <f t="shared" si="12"/>
        <v>4577.117024555635</v>
      </c>
      <c r="AU28" s="6">
        <f t="shared" si="13"/>
        <v>23.938322038425973</v>
      </c>
      <c r="AV28" s="6">
        <f t="shared" si="14"/>
        <v>2.3459555597657453E-3</v>
      </c>
      <c r="AW28" s="6">
        <f t="shared" si="29"/>
        <v>2.0644975540267539E-3</v>
      </c>
      <c r="AX28" s="52">
        <f t="shared" si="30"/>
        <v>2.444241143906583E-3</v>
      </c>
      <c r="AY28" s="53">
        <f t="shared" si="15"/>
        <v>0.19094666111427241</v>
      </c>
      <c r="AZ28" s="54">
        <f t="shared" si="34"/>
        <v>1.6298728296940042</v>
      </c>
      <c r="BA28" s="23">
        <f t="shared" si="16"/>
        <v>0.64589699938276124</v>
      </c>
      <c r="BB28"/>
      <c r="BC28"/>
      <c r="BD28"/>
    </row>
    <row r="29" spans="1:56" ht="15" customHeight="1" x14ac:dyDescent="0.3">
      <c r="A29" t="s">
        <v>120</v>
      </c>
      <c r="B29">
        <v>2</v>
      </c>
      <c r="C29" s="2">
        <v>45056</v>
      </c>
      <c r="D29" s="11">
        <v>0.44930555555555557</v>
      </c>
      <c r="E29" s="15">
        <v>1008.1</v>
      </c>
      <c r="F29">
        <v>1115.5</v>
      </c>
      <c r="G29">
        <v>1112.3</v>
      </c>
      <c r="H29">
        <v>0.13</v>
      </c>
      <c r="I29">
        <v>0.33</v>
      </c>
      <c r="J29">
        <v>20.3</v>
      </c>
      <c r="K29">
        <v>75.37</v>
      </c>
      <c r="L29">
        <v>1</v>
      </c>
      <c r="N29" t="s">
        <v>99</v>
      </c>
      <c r="O29">
        <v>773.95</v>
      </c>
      <c r="P29" s="3">
        <f t="shared" si="4"/>
        <v>45056.449305555558</v>
      </c>
      <c r="Q29" s="4">
        <f t="shared" si="5"/>
        <v>21.813888888893416</v>
      </c>
      <c r="R29">
        <f t="shared" si="17"/>
        <v>96.13000000000001</v>
      </c>
      <c r="S29">
        <f t="shared" si="18"/>
        <v>0.1352335379174035</v>
      </c>
      <c r="T29">
        <f t="shared" si="19"/>
        <v>0.34328513471340888</v>
      </c>
      <c r="U29">
        <f t="shared" si="20"/>
        <v>21.117237074794549</v>
      </c>
      <c r="V29">
        <f t="shared" si="21"/>
        <v>78.404244252574628</v>
      </c>
      <c r="W29">
        <f t="shared" si="22"/>
        <v>99.999999999999986</v>
      </c>
      <c r="X29" s="6">
        <f t="shared" si="23"/>
        <v>4.3981184958818809E-2</v>
      </c>
      <c r="Y29" s="6">
        <f t="shared" si="0"/>
        <v>1.5098087003443468E-4</v>
      </c>
      <c r="Z29" s="6">
        <f t="shared" si="6"/>
        <v>5.94773124378076E-5</v>
      </c>
      <c r="AA29" s="6">
        <f t="shared" si="1"/>
        <v>9.2876110960576491E-3</v>
      </c>
      <c r="AB29" s="6">
        <f t="shared" si="2"/>
        <v>3.4483115680288917E-2</v>
      </c>
      <c r="AC29" s="6">
        <f>Y29+Z29</f>
        <v>2.104581824722423E-4</v>
      </c>
      <c r="AD29" s="6">
        <f t="shared" si="7"/>
        <v>4.3855017507569836E-2</v>
      </c>
      <c r="AE29" s="6">
        <f t="shared" si="8"/>
        <v>1.5054775592945015E-4</v>
      </c>
      <c r="AF29" s="6">
        <f t="shared" si="9"/>
        <v>5.9306691729783395E-5</v>
      </c>
      <c r="AG29" s="6">
        <f t="shared" si="10"/>
        <v>9.2609680162661773E-3</v>
      </c>
      <c r="AH29" s="6">
        <f t="shared" si="11"/>
        <v>3.4384195043644421E-2</v>
      </c>
      <c r="AI29" s="6">
        <f>AE29+AF29</f>
        <v>2.0985444765923354E-4</v>
      </c>
      <c r="AJ29" s="22"/>
      <c r="AL29" s="25"/>
      <c r="AM29" s="6"/>
      <c r="AN29" s="6"/>
      <c r="AO29" s="6"/>
      <c r="AP29" s="19"/>
      <c r="AQ29">
        <f>F29*100*T29/100</f>
        <v>382.93456777280767</v>
      </c>
      <c r="AR29" s="6">
        <f t="shared" si="27"/>
        <v>2.0027477894517842</v>
      </c>
      <c r="AS29" s="6">
        <f t="shared" si="28"/>
        <v>1.9626928336627486E-4</v>
      </c>
      <c r="AT29" s="6">
        <f t="shared" si="12"/>
        <v>381.83605534172472</v>
      </c>
      <c r="AU29" s="6">
        <f t="shared" si="13"/>
        <v>1.9970025694372204</v>
      </c>
      <c r="AV29" s="6">
        <f t="shared" si="14"/>
        <v>1.9570625180484762E-4</v>
      </c>
      <c r="AW29" s="6">
        <f t="shared" si="29"/>
        <v>-2.1496862763994706E-3</v>
      </c>
      <c r="AX29" s="52">
        <f t="shared" si="30"/>
        <v>2.9455486750711241E-4</v>
      </c>
      <c r="AY29" s="53">
        <f t="shared" si="15"/>
        <v>2.3010932700177809E-2</v>
      </c>
      <c r="AZ29" s="54"/>
      <c r="BA29" s="23">
        <f t="shared" si="16"/>
        <v>0</v>
      </c>
    </row>
    <row r="30" spans="1:56" ht="15" customHeight="1" x14ac:dyDescent="0.3">
      <c r="A30" t="s">
        <v>120</v>
      </c>
      <c r="B30">
        <v>2</v>
      </c>
      <c r="C30" s="2">
        <v>45058</v>
      </c>
      <c r="D30" s="11">
        <v>0.39374999999999999</v>
      </c>
      <c r="E30" s="15">
        <v>1014.7</v>
      </c>
      <c r="F30">
        <v>1100.7</v>
      </c>
      <c r="G30">
        <v>1097.8</v>
      </c>
      <c r="H30">
        <v>0</v>
      </c>
      <c r="I30">
        <v>2.4500000000000002</v>
      </c>
      <c r="J30">
        <v>17.46</v>
      </c>
      <c r="K30">
        <v>76.75</v>
      </c>
      <c r="L30">
        <v>0</v>
      </c>
      <c r="N30" t="s">
        <v>99</v>
      </c>
      <c r="P30" s="8">
        <f t="shared" si="4"/>
        <v>45058.393750000003</v>
      </c>
      <c r="Q30" s="9">
        <f t="shared" si="5"/>
        <v>23.758333333338669</v>
      </c>
      <c r="R30">
        <f t="shared" si="17"/>
        <v>96.66</v>
      </c>
      <c r="S30">
        <f t="shared" si="18"/>
        <v>0</v>
      </c>
      <c r="T30">
        <f t="shared" si="19"/>
        <v>2.5346575625905237</v>
      </c>
      <c r="U30">
        <f t="shared" si="20"/>
        <v>18.063314711359403</v>
      </c>
      <c r="V30">
        <f t="shared" si="21"/>
        <v>79.402027726050079</v>
      </c>
      <c r="W30">
        <f t="shared" si="22"/>
        <v>100</v>
      </c>
      <c r="X30" s="6">
        <f t="shared" si="23"/>
        <v>4.3397660496792341E-2</v>
      </c>
      <c r="Y30" s="6">
        <f t="shared" si="0"/>
        <v>1.0999820837693072E-3</v>
      </c>
      <c r="Z30" s="6">
        <f t="shared" si="6"/>
        <v>0</v>
      </c>
      <c r="AA30" s="6">
        <f t="shared" si="1"/>
        <v>7.8390559929028998E-3</v>
      </c>
      <c r="AB30" s="6">
        <f t="shared" si="2"/>
        <v>3.4458622420120134E-2</v>
      </c>
      <c r="AC30" s="6">
        <f t="shared" ref="AC30:AC36" si="70">Y30+Z30</f>
        <v>1.0999820837693072E-3</v>
      </c>
      <c r="AD30" s="6">
        <f t="shared" si="7"/>
        <v>4.3283321244097971E-2</v>
      </c>
      <c r="AE30" s="6">
        <f t="shared" si="8"/>
        <v>1.09708397525388E-3</v>
      </c>
      <c r="AF30" s="6">
        <f t="shared" si="9"/>
        <v>0</v>
      </c>
      <c r="AG30" s="6">
        <f t="shared" si="10"/>
        <v>7.8184025338500981E-3</v>
      </c>
      <c r="AH30" s="6">
        <f t="shared" si="11"/>
        <v>3.4367834734993996E-2</v>
      </c>
      <c r="AI30" s="6">
        <f t="shared" ref="AI30:AI36" si="71">AE30+AF30</f>
        <v>1.09708397525388E-3</v>
      </c>
      <c r="AJ30" s="22">
        <f t="shared" ref="AJ30:AJ35" si="72">AC30-AI29</f>
        <v>8.9012763611007368E-4</v>
      </c>
      <c r="AK30">
        <f t="shared" ref="AK30:AK35" si="73">(AA30-AG29)*-1</f>
        <v>1.4219120233632775E-3</v>
      </c>
      <c r="AL30" s="25">
        <f t="shared" ref="AL30:AL35" si="74">Y30-AE29</f>
        <v>9.4943432783985713E-4</v>
      </c>
      <c r="AM30" s="6">
        <f>AK30+AM28</f>
        <v>3.0638866647947901E-2</v>
      </c>
      <c r="AN30" s="6">
        <f>AL30+AN28</f>
        <v>1.9044588743620521E-2</v>
      </c>
      <c r="AO30" s="6">
        <f>AJ30+AO28</f>
        <v>1.9309316134942401E-2</v>
      </c>
      <c r="AP30" s="19">
        <f t="shared" si="35"/>
        <v>1.5084638655882618</v>
      </c>
      <c r="AQ30">
        <f t="shared" ref="AQ30:AQ36" si="75">F30*100*T30/100</f>
        <v>2789.8975791433895</v>
      </c>
      <c r="AR30" s="6">
        <f t="shared" si="27"/>
        <v>14.591164338919928</v>
      </c>
      <c r="AS30" s="6">
        <f t="shared" si="28"/>
        <v>1.429934105214153E-3</v>
      </c>
      <c r="AT30" s="6">
        <f t="shared" si="12"/>
        <v>2782.5470722118771</v>
      </c>
      <c r="AU30" s="6">
        <f t="shared" si="13"/>
        <v>14.552721187668118</v>
      </c>
      <c r="AV30" s="6">
        <f t="shared" si="14"/>
        <v>1.4261666763914756E-3</v>
      </c>
      <c r="AW30" s="6">
        <f t="shared" si="29"/>
        <v>1.2342278534093055E-3</v>
      </c>
      <c r="AX30" s="52">
        <f t="shared" si="30"/>
        <v>1.5287827209164179E-3</v>
      </c>
      <c r="AY30" s="53">
        <f t="shared" si="15"/>
        <v>0.11943009668089417</v>
      </c>
      <c r="AZ30" s="54">
        <f t="shared" si="34"/>
        <v>1.6278939622691559</v>
      </c>
      <c r="BA30" s="23">
        <f t="shared" si="16"/>
        <v>0.65115933937632864</v>
      </c>
    </row>
    <row r="31" spans="1:56" ht="15" customHeight="1" x14ac:dyDescent="0.3">
      <c r="A31" t="s">
        <v>120</v>
      </c>
      <c r="B31">
        <v>2</v>
      </c>
      <c r="C31" s="2">
        <v>45058</v>
      </c>
      <c r="D31" s="11">
        <v>0.43124999999999997</v>
      </c>
      <c r="E31" s="15">
        <v>1014.9</v>
      </c>
      <c r="F31">
        <v>1123.8</v>
      </c>
      <c r="G31">
        <v>1120.3</v>
      </c>
      <c r="H31">
        <v>0</v>
      </c>
      <c r="I31">
        <v>0.28999999999999998</v>
      </c>
      <c r="J31">
        <v>20.329999999999998</v>
      </c>
      <c r="K31">
        <v>75.42</v>
      </c>
      <c r="L31">
        <v>1</v>
      </c>
      <c r="N31" t="s">
        <v>99</v>
      </c>
      <c r="O31">
        <v>773.85</v>
      </c>
      <c r="P31" s="3">
        <f t="shared" si="4"/>
        <v>45058.431250000001</v>
      </c>
      <c r="Q31" s="4">
        <f t="shared" si="5"/>
        <v>23.795833333337214</v>
      </c>
      <c r="R31">
        <f t="shared" si="17"/>
        <v>96.039999999999992</v>
      </c>
      <c r="S31">
        <f t="shared" si="18"/>
        <v>0</v>
      </c>
      <c r="T31">
        <f t="shared" si="19"/>
        <v>0.30195751770095791</v>
      </c>
      <c r="U31">
        <f t="shared" si="20"/>
        <v>21.168263223656808</v>
      </c>
      <c r="V31">
        <f t="shared" si="21"/>
        <v>78.529779258642236</v>
      </c>
      <c r="W31">
        <f t="shared" si="22"/>
        <v>100</v>
      </c>
      <c r="X31" s="10">
        <f t="shared" si="23"/>
        <v>4.4308431785495803E-2</v>
      </c>
      <c r="Y31" s="10">
        <f t="shared" si="0"/>
        <v>1.3379264075170534E-4</v>
      </c>
      <c r="Z31" s="10">
        <f t="shared" si="6"/>
        <v>0</v>
      </c>
      <c r="AA31" s="10">
        <f t="shared" si="1"/>
        <v>9.379325470628171E-3</v>
      </c>
      <c r="AB31" s="10">
        <f t="shared" si="2"/>
        <v>3.4795313674115931E-2</v>
      </c>
      <c r="AC31" s="10">
        <f t="shared" si="70"/>
        <v>1.3379264075170534E-4</v>
      </c>
      <c r="AD31" s="10">
        <f t="shared" si="7"/>
        <v>4.417043613569225E-2</v>
      </c>
      <c r="AE31" s="10">
        <f t="shared" si="8"/>
        <v>1.3337595251302324E-4</v>
      </c>
      <c r="AF31" s="10">
        <f t="shared" si="9"/>
        <v>0</v>
      </c>
      <c r="AG31" s="10">
        <f t="shared" si="10"/>
        <v>9.3501141882405599E-3</v>
      </c>
      <c r="AH31" s="10">
        <f t="shared" si="11"/>
        <v>3.468694599493867E-2</v>
      </c>
      <c r="AI31" s="10">
        <f t="shared" si="71"/>
        <v>1.3337595251302324E-4</v>
      </c>
      <c r="AJ31" s="22"/>
      <c r="AL31" s="25"/>
      <c r="AM31" s="6"/>
      <c r="AN31" s="6"/>
      <c r="AO31" s="6"/>
      <c r="AP31" s="19"/>
      <c r="AQ31" s="7">
        <f t="shared" si="75"/>
        <v>339.33985839233651</v>
      </c>
      <c r="AR31" s="10">
        <f t="shared" si="27"/>
        <v>1.7747474593919201</v>
      </c>
      <c r="AS31" s="6">
        <f t="shared" si="28"/>
        <v>1.7392525102040817E-4</v>
      </c>
      <c r="AT31" s="6">
        <f t="shared" si="12"/>
        <v>338.28300708038319</v>
      </c>
      <c r="AU31" s="6">
        <f t="shared" si="13"/>
        <v>1.7692201270304042</v>
      </c>
      <c r="AV31" s="6">
        <f t="shared" si="14"/>
        <v>1.7338357244897962E-4</v>
      </c>
      <c r="AW31" s="6">
        <f t="shared" si="29"/>
        <v>-1.2522414253710674E-3</v>
      </c>
      <c r="AX31" s="52">
        <f t="shared" si="30"/>
        <v>2.765412955453505E-4</v>
      </c>
      <c r="AY31" s="53">
        <f t="shared" si="15"/>
        <v>2.1603693717471454E-2</v>
      </c>
      <c r="AZ31" s="54"/>
      <c r="BA31" s="23">
        <f t="shared" si="16"/>
        <v>0</v>
      </c>
    </row>
    <row r="32" spans="1:56" ht="15" customHeight="1" x14ac:dyDescent="0.3">
      <c r="A32" t="s">
        <v>120</v>
      </c>
      <c r="B32">
        <v>2</v>
      </c>
      <c r="C32" s="2">
        <v>45061</v>
      </c>
      <c r="D32" s="11">
        <v>0.42152777777777778</v>
      </c>
      <c r="E32" s="15">
        <v>1012.7</v>
      </c>
      <c r="F32">
        <v>1104.5999999999999</v>
      </c>
      <c r="G32">
        <v>1101.7</v>
      </c>
      <c r="H32">
        <v>0</v>
      </c>
      <c r="I32">
        <v>2.5</v>
      </c>
      <c r="J32">
        <v>17.37</v>
      </c>
      <c r="K32">
        <v>79</v>
      </c>
      <c r="L32">
        <v>0</v>
      </c>
      <c r="N32" t="s">
        <v>99</v>
      </c>
      <c r="P32" s="8">
        <f t="shared" si="4"/>
        <v>45061.421527777777</v>
      </c>
      <c r="Q32" s="9">
        <f t="shared" si="5"/>
        <v>26.786111111112405</v>
      </c>
      <c r="R32">
        <f t="shared" ref="R32:R36" si="76">SUM(H32:K32)</f>
        <v>98.87</v>
      </c>
      <c r="S32">
        <f t="shared" si="18"/>
        <v>0</v>
      </c>
      <c r="T32">
        <f t="shared" si="19"/>
        <v>2.5285728734702131</v>
      </c>
      <c r="U32">
        <f t="shared" si="20"/>
        <v>17.568524324871042</v>
      </c>
      <c r="V32">
        <f t="shared" si="21"/>
        <v>79.90290280165874</v>
      </c>
      <c r="W32">
        <f t="shared" si="22"/>
        <v>100</v>
      </c>
      <c r="X32" s="6">
        <f t="shared" si="23"/>
        <v>4.3551427078002011E-2</v>
      </c>
      <c r="Y32" s="6">
        <f t="shared" si="0"/>
        <v>1.10122957110352E-3</v>
      </c>
      <c r="Z32" s="6">
        <f t="shared" si="6"/>
        <v>0</v>
      </c>
      <c r="AA32" s="6">
        <f t="shared" si="1"/>
        <v>7.6513430600272572E-3</v>
      </c>
      <c r="AB32" s="6">
        <f t="shared" si="2"/>
        <v>3.4798854446871232E-2</v>
      </c>
      <c r="AC32" s="6">
        <f t="shared" si="70"/>
        <v>1.10122957110352E-3</v>
      </c>
      <c r="AD32" s="6">
        <f t="shared" si="7"/>
        <v>4.3437087825307641E-2</v>
      </c>
      <c r="AE32" s="6">
        <f t="shared" si="8"/>
        <v>1.0983384197761617E-3</v>
      </c>
      <c r="AF32" s="6">
        <f t="shared" si="9"/>
        <v>0</v>
      </c>
      <c r="AG32" s="6">
        <f t="shared" si="10"/>
        <v>7.6312553406047709E-3</v>
      </c>
      <c r="AH32" s="6">
        <f t="shared" si="11"/>
        <v>3.4707494064926708E-2</v>
      </c>
      <c r="AI32" s="6">
        <f t="shared" si="71"/>
        <v>1.0983384197761617E-3</v>
      </c>
      <c r="AJ32" s="22">
        <f t="shared" si="72"/>
        <v>9.6785361859049672E-4</v>
      </c>
      <c r="AK32">
        <f t="shared" si="73"/>
        <v>1.6987711282133028E-3</v>
      </c>
      <c r="AL32" s="25">
        <f t="shared" si="74"/>
        <v>9.6785361859049672E-4</v>
      </c>
      <c r="AM32" s="6">
        <f>AK32+AM30</f>
        <v>3.2337637776161207E-2</v>
      </c>
      <c r="AN32" s="6">
        <f>AL32+AN30</f>
        <v>2.0012442362211016E-2</v>
      </c>
      <c r="AO32" s="6">
        <f>AJ32+AO30</f>
        <v>2.0277169753532897E-2</v>
      </c>
      <c r="AP32" s="19">
        <f t="shared" si="35"/>
        <v>1.5840735972131232</v>
      </c>
      <c r="AQ32">
        <f t="shared" si="75"/>
        <v>2793.061596035197</v>
      </c>
      <c r="AR32" s="6">
        <f t="shared" si="27"/>
        <v>14.607712147264081</v>
      </c>
      <c r="AS32" s="6">
        <f t="shared" si="28"/>
        <v>1.43155579043188E-3</v>
      </c>
      <c r="AT32" s="6">
        <f t="shared" si="12"/>
        <v>2785.7287347021338</v>
      </c>
      <c r="AU32" s="6">
        <f t="shared" si="13"/>
        <v>14.56936128249216</v>
      </c>
      <c r="AV32" s="6">
        <f t="shared" si="14"/>
        <v>1.4277974056842318E-3</v>
      </c>
      <c r="AW32" s="6">
        <f t="shared" si="29"/>
        <v>1.2581722179829005E-3</v>
      </c>
      <c r="AX32" s="52">
        <f t="shared" si="30"/>
        <v>1.534713513528251E-3</v>
      </c>
      <c r="AY32" s="53">
        <f t="shared" si="15"/>
        <v>0.11989341637003936</v>
      </c>
      <c r="AZ32" s="54">
        <f t="shared" si="34"/>
        <v>1.7039670135831626</v>
      </c>
      <c r="BA32" s="23">
        <f t="shared" si="16"/>
        <v>0.76314079571883275</v>
      </c>
    </row>
    <row r="33" spans="1:53" ht="15" customHeight="1" x14ac:dyDescent="0.3">
      <c r="A33" t="s">
        <v>120</v>
      </c>
      <c r="B33">
        <v>2</v>
      </c>
      <c r="C33" s="2">
        <v>45061</v>
      </c>
      <c r="D33" s="11">
        <v>0.45624999999999999</v>
      </c>
      <c r="E33" s="15">
        <v>1012.8</v>
      </c>
      <c r="F33">
        <v>1119.4000000000001</v>
      </c>
      <c r="G33">
        <v>1115.4000000000001</v>
      </c>
      <c r="H33">
        <v>0</v>
      </c>
      <c r="I33">
        <v>0.2</v>
      </c>
      <c r="J33">
        <v>20.53</v>
      </c>
      <c r="K33">
        <v>76.239999999999995</v>
      </c>
      <c r="L33">
        <v>1</v>
      </c>
      <c r="N33" t="s">
        <v>99</v>
      </c>
      <c r="O33">
        <v>773.76</v>
      </c>
      <c r="P33" s="3">
        <f t="shared" si="4"/>
        <v>45061.456250000003</v>
      </c>
      <c r="Q33" s="4">
        <f t="shared" si="5"/>
        <v>26.820833333338669</v>
      </c>
      <c r="R33">
        <f t="shared" si="76"/>
        <v>96.97</v>
      </c>
      <c r="S33">
        <f t="shared" si="18"/>
        <v>0</v>
      </c>
      <c r="T33">
        <f t="shared" si="19"/>
        <v>0.20624935547076415</v>
      </c>
      <c r="U33">
        <f t="shared" si="20"/>
        <v>21.17149633907394</v>
      </c>
      <c r="V33">
        <f t="shared" si="21"/>
        <v>78.622254305455286</v>
      </c>
      <c r="W33">
        <f t="shared" si="22"/>
        <v>99.999999999999986</v>
      </c>
      <c r="X33" s="10">
        <f t="shared" si="23"/>
        <v>4.4134951540028486E-2</v>
      </c>
      <c r="Y33" s="10">
        <f t="shared" si="0"/>
        <v>9.1028053088642853E-5</v>
      </c>
      <c r="Z33" s="10">
        <f t="shared" si="6"/>
        <v>0</v>
      </c>
      <c r="AA33" s="10">
        <f t="shared" si="1"/>
        <v>9.344029649549189E-3</v>
      </c>
      <c r="AB33" s="10">
        <f t="shared" si="2"/>
        <v>3.4699893837390652E-2</v>
      </c>
      <c r="AC33" s="10">
        <f t="shared" si="70"/>
        <v>9.1028053088642853E-5</v>
      </c>
      <c r="AD33" s="10">
        <f t="shared" si="7"/>
        <v>4.3977242225967279E-2</v>
      </c>
      <c r="AE33" s="10">
        <f t="shared" si="8"/>
        <v>9.0702778644874245E-5</v>
      </c>
      <c r="AF33" s="10">
        <f t="shared" si="9"/>
        <v>0</v>
      </c>
      <c r="AG33" s="10">
        <f t="shared" si="10"/>
        <v>9.3106402278963427E-3</v>
      </c>
      <c r="AH33" s="10">
        <f t="shared" si="11"/>
        <v>3.4575899219426061E-2</v>
      </c>
      <c r="AI33" s="10">
        <f t="shared" si="71"/>
        <v>9.0702778644874245E-5</v>
      </c>
      <c r="AJ33" s="22"/>
      <c r="AL33" s="25"/>
      <c r="AM33" s="6"/>
      <c r="AN33" s="6"/>
      <c r="AO33" s="6"/>
      <c r="AP33" s="19"/>
      <c r="AQ33" s="7">
        <f t="shared" si="75"/>
        <v>230.87552851397339</v>
      </c>
      <c r="AR33" s="10">
        <f t="shared" si="27"/>
        <v>1.2074790141280809</v>
      </c>
      <c r="AS33" s="6">
        <f t="shared" si="28"/>
        <v>1.1833294338455193E-4</v>
      </c>
      <c r="AT33" s="6">
        <f t="shared" si="12"/>
        <v>230.05053109209035</v>
      </c>
      <c r="AU33" s="6">
        <f t="shared" si="13"/>
        <v>1.2031642776116327</v>
      </c>
      <c r="AV33" s="6">
        <f t="shared" si="14"/>
        <v>1.1791009920594E-4</v>
      </c>
      <c r="AW33" s="6">
        <f t="shared" si="29"/>
        <v>-1.3094644622996799E-3</v>
      </c>
      <c r="AX33" s="52">
        <f t="shared" si="30"/>
        <v>2.2524905122857115E-4</v>
      </c>
      <c r="AY33" s="53">
        <f t="shared" si="15"/>
        <v>1.7596690227753238E-2</v>
      </c>
      <c r="AZ33" s="54"/>
      <c r="BA33" s="23">
        <f t="shared" si="16"/>
        <v>0</v>
      </c>
    </row>
    <row r="34" spans="1:53" ht="15" customHeight="1" x14ac:dyDescent="0.3">
      <c r="A34" t="s">
        <v>120</v>
      </c>
      <c r="B34">
        <v>2</v>
      </c>
      <c r="C34" s="2">
        <v>45063</v>
      </c>
      <c r="D34" s="11">
        <v>0.3840277777777778</v>
      </c>
      <c r="E34" s="15">
        <v>1025.3</v>
      </c>
      <c r="F34">
        <v>1109</v>
      </c>
      <c r="G34">
        <v>1106.5</v>
      </c>
      <c r="H34">
        <v>0</v>
      </c>
      <c r="I34">
        <v>1.71</v>
      </c>
      <c r="J34">
        <v>18.940000000000001</v>
      </c>
      <c r="K34">
        <v>78.52</v>
      </c>
      <c r="L34">
        <v>0</v>
      </c>
      <c r="N34" t="s">
        <v>99</v>
      </c>
      <c r="P34" s="3">
        <f t="shared" si="4"/>
        <v>45063.384027777778</v>
      </c>
      <c r="Q34" s="4">
        <f t="shared" si="5"/>
        <v>28.74861111111386</v>
      </c>
      <c r="R34">
        <f t="shared" si="76"/>
        <v>99.17</v>
      </c>
      <c r="S34">
        <f t="shared" si="18"/>
        <v>0</v>
      </c>
      <c r="T34">
        <f t="shared" si="19"/>
        <v>1.7243117878390641</v>
      </c>
      <c r="U34">
        <f t="shared" si="20"/>
        <v>19.098517696884141</v>
      </c>
      <c r="V34">
        <f t="shared" si="21"/>
        <v>79.177170515276799</v>
      </c>
      <c r="W34">
        <f t="shared" si="22"/>
        <v>100</v>
      </c>
      <c r="X34" s="10">
        <f t="shared" si="23"/>
        <v>4.3724907323469342E-2</v>
      </c>
      <c r="Y34" s="10">
        <f t="shared" si="0"/>
        <v>7.5395373120028806E-4</v>
      </c>
      <c r="Z34" s="10">
        <f t="shared" si="6"/>
        <v>0</v>
      </c>
      <c r="AA34" s="10">
        <f t="shared" si="1"/>
        <v>8.3508091631189826E-3</v>
      </c>
      <c r="AB34" s="10">
        <f t="shared" si="2"/>
        <v>3.4620144429150075E-2</v>
      </c>
      <c r="AC34" s="10">
        <f t="shared" si="70"/>
        <v>7.5395373120028806E-4</v>
      </c>
      <c r="AD34" s="10">
        <f t="shared" si="7"/>
        <v>4.3626339002181089E-2</v>
      </c>
      <c r="AE34" s="10">
        <f t="shared" si="8"/>
        <v>7.5225410601723964E-4</v>
      </c>
      <c r="AF34" s="10">
        <f t="shared" si="9"/>
        <v>0</v>
      </c>
      <c r="AG34" s="10">
        <f t="shared" si="10"/>
        <v>8.3319840748342228E-3</v>
      </c>
      <c r="AH34" s="10">
        <f t="shared" si="11"/>
        <v>3.4542100821329629E-2</v>
      </c>
      <c r="AI34" s="10">
        <f t="shared" si="71"/>
        <v>7.5225410601723964E-4</v>
      </c>
      <c r="AJ34" s="22">
        <f t="shared" si="72"/>
        <v>6.6325095255541377E-4</v>
      </c>
      <c r="AK34">
        <f t="shared" si="73"/>
        <v>9.5983106477736009E-4</v>
      </c>
      <c r="AL34" s="25">
        <f t="shared" si="74"/>
        <v>6.6325095255541377E-4</v>
      </c>
      <c r="AM34" s="6">
        <f>AK34+AM32</f>
        <v>3.3297468840938566E-2</v>
      </c>
      <c r="AN34" s="6">
        <f>AL34+AN32</f>
        <v>2.067569331476643E-2</v>
      </c>
      <c r="AO34" s="6">
        <f>AJ34+AO32</f>
        <v>2.0940420706088311E-2</v>
      </c>
      <c r="AP34" s="19">
        <f t="shared" si="35"/>
        <v>1.6358874516632214</v>
      </c>
      <c r="AQ34" s="7">
        <f t="shared" si="75"/>
        <v>1912.2617727135221</v>
      </c>
      <c r="AR34" s="10">
        <f t="shared" si="27"/>
        <v>10.001129071291722</v>
      </c>
      <c r="AS34" s="6">
        <f t="shared" si="28"/>
        <v>9.8011064898658883E-4</v>
      </c>
      <c r="AT34" s="6">
        <f t="shared" si="12"/>
        <v>1907.9509932439244</v>
      </c>
      <c r="AU34" s="6">
        <f t="shared" si="13"/>
        <v>9.9785836946657245</v>
      </c>
      <c r="AV34" s="6">
        <f t="shared" si="14"/>
        <v>9.77901202077241E-4</v>
      </c>
      <c r="AW34" s="6">
        <f t="shared" si="29"/>
        <v>8.6220054978064877E-4</v>
      </c>
      <c r="AX34" s="52">
        <f t="shared" si="30"/>
        <v>1.0874496010092199E-3</v>
      </c>
      <c r="AY34" s="53">
        <f t="shared" si="15"/>
        <v>8.4952694197301476E-2</v>
      </c>
      <c r="AZ34" s="54">
        <f t="shared" si="34"/>
        <v>1.7208401458605229</v>
      </c>
      <c r="BA34" s="23">
        <f t="shared" si="16"/>
        <v>0.62921113080781887</v>
      </c>
    </row>
    <row r="35" spans="1:53" ht="15" customHeight="1" x14ac:dyDescent="0.3">
      <c r="A35" t="s">
        <v>120</v>
      </c>
      <c r="B35">
        <v>2</v>
      </c>
      <c r="C35" s="2">
        <v>45068</v>
      </c>
      <c r="D35" s="11">
        <v>0.60416666666666663</v>
      </c>
      <c r="E35" s="15">
        <v>1013.3</v>
      </c>
      <c r="F35">
        <v>1090.8</v>
      </c>
      <c r="G35">
        <v>1089.5999999999999</v>
      </c>
      <c r="H35">
        <v>0</v>
      </c>
      <c r="I35">
        <v>3.82</v>
      </c>
      <c r="J35">
        <v>14.29</v>
      </c>
      <c r="K35">
        <v>80.19</v>
      </c>
      <c r="L35">
        <v>0</v>
      </c>
      <c r="N35" t="s">
        <v>99</v>
      </c>
      <c r="P35" s="3">
        <f t="shared" si="4"/>
        <v>45068.604166666664</v>
      </c>
      <c r="Q35" s="4">
        <f t="shared" si="5"/>
        <v>33.96875</v>
      </c>
      <c r="R35">
        <f t="shared" si="76"/>
        <v>98.3</v>
      </c>
      <c r="S35">
        <f t="shared" si="18"/>
        <v>0</v>
      </c>
      <c r="T35">
        <f t="shared" si="19"/>
        <v>3.8860630722278739</v>
      </c>
      <c r="U35">
        <f t="shared" si="20"/>
        <v>14.537131230925738</v>
      </c>
      <c r="V35">
        <f t="shared" si="21"/>
        <v>81.576805696846392</v>
      </c>
      <c r="W35">
        <f t="shared" si="22"/>
        <v>100</v>
      </c>
      <c r="X35" s="10">
        <f t="shared" si="23"/>
        <v>4.3007329944490857E-2</v>
      </c>
      <c r="Y35" s="10">
        <f t="shared" si="0"/>
        <v>1.6712919673240597E-3</v>
      </c>
      <c r="Z35" s="10">
        <f t="shared" si="6"/>
        <v>0</v>
      </c>
      <c r="AA35" s="10">
        <f t="shared" si="1"/>
        <v>6.2520319929478575E-3</v>
      </c>
      <c r="AB35" s="10">
        <f t="shared" si="2"/>
        <v>3.5084005984218944E-2</v>
      </c>
      <c r="AC35" s="10">
        <f t="shared" si="70"/>
        <v>1.6712919673240597E-3</v>
      </c>
      <c r="AD35" s="10">
        <f t="shared" si="7"/>
        <v>4.2960017150272492E-2</v>
      </c>
      <c r="AE35" s="10">
        <f t="shared" si="8"/>
        <v>1.6694533622995009E-3</v>
      </c>
      <c r="AF35" s="10">
        <f t="shared" si="9"/>
        <v>0</v>
      </c>
      <c r="AG35" s="10">
        <f t="shared" si="10"/>
        <v>6.2451540699633157E-3</v>
      </c>
      <c r="AH35" s="10">
        <f t="shared" si="11"/>
        <v>3.5045409718009679E-2</v>
      </c>
      <c r="AI35" s="10">
        <f t="shared" si="71"/>
        <v>1.6694533622995009E-3</v>
      </c>
      <c r="AJ35" s="22">
        <f t="shared" si="72"/>
        <v>9.1903786130682007E-4</v>
      </c>
      <c r="AK35">
        <f t="shared" si="73"/>
        <v>2.0799520818863652E-3</v>
      </c>
      <c r="AL35" s="25">
        <f t="shared" si="74"/>
        <v>9.1903786130682007E-4</v>
      </c>
      <c r="AM35" s="6">
        <f t="shared" ref="AM35:AN35" si="77">AK35+AM34</f>
        <v>3.5377420922824934E-2</v>
      </c>
      <c r="AN35" s="6">
        <f t="shared" si="77"/>
        <v>2.1594731176073249E-2</v>
      </c>
      <c r="AO35" s="6">
        <f t="shared" ref="AO35" si="78">AJ35+AO34</f>
        <v>2.1859458567395129E-2</v>
      </c>
      <c r="AP35" s="19">
        <f t="shared" si="35"/>
        <v>1.7076836455418911</v>
      </c>
      <c r="AQ35" s="7">
        <f t="shared" si="75"/>
        <v>4238.9175991861648</v>
      </c>
      <c r="AR35" s="10">
        <f t="shared" si="27"/>
        <v>22.169539043743644</v>
      </c>
      <c r="AS35" s="6">
        <f t="shared" si="28"/>
        <v>2.1726148262868768E-3</v>
      </c>
      <c r="AT35" s="6">
        <f t="shared" si="12"/>
        <v>4234.254323499491</v>
      </c>
      <c r="AU35" s="6">
        <f t="shared" si="13"/>
        <v>22.145150111902339</v>
      </c>
      <c r="AV35" s="6">
        <f t="shared" si="14"/>
        <v>2.1702247109664295E-3</v>
      </c>
      <c r="AW35" s="6">
        <f t="shared" si="29"/>
        <v>1.1947136242096358E-3</v>
      </c>
      <c r="AX35" s="52">
        <f t="shared" si="30"/>
        <v>2.282163225218856E-3</v>
      </c>
      <c r="AY35" s="53">
        <f t="shared" si="15"/>
        <v>0.17828496548292072</v>
      </c>
      <c r="AZ35" s="54">
        <f t="shared" si="34"/>
        <v>1.8859686110248117</v>
      </c>
      <c r="BA35" s="23">
        <f t="shared" si="16"/>
        <v>0.98400975523296574</v>
      </c>
    </row>
    <row r="36" spans="1:53" ht="15" customHeight="1" x14ac:dyDescent="0.3">
      <c r="A36" t="s">
        <v>120</v>
      </c>
      <c r="B36">
        <v>2</v>
      </c>
      <c r="C36" s="2">
        <v>45068</v>
      </c>
      <c r="D36" s="11">
        <v>0.64513888888888882</v>
      </c>
      <c r="E36" s="15">
        <v>1013.6</v>
      </c>
      <c r="F36">
        <v>1119.2</v>
      </c>
      <c r="G36">
        <v>1116.7</v>
      </c>
      <c r="H36">
        <v>0</v>
      </c>
      <c r="I36">
        <v>0.44</v>
      </c>
      <c r="J36">
        <v>20.3</v>
      </c>
      <c r="K36">
        <v>75.37</v>
      </c>
      <c r="L36">
        <v>1</v>
      </c>
      <c r="N36" t="s">
        <v>99</v>
      </c>
      <c r="O36">
        <v>773.66</v>
      </c>
      <c r="P36" s="3">
        <f t="shared" si="4"/>
        <v>45068.645138888889</v>
      </c>
      <c r="Q36" s="4">
        <f t="shared" si="5"/>
        <v>34.009722222224809</v>
      </c>
      <c r="R36">
        <f t="shared" si="76"/>
        <v>96.110000000000014</v>
      </c>
      <c r="S36">
        <f t="shared" si="18"/>
        <v>0</v>
      </c>
      <c r="T36">
        <f t="shared" si="19"/>
        <v>0.45780876079492244</v>
      </c>
      <c r="U36">
        <f t="shared" si="20"/>
        <v>21.121631463947558</v>
      </c>
      <c r="V36">
        <f t="shared" si="21"/>
        <v>78.420559775257502</v>
      </c>
      <c r="W36">
        <f t="shared" si="22"/>
        <v>99.999999999999986</v>
      </c>
      <c r="X36" s="10">
        <f t="shared" si="23"/>
        <v>4.412706607432542E-2</v>
      </c>
      <c r="Y36" s="10">
        <f t="shared" si="0"/>
        <v>2.0201757437002585E-4</v>
      </c>
      <c r="Z36" s="10">
        <f t="shared" si="6"/>
        <v>0</v>
      </c>
      <c r="AA36" s="10">
        <f t="shared" si="1"/>
        <v>9.3203562720716466E-3</v>
      </c>
      <c r="AB36" s="10">
        <f t="shared" si="2"/>
        <v>3.4604692227883739E-2</v>
      </c>
      <c r="AC36" s="10">
        <f t="shared" si="70"/>
        <v>2.0201757437002585E-4</v>
      </c>
      <c r="AD36" s="10">
        <f t="shared" si="7"/>
        <v>4.4028497753037167E-2</v>
      </c>
      <c r="AE36" s="10">
        <f t="shared" si="8"/>
        <v>2.0156631995979973E-4</v>
      </c>
      <c r="AF36" s="10">
        <f t="shared" si="9"/>
        <v>0</v>
      </c>
      <c r="AG36" s="10">
        <f t="shared" si="10"/>
        <v>9.2995370345089427E-3</v>
      </c>
      <c r="AH36" s="10">
        <f t="shared" si="11"/>
        <v>3.4527394398568417E-2</v>
      </c>
      <c r="AI36" s="10">
        <f t="shared" si="71"/>
        <v>2.0156631995979973E-4</v>
      </c>
      <c r="AJ36" s="22"/>
      <c r="AL36" s="25"/>
      <c r="AM36" s="6"/>
      <c r="AN36" s="6"/>
      <c r="AO36" s="6"/>
      <c r="AP36" s="19"/>
      <c r="AQ36" s="7">
        <f t="shared" si="75"/>
        <v>512.37956508167724</v>
      </c>
      <c r="AR36" s="10">
        <f t="shared" si="27"/>
        <v>2.6797451253771722</v>
      </c>
      <c r="AS36" s="6">
        <f t="shared" si="28"/>
        <v>2.6261502228696286E-4</v>
      </c>
      <c r="AT36" s="6">
        <f t="shared" si="12"/>
        <v>511.23504317968991</v>
      </c>
      <c r="AU36" s="6">
        <f t="shared" si="13"/>
        <v>2.6737592758297786</v>
      </c>
      <c r="AV36" s="6">
        <f t="shared" si="14"/>
        <v>2.6202840903131829E-4</v>
      </c>
      <c r="AW36" s="6">
        <f t="shared" si="29"/>
        <v>-1.9076096886794665E-3</v>
      </c>
      <c r="AX36" s="52">
        <f t="shared" si="30"/>
        <v>3.7455353653938943E-4</v>
      </c>
      <c r="AY36" s="53">
        <f t="shared" si="15"/>
        <v>2.9260511954409874E-2</v>
      </c>
      <c r="AZ36" s="54"/>
      <c r="BA36" s="23">
        <f t="shared" si="16"/>
        <v>0</v>
      </c>
    </row>
  </sheetData>
  <mergeCells count="12">
    <mergeCell ref="AZ10:BA10"/>
    <mergeCell ref="A9:O9"/>
    <mergeCell ref="X9:AP9"/>
    <mergeCell ref="AQ9:AY9"/>
    <mergeCell ref="P10:Q10"/>
    <mergeCell ref="R10:W10"/>
    <mergeCell ref="X10:AC10"/>
    <mergeCell ref="AD10:AI10"/>
    <mergeCell ref="AJ10:AL10"/>
    <mergeCell ref="AM10:AP10"/>
    <mergeCell ref="AQ10:AS10"/>
    <mergeCell ref="AT10:AV10"/>
  </mergeCells>
  <conditionalFormatting sqref="P13:BA36">
    <cfRule type="expression" dxfId="17" priority="1">
      <formula>$L13=0</formula>
    </cfRule>
    <cfRule type="expression" dxfId="16" priority="2">
      <formula>$L13=1</formula>
    </cfRule>
  </conditionalFormatting>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c6081d6-c3fc-40d1-b764-bcced308c6fd">
      <Terms xmlns="http://schemas.microsoft.com/office/infopath/2007/PartnerControls"/>
    </lcf76f155ced4ddcb4097134ff3c332f>
    <TaxCatchAll xmlns="f2eab1c3-0322-4153-bf70-f365d9543d1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D8E589A2CE91448AB933EC806379029" ma:contentTypeVersion="14" ma:contentTypeDescription="Een nieuw document maken." ma:contentTypeScope="" ma:versionID="e30b93ea1fdcd2472f50f36ce72411a6">
  <xsd:schema xmlns:xsd="http://www.w3.org/2001/XMLSchema" xmlns:xs="http://www.w3.org/2001/XMLSchema" xmlns:p="http://schemas.microsoft.com/office/2006/metadata/properties" xmlns:ns2="2c6081d6-c3fc-40d1-b764-bcced308c6fd" xmlns:ns3="f2eab1c3-0322-4153-bf70-f365d9543d18" targetNamespace="http://schemas.microsoft.com/office/2006/metadata/properties" ma:root="true" ma:fieldsID="6cb2fe5d2b0b7b3af561600811d8ca31" ns2:_="" ns3:_="">
    <xsd:import namespace="2c6081d6-c3fc-40d1-b764-bcced308c6fd"/>
    <xsd:import namespace="f2eab1c3-0322-4153-bf70-f365d9543d1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081d6-c3fc-40d1-b764-bcced308c6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Afbeeldingtags" ma:readOnly="false" ma:fieldId="{5cf76f15-5ced-4ddc-b409-7134ff3c332f}" ma:taxonomyMulti="true" ma:sspId="0d2f2e1c-c095-4710-afda-8e7acdb03340" ma:termSetId="09814cd3-568e-fe90-9814-8d621ff8fb84" ma:anchorId="fba54fb3-c3e1-fe81-a776-ca4b69148c4d" ma:open="true" ma:isKeyword="false">
      <xsd:complexType>
        <xsd:sequence>
          <xsd:element ref="pc:Terms" minOccurs="0" maxOccurs="1"/>
        </xsd:sequence>
      </xsd:complex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eab1c3-0322-4153-bf70-f365d9543d1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1eac2a8-2707-46bb-a7dc-0b43f3050f7c}" ma:internalName="TaxCatchAll" ma:showField="CatchAllData" ma:web="f2eab1c3-0322-4153-bf70-f365d9543d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E50E6-BD8E-48E7-A783-2A83BBE16540}">
  <ds:schemaRefs>
    <ds:schemaRef ds:uri="http://purl.org/dc/elements/1.1/"/>
    <ds:schemaRef ds:uri="http://schemas.openxmlformats.org/package/2006/metadata/core-properties"/>
    <ds:schemaRef ds:uri="http://purl.org/dc/dcmitype/"/>
    <ds:schemaRef ds:uri="http://schemas.microsoft.com/office/2006/documentManagement/types"/>
    <ds:schemaRef ds:uri="http://purl.org/dc/terms/"/>
    <ds:schemaRef ds:uri="2c6081d6-c3fc-40d1-b764-bcced308c6fd"/>
    <ds:schemaRef ds:uri="http://www.w3.org/XML/1998/namespace"/>
    <ds:schemaRef ds:uri="http://schemas.microsoft.com/office/infopath/2007/PartnerControls"/>
    <ds:schemaRef ds:uri="f2eab1c3-0322-4153-bf70-f365d9543d18"/>
    <ds:schemaRef ds:uri="http://schemas.microsoft.com/office/2006/metadata/properties"/>
  </ds:schemaRefs>
</ds:datastoreItem>
</file>

<file path=customXml/itemProps2.xml><?xml version="1.0" encoding="utf-8"?>
<ds:datastoreItem xmlns:ds="http://schemas.openxmlformats.org/officeDocument/2006/customXml" ds:itemID="{1BE87392-7666-4CE2-9E68-33C374E494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081d6-c3fc-40d1-b764-bcced308c6fd"/>
    <ds:schemaRef ds:uri="f2eab1c3-0322-4153-bf70-f365d9543d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817046-DDAD-460D-8412-55A1998C43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17</vt:i4>
      </vt:variant>
    </vt:vector>
  </HeadingPairs>
  <TitlesOfParts>
    <vt:vector size="17" baseType="lpstr">
      <vt:lpstr>Notes</vt:lpstr>
      <vt:lpstr>GT1.1</vt:lpstr>
      <vt:lpstr>GT1.2</vt:lpstr>
      <vt:lpstr>GT2.1</vt:lpstr>
      <vt:lpstr>GT2.2</vt:lpstr>
      <vt:lpstr>GT3.1</vt:lpstr>
      <vt:lpstr>GT3.2</vt:lpstr>
      <vt:lpstr>GT4.1</vt:lpstr>
      <vt:lpstr>GT4.2</vt:lpstr>
      <vt:lpstr>GT5.1</vt:lpstr>
      <vt:lpstr>GT5.2</vt:lpstr>
      <vt:lpstr>GT6.1</vt:lpstr>
      <vt:lpstr>GT6.2</vt:lpstr>
      <vt:lpstr>GT7.1</vt:lpstr>
      <vt:lpstr>GT7.2</vt:lpstr>
      <vt:lpstr>GT8.1</vt:lpstr>
      <vt:lpstr>GT8.2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Robbert Grobben</cp:lastModifiedBy>
  <cp:revision/>
  <dcterms:created xsi:type="dcterms:W3CDTF">2023-05-10T19:06:04Z</dcterms:created>
  <dcterms:modified xsi:type="dcterms:W3CDTF">2023-06-29T08:10:18Z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0x0101009D8E589A2CE91448AB933EC806379029</vt:lpwstr>
  </property>
  <property fmtid="{D5CDD505-2E9C-101B-9397-08002B2CF9AE}" pid="3" name="MediaServiceImageTags">
    <vt:lpwstr/>
  </property>
</Properties>
</file>