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D:\ZBYTEK\System Files\rhonc\OneDrive\Ender3NG\DOCUMENTS\DOC_V1\"/>
    </mc:Choice>
  </mc:AlternateContent>
  <xr:revisionPtr revIDLastSave="0" documentId="13_ncr:1_{43990B5A-FA80-4D8C-8CF0-290944DA3379}" xr6:coauthVersionLast="47" xr6:coauthVersionMax="47" xr10:uidLastSave="{00000000-0000-0000-0000-000000000000}"/>
  <bookViews>
    <workbookView xWindow="-120" yWindow="-120" windowWidth="29040" windowHeight="15840" tabRatio="500" activeTab="1" xr2:uid="{00000000-000D-0000-FFFF-FFFF00000000}"/>
  </bookViews>
  <sheets>
    <sheet name="CONFIGURATOR" sheetId="1" r:id="rId1"/>
    <sheet name="BILL OF MATERIAL" sheetId="2" r:id="rId2"/>
    <sheet name="PRINTED PARTS" sheetId="3" r:id="rId3"/>
    <sheet name="VERIFIED KITS" sheetId="4" r:id="rId4"/>
    <sheet name="FUNSSOR" sheetId="5" state="hidden" r:id="rId5"/>
    <sheet name="FABREEKO" sheetId="7" state="hidden" r:id="rId6"/>
    <sheet name="FUSHI" sheetId="8" state="hidden" r:id="rId7"/>
  </sheets>
  <calcPr calcId="191028"/>
  <extLst>
    <ext xmlns:loext="http://schemas.libreoffice.org/" uri="{7626C862-2A13-11E5-B345-FEFF819CDC9F}">
      <loext:extCalcPr stringRefSyntax="CalcA1ExcelA1"/>
    </ext>
  </extLst>
</workbook>
</file>

<file path=xl/calcChain.xml><?xml version="1.0" encoding="utf-8"?>
<calcChain xmlns="http://schemas.openxmlformats.org/spreadsheetml/2006/main">
  <c r="DC4" i="3" l="1"/>
  <c r="DB4" i="3"/>
  <c r="Q78" i="2"/>
  <c r="Q77" i="2"/>
  <c r="Q76" i="2"/>
  <c r="Q75" i="2"/>
  <c r="EH50" i="2"/>
  <c r="EF50"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5" i="2" l="1"/>
  <c r="Q84" i="2"/>
  <c r="Q83" i="2"/>
  <c r="Q82" i="2"/>
  <c r="Q81" i="2"/>
  <c r="M85" i="2"/>
  <c r="M84" i="2"/>
  <c r="M83" i="2"/>
  <c r="M82" i="2"/>
  <c r="M81" i="2"/>
  <c r="K85" i="2"/>
  <c r="K84" i="2"/>
  <c r="K83" i="2"/>
  <c r="K82" i="2"/>
  <c r="K81" i="2"/>
  <c r="AZ80" i="2"/>
  <c r="AY80" i="2"/>
  <c r="AX80" i="2"/>
  <c r="AW80" i="2"/>
  <c r="AV80" i="2"/>
  <c r="AU80" i="2"/>
  <c r="AT80" i="2"/>
  <c r="AS80" i="2"/>
  <c r="Q80" i="2"/>
  <c r="J80" i="2"/>
  <c r="Q110" i="2"/>
  <c r="J109" i="2"/>
  <c r="K109" i="2" s="1"/>
  <c r="J108" i="2"/>
  <c r="J106" i="2"/>
  <c r="J104" i="2"/>
  <c r="J103" i="2"/>
  <c r="J102" i="2"/>
  <c r="J99" i="2"/>
  <c r="J96" i="2"/>
  <c r="J95" i="2"/>
  <c r="J93" i="2"/>
  <c r="J90" i="2"/>
  <c r="J89" i="2"/>
  <c r="J69" i="2"/>
  <c r="J68" i="2"/>
  <c r="J66" i="2"/>
  <c r="J65" i="2"/>
  <c r="J64" i="2"/>
  <c r="J63" i="2"/>
  <c r="J61" i="2"/>
  <c r="J60" i="2"/>
  <c r="J59" i="2"/>
  <c r="J58" i="2"/>
  <c r="J56" i="2"/>
  <c r="J57" i="2" s="1"/>
  <c r="J55" i="2"/>
  <c r="J53" i="2"/>
  <c r="J51" i="2"/>
  <c r="J50" i="2"/>
  <c r="J48" i="2"/>
  <c r="J47" i="2"/>
  <c r="J45" i="2"/>
  <c r="J43" i="2"/>
  <c r="J42" i="2"/>
  <c r="J40" i="2"/>
  <c r="J38" i="2"/>
  <c r="J37" i="2"/>
  <c r="J35" i="2"/>
  <c r="J34" i="2"/>
  <c r="J33" i="2"/>
  <c r="J32" i="2"/>
  <c r="J30" i="2"/>
  <c r="J29" i="2"/>
  <c r="J28" i="2"/>
  <c r="J26" i="2"/>
  <c r="J24" i="2"/>
  <c r="J23" i="2"/>
  <c r="J22" i="2"/>
  <c r="J20" i="2"/>
  <c r="J19" i="2"/>
  <c r="J18" i="2"/>
  <c r="J17" i="2"/>
  <c r="J16" i="2"/>
  <c r="J15" i="2"/>
  <c r="J14" i="2"/>
  <c r="J13" i="2"/>
  <c r="J12" i="2"/>
  <c r="J10" i="2"/>
  <c r="J9" i="2"/>
  <c r="J7" i="2"/>
  <c r="CH4" i="2"/>
  <c r="CC4" i="2"/>
  <c r="FY104" i="2"/>
  <c r="FX104" i="2"/>
  <c r="AF40" i="2"/>
  <c r="AY40" i="2" s="1"/>
  <c r="AF50" i="2"/>
  <c r="J105" i="2"/>
  <c r="Q79" i="2"/>
  <c r="Q74"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K33" i="2" s="1"/>
  <c r="AW33" i="2" s="1"/>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0" i="2"/>
  <c r="GH220" i="2"/>
  <c r="GH219" i="2"/>
  <c r="GH216" i="2"/>
  <c r="GH206" i="2"/>
  <c r="GH205" i="2"/>
  <c r="GH192" i="2"/>
  <c r="GH187" i="2"/>
  <c r="GH183" i="2"/>
  <c r="GH158" i="2"/>
  <c r="GH157" i="2"/>
  <c r="GH146" i="2"/>
  <c r="GH139" i="2"/>
  <c r="GH124" i="2"/>
  <c r="GH119" i="2"/>
  <c r="GH118" i="2"/>
  <c r="AZ111" i="2"/>
  <c r="AY111" i="2"/>
  <c r="AX111" i="2"/>
  <c r="AW111" i="2"/>
  <c r="AV111" i="2"/>
  <c r="AU111" i="2"/>
  <c r="AT111" i="2"/>
  <c r="AS111" i="2"/>
  <c r="Q111" i="2"/>
  <c r="AZ109" i="2"/>
  <c r="AY109" i="2"/>
  <c r="AX109" i="2"/>
  <c r="AW109" i="2"/>
  <c r="AV109" i="2"/>
  <c r="AU109" i="2"/>
  <c r="AT109" i="2"/>
  <c r="AS109" i="2"/>
  <c r="M109" i="2"/>
  <c r="AZ108" i="2"/>
  <c r="AY108" i="2"/>
  <c r="AX108" i="2"/>
  <c r="AW108" i="2"/>
  <c r="AV108" i="2"/>
  <c r="AU108" i="2"/>
  <c r="AT108" i="2"/>
  <c r="AS108" i="2"/>
  <c r="Q108" i="2"/>
  <c r="GH107" i="2"/>
  <c r="AZ107" i="2"/>
  <c r="AY107" i="2"/>
  <c r="AX107" i="2"/>
  <c r="AW107" i="2"/>
  <c r="AV107" i="2"/>
  <c r="AU107" i="2"/>
  <c r="AT107" i="2"/>
  <c r="AS107" i="2"/>
  <c r="AZ106" i="2"/>
  <c r="AY106" i="2"/>
  <c r="AX106" i="2"/>
  <c r="AW106" i="2"/>
  <c r="AV106" i="2"/>
  <c r="AU106" i="2"/>
  <c r="AT106" i="2"/>
  <c r="AS106" i="2"/>
  <c r="Q106" i="2"/>
  <c r="AZ105" i="2"/>
  <c r="AY105" i="2"/>
  <c r="AX105" i="2"/>
  <c r="AW105" i="2"/>
  <c r="AV105" i="2"/>
  <c r="AU105" i="2"/>
  <c r="AT105" i="2"/>
  <c r="AS105" i="2"/>
  <c r="Q105" i="2"/>
  <c r="AZ104" i="2"/>
  <c r="AY104" i="2"/>
  <c r="AX104" i="2"/>
  <c r="AW104" i="2"/>
  <c r="AV104" i="2"/>
  <c r="AU104" i="2"/>
  <c r="AT104" i="2"/>
  <c r="AS104" i="2"/>
  <c r="Q104" i="2"/>
  <c r="AZ103" i="2"/>
  <c r="AX103" i="2"/>
  <c r="AW103" i="2"/>
  <c r="AV103" i="2"/>
  <c r="AU103" i="2"/>
  <c r="AT103" i="2"/>
  <c r="AS103" i="2"/>
  <c r="AR103" i="2"/>
  <c r="AY103" i="2" s="1"/>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AZ99" i="2"/>
  <c r="AY99" i="2"/>
  <c r="AX99" i="2"/>
  <c r="AW99" i="2"/>
  <c r="AV99" i="2"/>
  <c r="AU99" i="2"/>
  <c r="AT99" i="2"/>
  <c r="AS99" i="2"/>
  <c r="Q99"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J92" i="2"/>
  <c r="AZ91" i="2"/>
  <c r="AY91" i="2"/>
  <c r="AX91" i="2"/>
  <c r="AW91" i="2"/>
  <c r="AV91" i="2"/>
  <c r="AU91" i="2"/>
  <c r="AT91" i="2"/>
  <c r="AS91" i="2"/>
  <c r="Q91" i="2"/>
  <c r="J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AZ87" i="2"/>
  <c r="AY87" i="2"/>
  <c r="AX87" i="2"/>
  <c r="AW87" i="2"/>
  <c r="AV87" i="2"/>
  <c r="AU87" i="2"/>
  <c r="AT87" i="2"/>
  <c r="AS87" i="2"/>
  <c r="Q87" i="2"/>
  <c r="GH86" i="2"/>
  <c r="AZ86" i="2"/>
  <c r="AY86" i="2"/>
  <c r="AX86" i="2"/>
  <c r="AW86" i="2"/>
  <c r="AV86" i="2"/>
  <c r="AU86" i="2"/>
  <c r="AT86" i="2"/>
  <c r="AS86" i="2"/>
  <c r="AZ73" i="2"/>
  <c r="AY73" i="2"/>
  <c r="AX73" i="2"/>
  <c r="AW73" i="2"/>
  <c r="AV73" i="2"/>
  <c r="AU73" i="2"/>
  <c r="AT73" i="2"/>
  <c r="AS73" i="2"/>
  <c r="Q73" i="2"/>
  <c r="AZ72" i="2"/>
  <c r="AY72" i="2"/>
  <c r="AX72" i="2"/>
  <c r="AW72" i="2"/>
  <c r="AV72" i="2"/>
  <c r="AU72" i="2"/>
  <c r="AT72" i="2"/>
  <c r="AS72" i="2"/>
  <c r="Q72" i="2"/>
  <c r="GH71" i="2"/>
  <c r="AZ71" i="2"/>
  <c r="AY71" i="2"/>
  <c r="AX71" i="2"/>
  <c r="AW71" i="2"/>
  <c r="AV71" i="2"/>
  <c r="AU71" i="2"/>
  <c r="AT71" i="2"/>
  <c r="AS71" i="2"/>
  <c r="AY70" i="2"/>
  <c r="AX70" i="2"/>
  <c r="AW70" i="2"/>
  <c r="AV70" i="2"/>
  <c r="AU70" i="2"/>
  <c r="AT70" i="2"/>
  <c r="AS70" i="2"/>
  <c r="AJ70" i="2"/>
  <c r="AZ70" i="2" s="1"/>
  <c r="Q70" i="2"/>
  <c r="AZ69" i="2"/>
  <c r="AY69" i="2"/>
  <c r="AX69" i="2"/>
  <c r="AW69" i="2"/>
  <c r="AV69" i="2"/>
  <c r="AU69" i="2"/>
  <c r="AT69" i="2"/>
  <c r="AS69" i="2"/>
  <c r="Q69" i="2"/>
  <c r="AZ68" i="2"/>
  <c r="AX68" i="2"/>
  <c r="AW68" i="2"/>
  <c r="AV68" i="2"/>
  <c r="AU68" i="2"/>
  <c r="AT68" i="2"/>
  <c r="AS68" i="2"/>
  <c r="AF68" i="2"/>
  <c r="AY68" i="2" s="1"/>
  <c r="Q68" i="2"/>
  <c r="AZ67" i="2"/>
  <c r="AY67" i="2"/>
  <c r="AX67" i="2"/>
  <c r="AW67" i="2"/>
  <c r="AV67" i="2"/>
  <c r="AU67" i="2"/>
  <c r="AT67" i="2"/>
  <c r="AS67" i="2"/>
  <c r="Q67" i="2"/>
  <c r="AY66" i="2"/>
  <c r="AX66" i="2"/>
  <c r="AW66" i="2"/>
  <c r="AV66" i="2"/>
  <c r="AU66" i="2"/>
  <c r="AT66" i="2"/>
  <c r="AS66" i="2"/>
  <c r="AJ66" i="2"/>
  <c r="AZ66" i="2" s="1"/>
  <c r="Q66" i="2"/>
  <c r="AZ65" i="2"/>
  <c r="AX65" i="2"/>
  <c r="AW65" i="2"/>
  <c r="AV65" i="2"/>
  <c r="AU65" i="2"/>
  <c r="AT65" i="2"/>
  <c r="AS65" i="2"/>
  <c r="AF65" i="2"/>
  <c r="AY65" i="2" s="1"/>
  <c r="Q65" i="2"/>
  <c r="AZ64" i="2"/>
  <c r="AX64" i="2"/>
  <c r="AW64" i="2"/>
  <c r="AV64" i="2"/>
  <c r="AU64" i="2"/>
  <c r="AT64" i="2"/>
  <c r="AS64" i="2"/>
  <c r="AF64" i="2"/>
  <c r="AY64" i="2" s="1"/>
  <c r="Q64" i="2"/>
  <c r="AZ63" i="2"/>
  <c r="AX63" i="2"/>
  <c r="AW63" i="2"/>
  <c r="AV63" i="2"/>
  <c r="AU63" i="2"/>
  <c r="AT63" i="2"/>
  <c r="AS63" i="2"/>
  <c r="AF63" i="2"/>
  <c r="AY63" i="2" s="1"/>
  <c r="Q63" i="2"/>
  <c r="AZ62" i="2"/>
  <c r="AY62" i="2"/>
  <c r="AX62" i="2"/>
  <c r="AW62" i="2"/>
  <c r="AV62" i="2"/>
  <c r="AU62" i="2"/>
  <c r="AT62" i="2"/>
  <c r="AS62" i="2"/>
  <c r="Q62" i="2"/>
  <c r="AZ61" i="2"/>
  <c r="AX61" i="2"/>
  <c r="AW61" i="2"/>
  <c r="AV61" i="2"/>
  <c r="AU61" i="2"/>
  <c r="AT61" i="2"/>
  <c r="AS61" i="2"/>
  <c r="AF61" i="2"/>
  <c r="AY61" i="2" s="1"/>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AZ55" i="2"/>
  <c r="AY55" i="2"/>
  <c r="AX55" i="2"/>
  <c r="AW55" i="2"/>
  <c r="AV55" i="2"/>
  <c r="AU55" i="2"/>
  <c r="AT55" i="2"/>
  <c r="AS55" i="2"/>
  <c r="Q55" i="2"/>
  <c r="GH54" i="2"/>
  <c r="AZ54" i="2"/>
  <c r="AY54" i="2"/>
  <c r="AX54" i="2"/>
  <c r="AW54" i="2"/>
  <c r="AV54" i="2"/>
  <c r="AU54" i="2"/>
  <c r="AT54" i="2"/>
  <c r="AS54" i="2"/>
  <c r="Q54" i="2"/>
  <c r="AZ53" i="2"/>
  <c r="AY53" i="2"/>
  <c r="AX53" i="2"/>
  <c r="AW53" i="2"/>
  <c r="AV53" i="2"/>
  <c r="AU53" i="2"/>
  <c r="AT53" i="2"/>
  <c r="AS53" i="2"/>
  <c r="Q53" i="2"/>
  <c r="GH52" i="2"/>
  <c r="AZ52" i="2"/>
  <c r="AY52" i="2"/>
  <c r="AX52" i="2"/>
  <c r="AW52" i="2"/>
  <c r="AV52" i="2"/>
  <c r="AU52" i="2"/>
  <c r="AT52" i="2"/>
  <c r="AS52" i="2"/>
  <c r="AZ51" i="2"/>
  <c r="AX51" i="2"/>
  <c r="AW51" i="2"/>
  <c r="AV51" i="2"/>
  <c r="AU51" i="2"/>
  <c r="AT51" i="2"/>
  <c r="AS51" i="2"/>
  <c r="AF51" i="2"/>
  <c r="AY51" i="2" s="1"/>
  <c r="Q51" i="2"/>
  <c r="AZ50" i="2"/>
  <c r="AX50" i="2"/>
  <c r="AW50" i="2"/>
  <c r="AV50" i="2"/>
  <c r="AU50" i="2"/>
  <c r="AT50" i="2"/>
  <c r="AS50" i="2"/>
  <c r="AR50" i="2"/>
  <c r="Q50" i="2"/>
  <c r="GH49" i="2"/>
  <c r="AZ49" i="2"/>
  <c r="AY49" i="2"/>
  <c r="AX49" i="2"/>
  <c r="AW49" i="2"/>
  <c r="AV49" i="2"/>
  <c r="AU49" i="2"/>
  <c r="AT49" i="2"/>
  <c r="AS49" i="2"/>
  <c r="Q49" i="2"/>
  <c r="AX48" i="2"/>
  <c r="AW48" i="2"/>
  <c r="AV48" i="2"/>
  <c r="AU48" i="2"/>
  <c r="AT48" i="2"/>
  <c r="AS48" i="2"/>
  <c r="AR48" i="2"/>
  <c r="AJ48" i="2"/>
  <c r="AZ48" i="2" s="1"/>
  <c r="AF48" i="2"/>
  <c r="Q48" i="2"/>
  <c r="FZ47" i="2"/>
  <c r="AZ47" i="2"/>
  <c r="AY47" i="2"/>
  <c r="AX47" i="2"/>
  <c r="AW47" i="2"/>
  <c r="AV47" i="2"/>
  <c r="AT47" i="2"/>
  <c r="AS47" i="2"/>
  <c r="Q47" i="2"/>
  <c r="GH46" i="2"/>
  <c r="AZ46" i="2"/>
  <c r="AY46" i="2"/>
  <c r="AX46" i="2"/>
  <c r="AW46" i="2"/>
  <c r="AV46" i="2"/>
  <c r="AU46" i="2"/>
  <c r="AT46" i="2"/>
  <c r="AS46" i="2"/>
  <c r="Q46" i="2"/>
  <c r="AZ45" i="2"/>
  <c r="AY45" i="2"/>
  <c r="AX45" i="2"/>
  <c r="AW45" i="2"/>
  <c r="AV45" i="2"/>
  <c r="AU45" i="2"/>
  <c r="AT45" i="2"/>
  <c r="AS45" i="2"/>
  <c r="Q45" i="2"/>
  <c r="GH44" i="2"/>
  <c r="AZ44" i="2"/>
  <c r="AY44" i="2"/>
  <c r="AX44" i="2"/>
  <c r="AW44" i="2"/>
  <c r="AV44" i="2"/>
  <c r="AU44" i="2"/>
  <c r="AT44" i="2"/>
  <c r="AS44" i="2"/>
  <c r="Q44" i="2"/>
  <c r="AZ43" i="2"/>
  <c r="AX43" i="2"/>
  <c r="AW43" i="2"/>
  <c r="AV43" i="2"/>
  <c r="AU43" i="2"/>
  <c r="AT43" i="2"/>
  <c r="AS43" i="2"/>
  <c r="AF43" i="2"/>
  <c r="AY43" i="2" s="1"/>
  <c r="Q43" i="2"/>
  <c r="AZ42" i="2"/>
  <c r="AY42" i="2"/>
  <c r="AX42" i="2"/>
  <c r="AW42" i="2"/>
  <c r="AV42" i="2"/>
  <c r="AU42" i="2"/>
  <c r="AT42" i="2"/>
  <c r="AS42" i="2"/>
  <c r="Q42" i="2"/>
  <c r="GH41" i="2"/>
  <c r="AZ41" i="2"/>
  <c r="AY41" i="2"/>
  <c r="AX41" i="2"/>
  <c r="AW41" i="2"/>
  <c r="AV41" i="2"/>
  <c r="AU41" i="2"/>
  <c r="AT41" i="2"/>
  <c r="AS41" i="2"/>
  <c r="Q41" i="2"/>
  <c r="AZ40" i="2"/>
  <c r="AX40" i="2"/>
  <c r="AW40" i="2"/>
  <c r="AV40" i="2"/>
  <c r="AU40" i="2"/>
  <c r="AT40" i="2"/>
  <c r="AS40" i="2"/>
  <c r="Q40" i="2"/>
  <c r="GH39" i="2"/>
  <c r="AZ39" i="2"/>
  <c r="AY39" i="2"/>
  <c r="AX39" i="2"/>
  <c r="AW39" i="2"/>
  <c r="AV39" i="2"/>
  <c r="AU39" i="2"/>
  <c r="AT39" i="2"/>
  <c r="AS39" i="2"/>
  <c r="Q39"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BO54" i="3" l="1"/>
  <c r="O54" i="3" s="1"/>
  <c r="BO53" i="3"/>
  <c r="BO50" i="3"/>
  <c r="BO49" i="3"/>
  <c r="BO60" i="3"/>
  <c r="BO59" i="3"/>
  <c r="P77" i="2"/>
  <c r="P78" i="2"/>
  <c r="P75" i="2"/>
  <c r="P76" i="2"/>
  <c r="O77" i="2"/>
  <c r="O76" i="2"/>
  <c r="O78" i="2"/>
  <c r="O75" i="2"/>
  <c r="R78" i="2"/>
  <c r="R75" i="2"/>
  <c r="R76" i="2"/>
  <c r="R77" i="2"/>
  <c r="S78" i="2"/>
  <c r="S75" i="2"/>
  <c r="S76" i="2"/>
  <c r="S77" i="2"/>
  <c r="N76" i="2"/>
  <c r="N77" i="2"/>
  <c r="N78" i="2"/>
  <c r="N75" i="2"/>
  <c r="T79" i="2"/>
  <c r="T78" i="2"/>
  <c r="T75" i="2"/>
  <c r="T76" i="2"/>
  <c r="T77"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3" i="2"/>
  <c r="T80" i="2"/>
  <c r="S31" i="3"/>
  <c r="N30" i="3"/>
  <c r="N31" i="3"/>
  <c r="O30" i="3"/>
  <c r="R30" i="3"/>
  <c r="P30" i="3"/>
  <c r="S30" i="3"/>
  <c r="T95" i="3"/>
  <c r="T202" i="3"/>
  <c r="T201" i="3"/>
  <c r="S84"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2" i="2"/>
  <c r="R83" i="2"/>
  <c r="R81" i="2"/>
  <c r="P81" i="2"/>
  <c r="O81" i="2"/>
  <c r="S55" i="3"/>
  <c r="N81" i="2"/>
  <c r="S80" i="2"/>
  <c r="R82" i="2"/>
  <c r="S83" i="2"/>
  <c r="T84" i="2"/>
  <c r="N80" i="2"/>
  <c r="S81" i="2"/>
  <c r="T82" i="2"/>
  <c r="N84" i="2"/>
  <c r="O85" i="2"/>
  <c r="N85" i="2"/>
  <c r="T81" i="2"/>
  <c r="N83" i="2"/>
  <c r="O84" i="2"/>
  <c r="P85" i="2"/>
  <c r="O80" i="2"/>
  <c r="N82" i="2"/>
  <c r="O83" i="2"/>
  <c r="P84" i="2"/>
  <c r="P80" i="2"/>
  <c r="O82" i="2"/>
  <c r="P83" i="2"/>
  <c r="R85" i="2"/>
  <c r="P82" i="2"/>
  <c r="R84" i="2"/>
  <c r="S85" i="2"/>
  <c r="R80" i="2"/>
  <c r="T85" i="2"/>
  <c r="R110" i="2"/>
  <c r="P110" i="2"/>
  <c r="O110"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0" i="2"/>
  <c r="S237" i="3"/>
  <c r="S6" i="3"/>
  <c r="S37" i="3"/>
  <c r="S58" i="3"/>
  <c r="S48" i="3"/>
  <c r="S50" i="3"/>
  <c r="S181" i="3"/>
  <c r="S29" i="3"/>
  <c r="S173" i="3"/>
  <c r="S217" i="3"/>
  <c r="S40" i="3"/>
  <c r="S8" i="3"/>
  <c r="S176" i="3"/>
  <c r="S110" i="2"/>
  <c r="S227" i="3"/>
  <c r="S228" i="3"/>
  <c r="N110" i="2"/>
  <c r="FU47" i="2"/>
  <c r="S47" i="2" s="1"/>
  <c r="N93" i="3"/>
  <c r="O172" i="3"/>
  <c r="O232" i="3"/>
  <c r="O19" i="3"/>
  <c r="O236" i="3"/>
  <c r="R105" i="3"/>
  <c r="S198" i="3"/>
  <c r="S147" i="3"/>
  <c r="S174" i="3"/>
  <c r="T91" i="2"/>
  <c r="T31" i="2"/>
  <c r="T32" i="2"/>
  <c r="T50" i="2"/>
  <c r="T36" i="2"/>
  <c r="T102" i="2"/>
  <c r="T59" i="2"/>
  <c r="T65" i="2"/>
  <c r="T87" i="2"/>
  <c r="FZ104" i="2"/>
  <c r="S104" i="2" s="1"/>
  <c r="T108" i="2"/>
  <c r="T13" i="2"/>
  <c r="T20" i="2"/>
  <c r="T29" i="2"/>
  <c r="T88" i="2"/>
  <c r="T98" i="2"/>
  <c r="T95" i="2"/>
  <c r="T63" i="2"/>
  <c r="T58" i="2"/>
  <c r="T104" i="2"/>
  <c r="T66" i="2"/>
  <c r="T54" i="2"/>
  <c r="T14" i="2"/>
  <c r="T18" i="2"/>
  <c r="T64" i="2"/>
  <c r="T103" i="2"/>
  <c r="T34" i="2"/>
  <c r="T94" i="2"/>
  <c r="T44" i="2"/>
  <c r="T105" i="2"/>
  <c r="T72" i="2"/>
  <c r="T93" i="2"/>
  <c r="T111" i="2"/>
  <c r="T30" i="2"/>
  <c r="T25" i="2"/>
  <c r="T28" i="2"/>
  <c r="T53" i="2"/>
  <c r="T38" i="2"/>
  <c r="T97" i="2"/>
  <c r="T49" i="2"/>
  <c r="T51" i="2"/>
  <c r="T90" i="2"/>
  <c r="T96" i="2"/>
  <c r="T27" i="2"/>
  <c r="T5" i="2"/>
  <c r="T12" i="2"/>
  <c r="T40" i="2"/>
  <c r="T42" i="2"/>
  <c r="T106" i="2"/>
  <c r="T57" i="2"/>
  <c r="T101" i="2"/>
  <c r="T26" i="2"/>
  <c r="T33" i="2"/>
  <c r="T15" i="2"/>
  <c r="T23" i="2"/>
  <c r="T48" i="2"/>
  <c r="T35" i="2"/>
  <c r="T69" i="2"/>
  <c r="T67" i="2"/>
  <c r="T37" i="2"/>
  <c r="T68" i="2"/>
  <c r="T19" i="2"/>
  <c r="T22" i="2"/>
  <c r="T24" i="2"/>
  <c r="T21" i="2"/>
  <c r="T60" i="2"/>
  <c r="T8" i="2"/>
  <c r="T17" i="2"/>
  <c r="T56" i="2"/>
  <c r="T43" i="2"/>
  <c r="T89" i="2"/>
  <c r="T41" i="2"/>
  <c r="T45" i="2"/>
  <c r="T73" i="2"/>
  <c r="T10" i="2"/>
  <c r="T16" i="2"/>
  <c r="T61" i="2"/>
  <c r="T99" i="2"/>
  <c r="T7" i="2"/>
  <c r="T11" i="2"/>
  <c r="T70" i="2"/>
  <c r="T62" i="2"/>
  <c r="T92" i="2"/>
  <c r="T55" i="2"/>
  <c r="T46" i="2"/>
  <c r="T100" i="2"/>
  <c r="T6" i="2"/>
  <c r="T9" i="2"/>
  <c r="T39"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7"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147"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148"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4" i="2"/>
  <c r="P74" i="2"/>
  <c r="O79" i="2"/>
  <c r="R74" i="2"/>
  <c r="P79" i="2"/>
  <c r="O74" i="2"/>
  <c r="R79" i="2"/>
  <c r="S74" i="2"/>
  <c r="AY29" i="2"/>
  <c r="N29" i="2" s="1"/>
  <c r="N238" i="3"/>
  <c r="N116" i="3"/>
  <c r="N160" i="3"/>
  <c r="N150" i="3"/>
  <c r="N63" i="3"/>
  <c r="N94" i="3"/>
  <c r="N7" i="3"/>
  <c r="N141" i="3"/>
  <c r="N60" i="3"/>
  <c r="N54" i="3"/>
  <c r="N234" i="3"/>
  <c r="N81" i="3"/>
  <c r="N224" i="3"/>
  <c r="N114" i="3"/>
  <c r="N172" i="3"/>
  <c r="N25" i="3"/>
  <c r="N225" i="3"/>
  <c r="N20" i="3"/>
  <c r="N175" i="3"/>
  <c r="N239" i="3"/>
  <c r="S79" i="2"/>
  <c r="N74" i="2"/>
  <c r="N79"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L33" i="2"/>
  <c r="AX33" i="2" s="1"/>
  <c r="N33" i="2" s="1"/>
  <c r="AK38" i="2"/>
  <c r="AW38" i="2" s="1"/>
  <c r="AK32" i="2"/>
  <c r="AW32" i="2" s="1"/>
  <c r="AL32" i="2"/>
  <c r="AX32" i="2" s="1"/>
  <c r="AL38" i="2"/>
  <c r="AX38" i="2" s="1"/>
  <c r="O58" i="2"/>
  <c r="P65" i="2"/>
  <c r="O51" i="2"/>
  <c r="O49" i="2"/>
  <c r="O32" i="2"/>
  <c r="O34" i="2"/>
  <c r="O101" i="2"/>
  <c r="O11" i="2"/>
  <c r="O28" i="2"/>
  <c r="O88" i="2"/>
  <c r="O9" i="2"/>
  <c r="O13" i="2"/>
  <c r="N59" i="2"/>
  <c r="R29" i="2"/>
  <c r="S91" i="2"/>
  <c r="N7" i="2"/>
  <c r="N63" i="2"/>
  <c r="O14" i="2"/>
  <c r="O94" i="2"/>
  <c r="O66" i="2"/>
  <c r="O24" i="2"/>
  <c r="O10" i="2"/>
  <c r="O30" i="2"/>
  <c r="O108" i="2"/>
  <c r="O72" i="2"/>
  <c r="O36" i="2"/>
  <c r="O99" i="2"/>
  <c r="N66" i="2"/>
  <c r="N102" i="2"/>
  <c r="N98" i="2"/>
  <c r="P91" i="2"/>
  <c r="R100" i="2"/>
  <c r="S68" i="2"/>
  <c r="N6" i="2"/>
  <c r="E11" i="2"/>
  <c r="N19" i="2"/>
  <c r="N36" i="2"/>
  <c r="N40" i="2"/>
  <c r="AU47" i="2"/>
  <c r="N47" i="2" s="1"/>
  <c r="AY50" i="2"/>
  <c r="N50" i="2" s="1"/>
  <c r="N55" i="2"/>
  <c r="N56" i="2"/>
  <c r="N57" i="2"/>
  <c r="N60" i="2"/>
  <c r="N97" i="2"/>
  <c r="N72" i="2"/>
  <c r="R54" i="2"/>
  <c r="O26" i="2"/>
  <c r="P54" i="2"/>
  <c r="N64" i="2"/>
  <c r="N94" i="2"/>
  <c r="S69" i="2"/>
  <c r="P8" i="2"/>
  <c r="N14" i="2"/>
  <c r="P55" i="2"/>
  <c r="N12" i="2"/>
  <c r="N18" i="2"/>
  <c r="N88" i="2"/>
  <c r="N91" i="2"/>
  <c r="S35" i="2"/>
  <c r="P64" i="2"/>
  <c r="S28" i="2"/>
  <c r="S6" i="2"/>
  <c r="S92" i="2"/>
  <c r="S97" i="2"/>
  <c r="N24" i="2"/>
  <c r="N68" i="2"/>
  <c r="N69" i="2"/>
  <c r="N13" i="2"/>
  <c r="N92" i="2"/>
  <c r="N100" i="2"/>
  <c r="P32" i="2"/>
  <c r="P60" i="2"/>
  <c r="P31" i="2"/>
  <c r="S14" i="2"/>
  <c r="S55" i="2"/>
  <c r="S105" i="2"/>
  <c r="R103" i="2"/>
  <c r="R72" i="2"/>
  <c r="P13" i="2"/>
  <c r="S94" i="2"/>
  <c r="N5" i="2"/>
  <c r="N8" i="2"/>
  <c r="N9" i="2"/>
  <c r="N10" i="2"/>
  <c r="N11" i="2"/>
  <c r="N65" i="2"/>
  <c r="N67" i="2"/>
  <c r="N70" i="2"/>
  <c r="N89" i="2"/>
  <c r="N96" i="2"/>
  <c r="P37" i="2"/>
  <c r="P103" i="2"/>
  <c r="P24" i="2"/>
  <c r="P72" i="2"/>
  <c r="P17" i="2"/>
  <c r="S65" i="2"/>
  <c r="R16" i="2"/>
  <c r="R12" i="2"/>
  <c r="N51" i="2"/>
  <c r="N53" i="2"/>
  <c r="N54" i="2"/>
  <c r="N58" i="2"/>
  <c r="N61" i="2"/>
  <c r="N62" i="2"/>
  <c r="N15" i="2"/>
  <c r="N99" i="2"/>
  <c r="S24" i="2"/>
  <c r="P96" i="2"/>
  <c r="S37" i="2"/>
  <c r="S12" i="2"/>
  <c r="R52" i="2"/>
  <c r="R48" i="2"/>
  <c r="AY48" i="2"/>
  <c r="N48" i="2" s="1"/>
  <c r="N49" i="2"/>
  <c r="N16" i="2"/>
  <c r="N73" i="2"/>
  <c r="N90" i="2"/>
  <c r="N95" i="2"/>
  <c r="P61" i="2"/>
  <c r="P111" i="2"/>
  <c r="P12" i="2"/>
  <c r="S46" i="2"/>
  <c r="R34" i="2"/>
  <c r="R39" i="2"/>
  <c r="N41" i="2"/>
  <c r="N42" i="2"/>
  <c r="N43" i="2"/>
  <c r="N44" i="2"/>
  <c r="N45" i="2"/>
  <c r="N46" i="2"/>
  <c r="O60" i="2"/>
  <c r="R89" i="2"/>
  <c r="N17" i="2"/>
  <c r="N87" i="2"/>
  <c r="N93" i="2"/>
  <c r="N101" i="2"/>
  <c r="P70" i="2"/>
  <c r="S19" i="2"/>
  <c r="S54" i="2"/>
  <c r="S50" i="2"/>
  <c r="R51" i="2"/>
  <c r="N30" i="2"/>
  <c r="N31" i="2"/>
  <c r="N34" i="2"/>
  <c r="N35" i="2"/>
  <c r="N37" i="2"/>
  <c r="N39" i="2"/>
  <c r="S25" i="2"/>
  <c r="S33" i="2"/>
  <c r="S64" i="2"/>
  <c r="N20" i="2"/>
  <c r="N21" i="2"/>
  <c r="N22" i="2"/>
  <c r="N23" i="2"/>
  <c r="N25" i="2"/>
  <c r="N26" i="2"/>
  <c r="N27" i="2"/>
  <c r="N28" i="2"/>
  <c r="N103" i="2"/>
  <c r="N104" i="2"/>
  <c r="N105" i="2"/>
  <c r="N106" i="2"/>
  <c r="N108" i="2"/>
  <c r="N111" i="2"/>
  <c r="S48" i="2"/>
  <c r="P30" i="2"/>
  <c r="O19" i="2"/>
  <c r="O6" i="2"/>
  <c r="P45" i="2"/>
  <c r="P68" i="2"/>
  <c r="P94" i="2"/>
  <c r="P66" i="2"/>
  <c r="P69" i="2"/>
  <c r="P102" i="2"/>
  <c r="O31" i="2"/>
  <c r="O50" i="2"/>
  <c r="O38" i="2"/>
  <c r="O97" i="2"/>
  <c r="O43" i="2"/>
  <c r="O57" i="2"/>
  <c r="O102" i="2"/>
  <c r="P48" i="2"/>
  <c r="O22" i="2"/>
  <c r="O47" i="2"/>
  <c r="S23" i="2"/>
  <c r="S18" i="2"/>
  <c r="P49" i="2"/>
  <c r="O29" i="2"/>
  <c r="O8" i="2"/>
  <c r="S56" i="2"/>
  <c r="S66" i="2"/>
  <c r="S95" i="2"/>
  <c r="S72" i="2"/>
  <c r="S58" i="2"/>
  <c r="S73" i="2"/>
  <c r="S103" i="2"/>
  <c r="P19" i="2"/>
  <c r="O37" i="2"/>
  <c r="R25" i="2"/>
  <c r="R69" i="2"/>
  <c r="R102" i="2"/>
  <c r="R15" i="2"/>
  <c r="R101" i="2"/>
  <c r="R30" i="2"/>
  <c r="R66" i="2"/>
  <c r="R5" i="2"/>
  <c r="R49" i="2"/>
  <c r="R98" i="2"/>
  <c r="R27" i="2"/>
  <c r="R111" i="2"/>
  <c r="S29" i="2"/>
  <c r="P5" i="2"/>
  <c r="P46" i="2"/>
  <c r="P73" i="2"/>
  <c r="P97" i="2"/>
  <c r="P106" i="2"/>
  <c r="P89" i="2"/>
  <c r="P105" i="2"/>
  <c r="O41" i="2"/>
  <c r="O61" i="2"/>
  <c r="O42" i="2"/>
  <c r="O53" i="2"/>
  <c r="O62" i="2"/>
  <c r="O69" i="2"/>
  <c r="O105" i="2"/>
  <c r="P41" i="2"/>
  <c r="S20" i="2"/>
  <c r="O93" i="2"/>
  <c r="S43" i="2"/>
  <c r="S98" i="2"/>
  <c r="O45" i="2"/>
  <c r="P28" i="2"/>
  <c r="P15" i="2"/>
  <c r="P26" i="2"/>
  <c r="O21" i="2"/>
  <c r="O7" i="2"/>
  <c r="P23" i="2"/>
  <c r="P11" i="2"/>
  <c r="S36" i="2"/>
  <c r="S40" i="2"/>
  <c r="S90" i="2"/>
  <c r="S87" i="2"/>
  <c r="S100" i="2"/>
  <c r="S106" i="2"/>
  <c r="P44" i="2"/>
  <c r="R104" i="2"/>
  <c r="R17" i="2"/>
  <c r="R61" i="2"/>
  <c r="R94" i="2"/>
  <c r="R7" i="2"/>
  <c r="R93" i="2"/>
  <c r="R14" i="2"/>
  <c r="R58" i="2"/>
  <c r="R41" i="2"/>
  <c r="R90" i="2"/>
  <c r="R19" i="2"/>
  <c r="O46" i="2"/>
  <c r="P33" i="2"/>
  <c r="P58" i="2"/>
  <c r="P100" i="2"/>
  <c r="P39" i="2"/>
  <c r="P35" i="2"/>
  <c r="P92" i="2"/>
  <c r="P42" i="2"/>
  <c r="P22" i="2"/>
  <c r="P9" i="2"/>
  <c r="O55" i="2"/>
  <c r="O68" i="2"/>
  <c r="O48" i="2"/>
  <c r="O54" i="2"/>
  <c r="O89" i="2"/>
  <c r="O106" i="2"/>
  <c r="S31" i="2"/>
  <c r="O39" i="2"/>
  <c r="P18" i="2"/>
  <c r="O18" i="2"/>
  <c r="O40" i="2"/>
  <c r="S27" i="2"/>
  <c r="P90" i="2"/>
  <c r="S41" i="2"/>
  <c r="P20" i="2"/>
  <c r="S5" i="2"/>
  <c r="S22" i="2"/>
  <c r="S9" i="2"/>
  <c r="S44" i="2"/>
  <c r="S51" i="2"/>
  <c r="S99" i="2"/>
  <c r="S93" i="2"/>
  <c r="S108" i="2"/>
  <c r="R96" i="2"/>
  <c r="R9" i="2"/>
  <c r="R53" i="2"/>
  <c r="R86" i="2"/>
  <c r="R105" i="2"/>
  <c r="R6" i="2"/>
  <c r="R50" i="2"/>
  <c r="R107" i="2"/>
  <c r="R36" i="2"/>
  <c r="R71" i="2"/>
  <c r="R11" i="2"/>
  <c r="O27" i="2"/>
  <c r="P14" i="2"/>
  <c r="P40" i="2"/>
  <c r="P87" i="2"/>
  <c r="P101" i="2"/>
  <c r="P47" i="2"/>
  <c r="P43" i="2"/>
  <c r="P95" i="2"/>
  <c r="S21" i="2"/>
  <c r="S8" i="2"/>
  <c r="O63" i="2"/>
  <c r="O73" i="2"/>
  <c r="O56" i="2"/>
  <c r="O59" i="2"/>
  <c r="O98" i="2"/>
  <c r="O92" i="2"/>
  <c r="O23" i="2"/>
  <c r="P38" i="2"/>
  <c r="P29" i="2"/>
  <c r="O12" i="2"/>
  <c r="S26" i="2"/>
  <c r="P10" i="2"/>
  <c r="O20" i="2"/>
  <c r="S39" i="2"/>
  <c r="S49" i="2"/>
  <c r="S60" i="2"/>
  <c r="S96" i="2"/>
  <c r="S70" i="2"/>
  <c r="O96" i="2"/>
  <c r="R88" i="2"/>
  <c r="R45" i="2"/>
  <c r="R68" i="2"/>
  <c r="R63" i="2"/>
  <c r="R67" i="2"/>
  <c r="R26" i="2"/>
  <c r="R42" i="2"/>
  <c r="R99" i="2"/>
  <c r="R28" i="2"/>
  <c r="R64" i="2"/>
  <c r="R70" i="2"/>
  <c r="S38" i="2"/>
  <c r="P51" i="2"/>
  <c r="P93" i="2"/>
  <c r="P56" i="2"/>
  <c r="P53" i="2"/>
  <c r="P62" i="2"/>
  <c r="P104" i="2"/>
  <c r="O33" i="2"/>
  <c r="S7" i="2"/>
  <c r="O65" i="2"/>
  <c r="O100" i="2"/>
  <c r="O70" i="2"/>
  <c r="O64" i="2"/>
  <c r="O103" i="2"/>
  <c r="O95" i="2"/>
  <c r="O17" i="2"/>
  <c r="O35" i="2"/>
  <c r="O16" i="2"/>
  <c r="S62" i="2"/>
  <c r="S11" i="2"/>
  <c r="P36" i="2"/>
  <c r="S10" i="2"/>
  <c r="O87" i="2"/>
  <c r="O15" i="2"/>
  <c r="P6" i="2"/>
  <c r="S34" i="2"/>
  <c r="S53" i="2"/>
  <c r="S57" i="2"/>
  <c r="S67" i="2"/>
  <c r="S111" i="2"/>
  <c r="S101" i="2"/>
  <c r="S88" i="2"/>
  <c r="S102" i="2"/>
  <c r="R62" i="2"/>
  <c r="R32" i="2"/>
  <c r="R60" i="2"/>
  <c r="R47" i="2"/>
  <c r="R59" i="2"/>
  <c r="R108" i="2"/>
  <c r="R37" i="2"/>
  <c r="R91" i="2"/>
  <c r="R20" i="2"/>
  <c r="R56" i="2"/>
  <c r="R55" i="2"/>
  <c r="P63" i="2"/>
  <c r="P34" i="2"/>
  <c r="P67" i="2"/>
  <c r="P50" i="2"/>
  <c r="P88" i="2"/>
  <c r="P59" i="2"/>
  <c r="P98" i="2"/>
  <c r="P108" i="2"/>
  <c r="P16" i="2"/>
  <c r="O5" i="2"/>
  <c r="O90" i="2"/>
  <c r="O111" i="2"/>
  <c r="O91" i="2"/>
  <c r="O104" i="2"/>
  <c r="O44" i="2"/>
  <c r="O67" i="2"/>
  <c r="P99" i="2"/>
  <c r="P25" i="2"/>
  <c r="P27" i="2"/>
  <c r="P57" i="2"/>
  <c r="O25" i="2"/>
  <c r="S42" i="2"/>
  <c r="P21" i="2"/>
  <c r="P7" i="2"/>
  <c r="S30" i="2"/>
  <c r="S32" i="2"/>
  <c r="S16" i="2"/>
  <c r="S59" i="2"/>
  <c r="S89" i="2"/>
  <c r="S63" i="2"/>
  <c r="S45" i="2"/>
  <c r="S61" i="2"/>
  <c r="R46" i="2"/>
  <c r="R95" i="2"/>
  <c r="R8" i="2"/>
  <c r="R44" i="2"/>
  <c r="R18" i="2"/>
  <c r="R43" i="2"/>
  <c r="R92" i="2"/>
  <c r="R21" i="2"/>
  <c r="R65" i="2"/>
  <c r="R97" i="2"/>
  <c r="R40" i="2"/>
  <c r="R10" i="2"/>
  <c r="R33" i="2"/>
  <c r="R87" i="2"/>
  <c r="R31" i="2"/>
  <c r="R109" i="2"/>
  <c r="R38" i="2"/>
  <c r="R73" i="2"/>
  <c r="R13" i="2"/>
  <c r="R57" i="2"/>
  <c r="R106" i="2"/>
  <c r="R35" i="2"/>
  <c r="E76" i="2" l="1"/>
  <c r="M76" i="2" s="1"/>
  <c r="E75" i="2"/>
  <c r="M75" i="2" s="1"/>
  <c r="E78" i="2"/>
  <c r="M78" i="2" s="1"/>
  <c r="E77" i="2"/>
  <c r="M77"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0" i="2"/>
  <c r="F218" i="3"/>
  <c r="J218" i="3" s="1"/>
  <c r="F231" i="3"/>
  <c r="I231" i="3" s="1"/>
  <c r="E110" i="2"/>
  <c r="M110" i="2" s="1"/>
  <c r="F173" i="3"/>
  <c r="M173" i="3" s="1"/>
  <c r="F216" i="3"/>
  <c r="M216" i="3" s="1"/>
  <c r="F138" i="3"/>
  <c r="M138" i="3" s="1"/>
  <c r="F21" i="3"/>
  <c r="M21" i="3" s="1"/>
  <c r="F197" i="3"/>
  <c r="J197" i="3" s="1"/>
  <c r="F105" i="3"/>
  <c r="M105" i="3" s="1"/>
  <c r="F65" i="3"/>
  <c r="J65" i="3" s="1"/>
  <c r="F64" i="3"/>
  <c r="M64" i="3" s="1"/>
  <c r="F58" i="3"/>
  <c r="M58" i="3" s="1"/>
  <c r="F49" i="3"/>
  <c r="M49" i="3" s="1"/>
  <c r="F147" i="3"/>
  <c r="M147"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148" i="3"/>
  <c r="J148"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4" i="2"/>
  <c r="M74" i="2" s="1"/>
  <c r="N38" i="2"/>
  <c r="E38" i="2" s="1"/>
  <c r="E79" i="2"/>
  <c r="K79" i="2" s="1"/>
  <c r="E30" i="2"/>
  <c r="M30" i="2" s="1"/>
  <c r="E90" i="2"/>
  <c r="K90" i="2" s="1"/>
  <c r="E14" i="2"/>
  <c r="M14" i="2" s="1"/>
  <c r="E69" i="2"/>
  <c r="M69" i="2" s="1"/>
  <c r="E34" i="2"/>
  <c r="K34" i="2" s="1"/>
  <c r="E99" i="2"/>
  <c r="K99" i="2" s="1"/>
  <c r="E91" i="2"/>
  <c r="K91" i="2" s="1"/>
  <c r="E104" i="2"/>
  <c r="M104" i="2" s="1"/>
  <c r="E12" i="2"/>
  <c r="M12" i="2" s="1"/>
  <c r="E9" i="2"/>
  <c r="K9" i="2" s="1"/>
  <c r="E58" i="2"/>
  <c r="K58" i="2" s="1"/>
  <c r="E66" i="2"/>
  <c r="M66" i="2" s="1"/>
  <c r="E35" i="2"/>
  <c r="K35" i="2" s="1"/>
  <c r="E72" i="2"/>
  <c r="M72" i="2" s="1"/>
  <c r="E92" i="2"/>
  <c r="M92" i="2" s="1"/>
  <c r="E60" i="2"/>
  <c r="M60" i="2" s="1"/>
  <c r="E64" i="2"/>
  <c r="K64" i="2" s="1"/>
  <c r="E16" i="2"/>
  <c r="K16" i="2" s="1"/>
  <c r="E96" i="2"/>
  <c r="K96" i="2" s="1"/>
  <c r="E103" i="2"/>
  <c r="M103" i="2" s="1"/>
  <c r="E56" i="2"/>
  <c r="K56" i="2" s="1"/>
  <c r="E101" i="2"/>
  <c r="K101" i="2" s="1"/>
  <c r="E88" i="2"/>
  <c r="K88" i="2" s="1"/>
  <c r="E65" i="2"/>
  <c r="K65" i="2" s="1"/>
  <c r="E51" i="2"/>
  <c r="M51" i="2" s="1"/>
  <c r="E73" i="2"/>
  <c r="K73" i="2" s="1"/>
  <c r="E55" i="2"/>
  <c r="K55" i="2" s="1"/>
  <c r="E93" i="2"/>
  <c r="M93" i="2" s="1"/>
  <c r="E29" i="2"/>
  <c r="K29" i="2" s="1"/>
  <c r="E102" i="2"/>
  <c r="K102" i="2" s="1"/>
  <c r="E111" i="2"/>
  <c r="M111" i="2" s="1"/>
  <c r="E57" i="2"/>
  <c r="K57" i="2" s="1"/>
  <c r="E33" i="2"/>
  <c r="M33" i="2" s="1"/>
  <c r="E68" i="2"/>
  <c r="K68" i="2" s="1"/>
  <c r="E106" i="2"/>
  <c r="K106" i="2" s="1"/>
  <c r="E7" i="2"/>
  <c r="K7" i="2" s="1"/>
  <c r="E26" i="2"/>
  <c r="K26" i="2" s="1"/>
  <c r="E18" i="2"/>
  <c r="M18" i="2" s="1"/>
  <c r="E43" i="2"/>
  <c r="M43" i="2" s="1"/>
  <c r="E94" i="2"/>
  <c r="K94" i="2" s="1"/>
  <c r="E63" i="2"/>
  <c r="K63" i="2" s="1"/>
  <c r="E87" i="2"/>
  <c r="M87" i="2" s="1"/>
  <c r="E95" i="2"/>
  <c r="M95" i="2" s="1"/>
  <c r="E89" i="2"/>
  <c r="M89" i="2" s="1"/>
  <c r="E97" i="2"/>
  <c r="M97" i="2" s="1"/>
  <c r="E98" i="2"/>
  <c r="M98" i="2" s="1"/>
  <c r="E45" i="2"/>
  <c r="K45" i="2" s="1"/>
  <c r="E50" i="2"/>
  <c r="K50" i="2" s="1"/>
  <c r="E28" i="2"/>
  <c r="K28" i="2" s="1"/>
  <c r="E47" i="2"/>
  <c r="M47" i="2" s="1"/>
  <c r="E108" i="2"/>
  <c r="M108" i="2" s="1"/>
  <c r="E20" i="2"/>
  <c r="K20" i="2" s="1"/>
  <c r="E70" i="2"/>
  <c r="K70" i="2" s="1"/>
  <c r="E10" i="2"/>
  <c r="M10" i="2" s="1"/>
  <c r="E59" i="2"/>
  <c r="M59" i="2" s="1"/>
  <c r="E37" i="2"/>
  <c r="K37" i="2" s="1"/>
  <c r="E100" i="2"/>
  <c r="M100" i="2" s="1"/>
  <c r="E19" i="2"/>
  <c r="K19" i="2" s="1"/>
  <c r="E105" i="2"/>
  <c r="E48" i="2"/>
  <c r="E67" i="2"/>
  <c r="E40" i="2"/>
  <c r="E62" i="2"/>
  <c r="E53" i="2"/>
  <c r="FG24" i="2"/>
  <c r="R24" i="2" s="1"/>
  <c r="E24" i="2" s="1"/>
  <c r="GE15" i="2"/>
  <c r="S15" i="2" s="1"/>
  <c r="E15" i="2" s="1"/>
  <c r="GE17" i="2"/>
  <c r="S17" i="2" s="1"/>
  <c r="E17" i="2" s="1"/>
  <c r="FG22" i="2"/>
  <c r="R22" i="2" s="1"/>
  <c r="E22" i="2" s="1"/>
  <c r="FG23" i="2"/>
  <c r="R23" i="2" s="1"/>
  <c r="E23" i="2" s="1"/>
  <c r="GE13" i="2"/>
  <c r="S13" i="2" s="1"/>
  <c r="E13" i="2" s="1"/>
  <c r="E42" i="2"/>
  <c r="E61" i="2"/>
  <c r="K76" i="2" l="1"/>
  <c r="K78" i="2"/>
  <c r="K77" i="2"/>
  <c r="K75" i="2"/>
  <c r="M186" i="3"/>
  <c r="I186" i="3"/>
  <c r="M185" i="3"/>
  <c r="I185" i="3"/>
  <c r="M31" i="3"/>
  <c r="J30" i="3"/>
  <c r="J32" i="3"/>
  <c r="I32" i="3"/>
  <c r="M202" i="3"/>
  <c r="M189" i="3"/>
  <c r="M201" i="3"/>
  <c r="J192" i="3"/>
  <c r="J138" i="3"/>
  <c r="I228" i="3"/>
  <c r="M162" i="3"/>
  <c r="J166" i="3"/>
  <c r="M188" i="3"/>
  <c r="J49" i="3"/>
  <c r="M231" i="3"/>
  <c r="M240" i="3"/>
  <c r="M218" i="3"/>
  <c r="K80" i="2"/>
  <c r="M80" i="2"/>
  <c r="K110"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0" i="2"/>
  <c r="I25" i="3"/>
  <c r="M79" i="2"/>
  <c r="M99" i="2"/>
  <c r="M101" i="2"/>
  <c r="K74" i="2"/>
  <c r="M106" i="2"/>
  <c r="M7" i="2"/>
  <c r="M6" i="2" s="1"/>
  <c r="M16" i="2"/>
  <c r="M35" i="2"/>
  <c r="M96" i="2"/>
  <c r="K108" i="2"/>
  <c r="M68" i="2"/>
  <c r="K30" i="2"/>
  <c r="M55" i="2"/>
  <c r="K12" i="2"/>
  <c r="K97" i="2"/>
  <c r="K14" i="2"/>
  <c r="K72" i="2"/>
  <c r="K92" i="2"/>
  <c r="M70" i="2"/>
  <c r="M57" i="2"/>
  <c r="M91" i="2"/>
  <c r="M58" i="2"/>
  <c r="M9" i="2"/>
  <c r="M8" i="2" s="1"/>
  <c r="K69" i="2"/>
  <c r="M63" i="2"/>
  <c r="M28" i="2"/>
  <c r="K66" i="2"/>
  <c r="M73" i="2"/>
  <c r="M56" i="2"/>
  <c r="K51" i="2"/>
  <c r="K100" i="2"/>
  <c r="K33" i="2"/>
  <c r="M19" i="2"/>
  <c r="M34" i="2"/>
  <c r="M29" i="2"/>
  <c r="M50" i="2"/>
  <c r="M49" i="2" s="1"/>
  <c r="K10" i="2"/>
  <c r="M64" i="2"/>
  <c r="K18" i="2"/>
  <c r="K60" i="2"/>
  <c r="M26" i="2"/>
  <c r="M25" i="2" s="1"/>
  <c r="K98" i="2"/>
  <c r="M102" i="2"/>
  <c r="K104" i="2"/>
  <c r="M37" i="2"/>
  <c r="M65" i="2"/>
  <c r="M94" i="2"/>
  <c r="K103" i="2"/>
  <c r="K87" i="2"/>
  <c r="K111" i="2"/>
  <c r="K59" i="2"/>
  <c r="K47" i="2"/>
  <c r="M45" i="2"/>
  <c r="M44" i="2" s="1"/>
  <c r="M88" i="2"/>
  <c r="K43" i="2"/>
  <c r="K93" i="2"/>
  <c r="K89" i="2"/>
  <c r="M20" i="2"/>
  <c r="K95" i="2"/>
  <c r="K13" i="2"/>
  <c r="M13" i="2"/>
  <c r="M22" i="2"/>
  <c r="K22" i="2"/>
  <c r="K17" i="2"/>
  <c r="M17" i="2"/>
  <c r="K40" i="2"/>
  <c r="M40" i="2"/>
  <c r="M39" i="2" s="1"/>
  <c r="M23" i="2"/>
  <c r="K23" i="2"/>
  <c r="M105" i="2"/>
  <c r="K105" i="2"/>
  <c r="M24" i="2"/>
  <c r="K24" i="2"/>
  <c r="M67" i="2"/>
  <c r="K67" i="2"/>
  <c r="M15" i="2"/>
  <c r="K15" i="2"/>
  <c r="M53" i="2"/>
  <c r="M52" i="2" s="1"/>
  <c r="K53" i="2"/>
  <c r="K48" i="2"/>
  <c r="M48" i="2"/>
  <c r="M46" i="2" s="1"/>
  <c r="K61" i="2"/>
  <c r="M61" i="2"/>
  <c r="K38" i="2"/>
  <c r="M38" i="2"/>
  <c r="K42" i="2"/>
  <c r="M42" i="2"/>
  <c r="M41" i="2" s="1"/>
  <c r="M62" i="2"/>
  <c r="K62" i="2"/>
  <c r="M32" i="2"/>
  <c r="K32" i="2"/>
  <c r="M235" i="3" l="1"/>
  <c r="M157" i="3"/>
  <c r="M137" i="3"/>
  <c r="M46" i="3"/>
  <c r="K86" i="2"/>
  <c r="J5" i="3"/>
  <c r="M78" i="3"/>
  <c r="I33" i="3"/>
  <c r="M97" i="3"/>
  <c r="J46" i="3"/>
  <c r="J72" i="3"/>
  <c r="M33" i="3"/>
  <c r="I203" i="3"/>
  <c r="I157" i="3"/>
  <c r="M123" i="3"/>
  <c r="M203" i="3"/>
  <c r="I235" i="3"/>
  <c r="I46" i="3"/>
  <c r="I5" i="3"/>
  <c r="J157" i="3"/>
  <c r="J77" i="3"/>
  <c r="M5" i="3"/>
  <c r="K71" i="2"/>
  <c r="M27" i="2"/>
  <c r="M36" i="2"/>
  <c r="K107" i="2"/>
  <c r="K54"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<sst xmlns="http://schemas.openxmlformats.org/spreadsheetml/2006/main" count="2339" uniqueCount="1175">
  <si>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</si>
  <si>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</si>
  <si>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</si>
  <si>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</si>
  <si>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</si>
  <si>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</si>
  <si>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</si>
  <si>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</si>
  <si>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</si>
  <si>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</si>
  <si>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</si>
  <si>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</si>
  <si>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</si>
  <si>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</si>
  <si>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</si>
  <si>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</si>
  <si>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</si>
  <si>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</si>
  <si>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</si>
  <si>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</si>
  <si>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</si>
  <si>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</si>
  <si>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</si>
  <si>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</si>
  <si>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</si>
  <si>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</si>
  <si>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</si>
  <si>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</si>
  <si>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</si>
  <si>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</si>
  <si>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</si>
  <si>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</si>
  <si>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</si>
  <si>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</si>
  <si>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</si>
  <si>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</si>
  <si>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</si>
  <si>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</si>
  <si>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</si>
  <si>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</si>
  <si>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</si>
  <si>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</si>
  <si>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</si>
  <si>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</si>
  <si>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</si>
  <si>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</si>
  <si>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</si>
  <si>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</si>
  <si>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</si>
  <si>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</si>
  <si>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</si>
  <si>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</si>
  <si>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</si>
  <si>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</si>
  <si>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</si>
  <si>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</si>
  <si>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</si>
  <si>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</si>
  <si>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</si>
  <si>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</si>
  <si>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</si>
  <si>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</si>
  <si>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</si>
  <si>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</si>
  <si>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</si>
  <si>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</si>
  <si>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</si>
  <si>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</si>
  <si>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</si>
  <si>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</si>
  <si>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</si>
  <si>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</si>
  <si>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</si>
  <si>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</si>
  <si>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</si>
  <si>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</si>
  <si>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</si>
  <si>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</si>
  <si>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</si>
  <si>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</si>
  <si>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</si>
  <si>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</si>
  <si>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</si>
  <si>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</si>
  <si>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</si>
  <si>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</si>
  <si>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</si>
  <si>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</si>
  <si>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</si>
  <si>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</si>
  <si>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</si>
  <si>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</si>
  <si>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</si>
  <si>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</si>
  <si>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</si>
  <si>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</si>
  <si>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</si>
  <si>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</si>
  <si>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</si>
  <si>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</si>
  <si>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</si>
  <si>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</si>
  <si>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</si>
  <si>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</si>
  <si>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</si>
  <si>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</si>
  <si>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</si>
  <si>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</si>
  <si>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</si>
  <si>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</si>
  <si>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</si>
  <si>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</si>
  <si>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</si>
  <si>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</si>
  <si>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</si>
  <si>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</si>
  <si>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</si>
  <si>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</si>
  <si>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</si>
  <si>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</si>
  <si>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</si>
  <si>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</si>
  <si>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</si>
  <si>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</si>
  <si>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</si>
  <si>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</si>
  <si>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</si>
  <si>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</si>
  <si>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</si>
  <si>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</si>
  <si>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</si>
  <si>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</si>
  <si>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</si>
  <si>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</si>
  <si>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</si>
  <si>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</si>
  <si>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</si>
  <si>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</si>
  <si>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</si>
  <si>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</si>
  <si>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</si>
  <si>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</si>
  <si>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</si>
  <si>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</si>
  <si>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</si>
  <si>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</si>
  <si>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</si>
  <si>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</si>
  <si>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</si>
  <si>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</si>
  <si>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</si>
  <si>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</si>
  <si>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</si>
  <si>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</si>
  <si>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</si>
  <si>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</si>
  <si>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</si>
  <si>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</si>
  <si>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</si>
  <si>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</si>
  <si>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</si>
  <si>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</si>
  <si>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</si>
  <si>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</si>
  <si>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</si>
  <si>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</si>
  <si>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</si>
  <si>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</si>
  <si>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</si>
  <si>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</si>
  <si>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</si>
  <si>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</si>
  <si>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</si>
  <si>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</si>
  <si>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</si>
  <si>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</si>
  <si>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</si>
  <si>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</si>
  <si>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</si>
  <si>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</si>
  <si>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</si>
  <si>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</si>
  <si>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</si>
  <si>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</si>
  <si>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</si>
  <si>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</si>
  <si>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</si>
  <si>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</si>
  <si>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</si>
  <si>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</si>
  <si>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</si>
  <si>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</si>
  <si>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</si>
  <si>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</si>
  <si>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</si>
  <si>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</si>
  <si>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</si>
  <si>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</si>
  <si>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</si>
  <si>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</si>
  <si>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</si>
  <si>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</si>
  <si>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</si>
  <si>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</si>
  <si>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</si>
  <si>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</si>
  <si>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</si>
  <si>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</si>
  <si>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</si>
  <si>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</si>
  <si>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</si>
  <si>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</si>
  <si>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</si>
  <si>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</si>
  <si>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</si>
  <si>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</si>
  <si>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</si>
  <si>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</si>
  <si>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</si>
  <si>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</si>
  <si>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</si>
  <si>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</si>
  <si>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</si>
  <si>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</si>
  <si>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</si>
  <si>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</si>
  <si>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</si>
  <si>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</si>
  <si>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</si>
  <si>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</si>
  <si>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</si>
  <si>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</si>
  <si>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</si>
  <si>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</si>
  <si>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</si>
  <si>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</si>
  <si>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</si>
  <si>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</si>
  <si>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</si>
  <si>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</si>
  <si>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</si>
  <si>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</si>
  <si>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</si>
  <si>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</si>
  <si>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</si>
  <si>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</si>
  <si>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</si>
  <si>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</si>
  <si>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</si>
  <si>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</si>
  <si>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</si>
  <si>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</si>
  <si>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</si>
  <si>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</si>
  <si>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</si>
  <si>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</si>
  <si>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</si>
  <si>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</si>
  <si>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</si>
  <si>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</si>
  <si>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</si>
  <si>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</si>
  <si>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</si>
  <si>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</si>
  <si>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</si>
  <si>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</si>
  <si>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</si>
  <si>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</si>
  <si>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</si>
  <si>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</si>
  <si>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</si>
  <si>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</si>
  <si>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</si>
  <si>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</si>
  <si>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</si>
  <si>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</si>
  <si>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</si>
  <si>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</si>
  <si>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</si>
  <si>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</si>
  <si>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</si>
  <si>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</si>
  <si>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</si>
  <si>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</si>
  <si>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</si>
  <si>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</si>
  <si>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</si>
  <si>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</si>
  <si>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</si>
  <si>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</si>
  <si>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</si>
  <si>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</si>
  <si>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</si>
  <si>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</si>
  <si>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</si>
  <si>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</si>
  <si>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</si>
  <si>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</si>
  <si>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</si>
  <si>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</si>
  <si>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</si>
  <si>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</si>
  <si>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</si>
  <si>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</si>
  <si>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</si>
  <si>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</si>
  <si>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</si>
  <si>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</si>
  <si>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</si>
  <si>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</si>
  <si>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</si>
  <si>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</si>
  <si>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</si>
  <si>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</si>
  <si>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</si>
  <si>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</si>
  <si>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</si>
  <si>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</si>
  <si>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</si>
  <si>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</si>
  <si>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</si>
  <si>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</si>
  <si>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</si>
  <si>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</si>
  <si>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</si>
  <si>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</si>
  <si>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</si>
  <si>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</si>
  <si>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</si>
  <si>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</si>
  <si>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</si>
  <si>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</si>
  <si>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</si>
  <si>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</si>
  <si>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</si>
  <si>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</si>
  <si>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</si>
  <si>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</si>
  <si>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</si>
  <si>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</si>
  <si>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</si>
  <si>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</si>
  <si>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</si>
  <si>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</si>
  <si>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</si>
  <si>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</si>
  <si>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</si>
  <si>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</si>
  <si>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</si>
  <si>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</si>
  <si>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</si>
  <si>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</si>
  <si>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</si>
  <si>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</si>
  <si>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</si>
  <si>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</si>
  <si>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</si>
  <si>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</si>
  <si>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</si>
  <si>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</si>
  <si>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</si>
  <si>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</si>
  <si>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</si>
  <si>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</si>
  <si>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</si>
  <si>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</si>
  <si>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</si>
  <si>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</si>
  <si>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</si>
  <si>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</si>
  <si>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</si>
  <si>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</si>
  <si>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</si>
  <si>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</si>
  <si>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</si>
  <si>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</si>
  <si>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</si>
  <si>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</si>
  <si>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</si>
  <si>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</si>
  <si>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</si>
  <si>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</si>
  <si>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</si>
  <si>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</si>
  <si>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</si>
  <si>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</si>
  <si>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</si>
  <si>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</si>
  <si>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</si>
  <si>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</si>
  <si>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</si>
  <si>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</si>
  <si>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</si>
  <si>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</si>
  <si>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</si>
  <si>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</si>
  <si>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</si>
  <si>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</si>
  <si>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</si>
  <si>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</si>
  <si>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</si>
  <si>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</si>
  <si>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</si>
  <si>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</si>
  <si>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</si>
  <si>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</si>
  <si>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</si>
  <si>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</si>
  <si>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</si>
  <si>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</si>
  <si>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</si>
  <si>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</si>
  <si>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</si>
  <si>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</si>
  <si>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</si>
  <si>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</si>
  <si>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</si>
  <si>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</si>
  <si>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</si>
  <si>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</si>
  <si>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</si>
  <si>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</si>
  <si>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</si>
  <si>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</si>
  <si>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</si>
  <si>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</si>
  <si>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</si>
  <si>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</si>
  <si>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</si>
  <si>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</si>
  <si>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</si>
  <si>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</si>
  <si>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</si>
  <si>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</si>
  <si>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</si>
  <si>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</si>
  <si>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</si>
  <si>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</si>
  <si>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</si>
  <si>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</si>
  <si>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</si>
  <si>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</si>
  <si>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</si>
  <si>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</si>
  <si>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</si>
  <si>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</si>
  <si>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</si>
  <si>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</si>
  <si>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</si>
  <si>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</si>
  <si>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</si>
  <si>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</si>
  <si>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</si>
  <si>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</si>
  <si>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</si>
  <si>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</si>
  <si>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</si>
  <si>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</si>
  <si>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</si>
  <si>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</si>
  <si>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</si>
  <si>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</si>
  <si>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</si>
  <si>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</si>
  <si>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</si>
  <si>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</si>
  <si>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</si>
  <si>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</si>
  <si>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</si>
  <si>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</si>
  <si>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</si>
  <si>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</si>
  <si>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</si>
  <si>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</si>
  <si>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</si>
  <si>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</si>
  <si>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</si>
  <si>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</si>
  <si>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</si>
  <si>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</si>
  <si>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</si>
  <si>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</si>
  <si>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</si>
  <si>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</si>
  <si>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</si>
  <si>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</si>
  <si>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</si>
  <si>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</si>
  <si>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</si>
  <si>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</si>
  <si>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</si>
  <si>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</si>
  <si>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</si>
  <si>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</si>
  <si>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</si>
  <si>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</si>
  <si>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</si>
  <si>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</si>
  <si>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</si>
  <si>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</si>
  <si>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</si>
  <si>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</si>
  <si>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</si>
  <si>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</si>
  <si>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</si>
  <si>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</si>
  <si>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</si>
  <si>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</si>
  <si>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</si>
  <si>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</si>
  <si>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</si>
  <si>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</si>
  <si>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</si>
  <si>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</si>
  <si>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</si>
  <si>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</si>
  <si>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</si>
  <si>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</si>
  <si>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</si>
  <si>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</si>
  <si>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</si>
  <si>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</si>
  <si>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</si>
  <si>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</si>
  <si>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</si>
  <si>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</si>
  <si>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</si>
  <si>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</si>
  <si>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</si>
  <si>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</si>
  <si>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</si>
  <si>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</si>
  <si>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</si>
  <si>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</si>
  <si>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</si>
  <si>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</si>
  <si>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</si>
  <si>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</si>
  <si>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</si>
  <si>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</si>
  <si>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</si>
  <si>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</si>
  <si>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</si>
  <si>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</si>
  <si>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</si>
  <si>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</si>
  <si>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</si>
  <si>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</si>
  <si>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</si>
  <si>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</si>
  <si>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</si>
  <si>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</si>
  <si>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</si>
  <si>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</si>
  <si>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</si>
  <si>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</si>
  <si>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</si>
  <si>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</si>
  <si>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</si>
  <si>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</si>
  <si>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</si>
  <si>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</si>
  <si>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</si>
  <si>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</si>
  <si>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</si>
  <si>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</si>
  <si>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</si>
  <si>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</si>
  <si>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</si>
  <si>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</si>
  <si>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</si>
  <si>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</si>
  <si>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</si>
  <si>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</si>
  <si>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</si>
  <si>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</si>
  <si>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</si>
  <si>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</si>
  <si>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</si>
  <si>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</si>
  <si>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</si>
  <si>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</si>
  <si>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</si>
  <si>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</si>
  <si>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</si>
  <si>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</si>
  <si>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</si>
  <si>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</si>
  <si>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</si>
  <si>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</si>
  <si>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</si>
  <si>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</si>
  <si>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</si>
  <si>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</si>
  <si>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</si>
  <si>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</si>
  <si>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</si>
  <si>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</si>
  <si>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</si>
  <si>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</si>
  <si>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</si>
  <si>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</si>
  <si>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</si>
  <si>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</si>
  <si>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</si>
  <si>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</si>
  <si>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</si>
  <si>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</si>
  <si>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</si>
  <si>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</si>
  <si>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</si>
  <si>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</si>
  <si>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</si>
  <si>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</si>
  <si>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</si>
  <si>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</si>
  <si>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</si>
  <si>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</si>
  <si>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</si>
  <si>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</si>
  <si>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</si>
  <si>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</si>
  <si>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</si>
  <si>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</si>
  <si>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</si>
  <si>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</si>
  <si>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</si>
  <si>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</si>
  <si>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</si>
  <si>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</si>
  <si>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</si>
  <si>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</si>
  <si>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</si>
  <si>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</si>
  <si>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</si>
  <si>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</si>
  <si>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</si>
  <si>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</si>
  <si>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</si>
  <si>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</si>
  <si>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</si>
  <si>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</si>
  <si>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</si>
  <si>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</si>
  <si>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</si>
  <si>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</si>
  <si>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</si>
  <si>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</si>
  <si>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</si>
  <si>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</si>
  <si>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</si>
  <si>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</si>
  <si>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</si>
  <si>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</si>
  <si>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</si>
  <si>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</si>
  <si>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</si>
  <si>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</si>
  <si>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</si>
  <si>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</si>
  <si>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</si>
  <si>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</si>
  <si>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</si>
  <si>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</si>
  <si>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</si>
  <si>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</si>
  <si>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</si>
  <si>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</si>
  <si>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</si>
  <si>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</si>
  <si>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</si>
  <si>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</si>
  <si>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</si>
  <si>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</si>
  <si>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</si>
  <si>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</si>
  <si>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</si>
  <si>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</si>
  <si>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</si>
  <si>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</si>
  <si>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</si>
  <si>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</si>
  <si>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</si>
  <si>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</si>
  <si>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</si>
  <si>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</si>
  <si>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</si>
  <si>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</si>
  <si>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</si>
  <si>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</si>
  <si>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</si>
  <si>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</si>
  <si>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</si>
  <si>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</si>
  <si>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</si>
  <si>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</si>
  <si>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</si>
  <si>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</si>
  <si>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</si>
  <si>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</si>
  <si>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</si>
  <si>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</si>
  <si>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</si>
  <si>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</si>
  <si>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</si>
  <si>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</si>
  <si>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</si>
  <si>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</si>
  <si>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</si>
  <si>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</si>
  <si>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</si>
  <si>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</si>
  <si>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</si>
  <si>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</si>
  <si>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</si>
  <si>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</si>
  <si>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</si>
  <si>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</si>
  <si>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</si>
  <si>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</si>
  <si>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</si>
  <si>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</si>
  <si>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</si>
  <si>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</si>
  <si>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</si>
  <si>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</si>
  <si>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</si>
  <si>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</si>
  <si>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</si>
  <si>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</si>
  <si>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</si>
  <si>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</si>
  <si>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</si>
  <si>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</si>
  <si>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</si>
  <si>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</si>
  <si>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</si>
  <si>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</si>
  <si>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</si>
  <si>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</si>
  <si>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</si>
  <si>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</si>
  <si>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</si>
  <si>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</si>
  <si>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</si>
  <si>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</si>
  <si>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</si>
  <si>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</si>
  <si>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</si>
  <si>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</si>
  <si>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</si>
  <si>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</si>
  <si>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</si>
  <si>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</si>
  <si>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</si>
  <si>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</si>
  <si>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</si>
  <si>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</si>
  <si>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</si>
  <si>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</si>
  <si>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AB stepper cooling</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</si>
  <si>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</si>
  <si>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</si>
  <si>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</si>
  <si>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</si>
  <si>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</si>
  <si>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</si>
  <si>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</si>
  <si>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</si>
  <si>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</si>
  <si>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</si>
  <si>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</si>
  <si>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</si>
  <si>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</si>
  <si>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</si>
  <si>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</si>
  <si>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</si>
  <si>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</si>
  <si>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</si>
  <si>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</si>
  <si>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</si>
  <si>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</si>
  <si>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</si>
  <si>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</si>
  <si>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</si>
  <si>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</si>
  <si>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</si>
  <si>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</si>
  <si>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</si>
  <si>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</si>
  <si>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</si>
  <si>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</si>
  <si>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</si>
  <si>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</si>
  <si>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</si>
  <si>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</si>
  <si>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</si>
  <si>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</si>
  <si>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</si>
  <si>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</si>
  <si>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</si>
  <si>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</si>
  <si>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</si>
  <si>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</si>
  <si>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</si>
  <si>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</si>
  <si>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</si>
  <si>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</si>
  <si>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</si>
  <si>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</si>
  <si>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</si>
  <si>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</si>
  <si>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</si>
  <si>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</si>
  <si>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</si>
  <si>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</si>
  <si>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</si>
  <si>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</si>
  <si>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</si>
  <si>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</si>
  <si>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</si>
  <si>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</si>
  <si>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</si>
  <si>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</si>
  <si>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</si>
  <si>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</si>
  <si>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</si>
  <si>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</si>
  <si>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</si>
  <si>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</si>
  <si>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</si>
  <si>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</si>
  <si>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</si>
  <si>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</si>
  <si>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</si>
  <si>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</si>
  <si>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</si>
  <si>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</si>
  <si>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</si>
  <si>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</si>
  <si>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</si>
  <si>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</si>
  <si>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</si>
  <si>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</si>
  <si>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</si>
  <si>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</si>
  <si>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</si>
  <si>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</si>
  <si>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</si>
  <si>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</si>
  <si>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</si>
  <si>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</si>
  <si>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</si>
  <si>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</si>
  <si>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</si>
  <si>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</si>
  <si>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</si>
  <si>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</si>
  <si>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</si>
  <si>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</si>
  <si>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</si>
  <si>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</si>
  <si>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</si>
  <si>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</si>
  <si>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</si>
  <si>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</si>
  <si>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</si>
  <si>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</si>
  <si>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</si>
  <si>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</si>
  <si>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</si>
  <si>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</si>
  <si>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</si>
  <si>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</si>
  <si>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</si>
  <si>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</si>
  <si>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</si>
  <si>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</si>
  <si>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</si>
  <si>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</si>
  <si>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</si>
  <si>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</si>
  <si>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</si>
  <si>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</si>
  <si>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</si>
  <si>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</si>
  <si>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</si>
  <si>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</si>
  <si>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</si>
  <si>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</si>
  <si>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</si>
  <si>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</si>
  <si>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screws</t>
  </si>
  <si>
    <t>B</t>
  </si>
  <si>
    <t>OTHER 2</t>
  </si>
  <si>
    <t>HARDWARE KIT</t>
  </si>
  <si>
    <t>MOTION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</si>
  <si>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</si>
  <si>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</si>
  <si>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</si>
  <si>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</si>
  <si>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</si>
  <si>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</si>
  <si>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</si>
  <si>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</si>
  <si>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</si>
  <si>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</si>
  <si>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</si>
  <si>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</si>
  <si>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</si>
  <si>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</si>
  <si>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</si>
  <si>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</si>
  <si>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</si>
  <si>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</si>
  <si>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</si>
  <si>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</si>
  <si>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</si>
  <si>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</si>
  <si>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</si>
  <si>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</si>
  <si>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</si>
  <si>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</si>
  <si>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</si>
  <si>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</si>
  <si>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</si>
  <si>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</si>
  <si>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</si>
  <si>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</si>
  <si>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</si>
  <si>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</si>
  <si>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</si>
  <si>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</si>
  <si>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</si>
  <si>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</si>
  <si>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</si>
  <si>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</si>
  <si>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</si>
  <si>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</si>
  <si>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</si>
  <si>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</si>
  <si>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</si>
  <si>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</si>
  <si>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</si>
  <si>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</si>
  <si>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</si>
  <si>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</si>
  <si>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</si>
  <si>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</si>
  <si>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</si>
  <si>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</si>
  <si>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</si>
  <si>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</si>
  <si>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</si>
  <si>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</si>
  <si>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</si>
  <si>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</si>
  <si>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</si>
  <si>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</si>
  <si>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</si>
  <si>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</si>
  <si>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</si>
  <si>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</si>
  <si>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</si>
  <si>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</si>
  <si>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</si>
  <si>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</si>
  <si>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</si>
  <si>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</si>
  <si>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</si>
  <si>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</si>
  <si>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</si>
  <si>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</si>
  <si>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</si>
  <si>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</si>
  <si>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</si>
  <si>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</si>
  <si>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</si>
  <si>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</si>
  <si>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</si>
  <si>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</si>
  <si>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</si>
  <si>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</si>
  <si>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</si>
  <si>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</si>
  <si>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</si>
  <si>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</si>
  <si>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</si>
  <si>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</si>
  <si>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</si>
  <si>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</si>
  <si>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</si>
  <si>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</si>
  <si>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</si>
  <si>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</si>
  <si>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</si>
  <si>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</si>
  <si>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</si>
  <si>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</si>
  <si>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</si>
  <si>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</si>
  <si>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</si>
  <si>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</si>
  <si>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</si>
  <si>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</si>
  <si>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</si>
  <si>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</si>
  <si>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</si>
  <si>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</si>
  <si>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</si>
  <si>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</si>
  <si>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</si>
  <si>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</si>
  <si>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</si>
  <si>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</si>
  <si>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</si>
  <si>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</si>
  <si>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</si>
  <si>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</si>
  <si>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</si>
  <si>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</si>
  <si>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</si>
  <si>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</si>
  <si>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</si>
  <si>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</si>
  <si>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</si>
  <si>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</si>
  <si>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</si>
  <si>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</si>
  <si>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</si>
  <si>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</si>
  <si>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</si>
  <si>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</si>
  <si>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</si>
  <si>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</si>
  <si>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</si>
  <si>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</si>
  <si>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</si>
  <si>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</si>
  <si>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</si>
  <si>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</si>
  <si>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</si>
  <si>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</si>
  <si>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</si>
  <si>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</si>
  <si>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</si>
  <si>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</si>
  <si>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</si>
  <si>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</si>
  <si>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</si>
  <si>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</si>
  <si>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</si>
  <si>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</si>
  <si>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</si>
  <si>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</si>
  <si>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</si>
  <si>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</si>
  <si>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</si>
  <si>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</si>
  <si>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</si>
  <si>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</si>
  <si>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</si>
  <si>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</si>
  <si>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</si>
  <si>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</si>
  <si>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</si>
  <si>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</si>
  <si>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</si>
  <si>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</si>
  <si>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</si>
  <si>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</si>
  <si>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</si>
  <si>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</si>
  <si>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</si>
  <si>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</si>
  <si>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</si>
  <si>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</si>
  <si>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</si>
  <si>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</si>
  <si>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</si>
  <si>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</si>
  <si>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</si>
  <si>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</si>
  <si>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</si>
  <si>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</si>
  <si>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</si>
  <si>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</si>
  <si>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</si>
  <si>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</si>
  <si>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</si>
  <si>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</si>
  <si>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</si>
  <si>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</si>
  <si>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</si>
  <si>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</si>
  <si>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</si>
  <si>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</si>
  <si>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</si>
  <si>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</si>
  <si>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</si>
  <si>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</si>
  <si>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</si>
  <si>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</si>
  <si>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</si>
  <si>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</si>
  <si>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</si>
  <si>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</si>
  <si>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</si>
  <si>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</si>
  <si>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</si>
  <si>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</si>
  <si>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</si>
  <si>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</si>
  <si>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</si>
  <si>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</si>
  <si>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</si>
  <si>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</si>
  <si>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</si>
  <si>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</si>
  <si>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</si>
  <si>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</si>
  <si>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</si>
  <si>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</si>
  <si>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</si>
  <si>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</si>
  <si>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</si>
  <si>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</si>
  <si>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</si>
  <si>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2040 extrusion upgrade</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</si>
  <si>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</si>
  <si>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</si>
  <si>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</si>
  <si>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</si>
  <si>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</si>
  <si>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</si>
  <si>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</si>
  <si>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</si>
  <si>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</si>
  <si>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2024/08/15 – RH3D – FIRST PUBLIC VERSION</t>
  </si>
  <si>
    <t>2024/08/15 – RH3D - FIRST PUBLIC VERSION</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</si>
  <si>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</si>
  <si>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</si>
  <si>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</si>
  <si>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</si>
  <si>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</si>
  <si>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</si>
  <si>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</si>
  <si>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</si>
  <si>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</si>
  <si>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</si>
  <si>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</si>
  <si>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</si>
  <si>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</si>
  <si>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</si>
  <si>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</si>
  <si>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Frame LED</t>
  </si>
  <si>
    <t>TriangleLab Dragon ACE</t>
  </si>
  <si>
    <t>TriangleLab Dragon ACE+</t>
  </si>
  <si>
    <t>ENDER 3 NG LINEAR MOTION SHAFTS AND BEARINGS PACK</t>
  </si>
  <si>
    <t>Basic Bearing Pack A</t>
  </si>
  <si>
    <t>Shafts Pack</t>
  </si>
  <si>
    <t>Upgrade Bearings Pack B</t>
  </si>
  <si>
    <t>LM8LUU - ABEC 5 / LM12UU - ABEC 5 / F695-2RS - ABEC 7 / 608-2RS - ABEC 9</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</si>
  <si>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</si>
  <si>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</si>
  <si>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</si>
  <si>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</si>
  <si>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</si>
  <si>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</si>
  <si>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</si>
  <si>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</si>
  <si>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</si>
  <si>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</si>
  <si>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</si>
  <si>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2024/08/19 – RH3D – FIRST PUBLIC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</si>
</sst>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5">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4" borderId="0" xfId="0" applyFont="1" applyFill="1" applyAlignment="1">
      <alignment horizontal="left"/>
    </xf>
    <xf numFmtId="0" fontId="10" fillId="3" borderId="5" xfId="0" applyFont="1" applyFill="1" applyBorder="1" applyAlignment="1">
      <alignment horizontal="left"/>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26" fillId="20" borderId="22"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xf>
    <xf numFmtId="0" fontId="3" fillId="3" borderId="2" xfId="0" applyFont="1" applyFill="1" applyBorder="1" applyAlignment="1">
      <alignment horizontal="center" vertical="center"/>
    </xf>
    <xf numFmtId="0" fontId="3" fillId="15" borderId="2"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3"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0" fillId="3" borderId="1" xfId="0" applyFill="1" applyBorder="1"/>
    <xf numFmtId="0" fontId="14" fillId="3" borderId="2" xfId="0" applyFont="1" applyFill="1" applyBorder="1" applyAlignment="1">
      <alignment horizontal="center" vertical="center"/>
    </xf>
    <xf numFmtId="0" fontId="5" fillId="2" borderId="14" xfId="0" applyFont="1" applyFill="1" applyBorder="1" applyAlignment="1">
      <alignment horizontal="center"/>
    </xf>
    <xf numFmtId="0" fontId="1" fillId="3" borderId="5" xfId="0" applyFont="1" applyFill="1" applyBorder="1"/>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1" fillId="0" borderId="0" xfId="0" applyFont="1" applyAlignment="1">
      <alignment horizontal="left"/>
    </xf>
    <xf numFmtId="0" fontId="1" fillId="4" borderId="19"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0" fontId="0" fillId="0" borderId="5" xfId="0" applyBorder="1"/>
    <xf numFmtId="0" fontId="14" fillId="3" borderId="21" xfId="0" applyFont="1" applyFill="1" applyBorder="1" applyAlignment="1">
      <alignment horizontal="center" vertical="center"/>
    </xf>
    <xf numFmtId="0" fontId="1" fillId="3" borderId="5"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3" fontId="1" fillId="0" borderId="0" xfId="0" applyNumberFormat="1" applyFont="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18" xfId="0" applyFont="1" applyFill="1" applyBorder="1" applyAlignment="1">
      <alignment horizontal="left"/>
    </xf>
    <xf numFmtId="0" fontId="1" fillId="4" borderId="20" xfId="0" applyFont="1" applyFill="1" applyBorder="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29" fillId="0" borderId="36" xfId="0" applyFont="1" applyBorder="1" applyAlignment="1">
      <alignment horizontal="center"/>
    </xf>
    <xf numFmtId="0" fontId="29" fillId="0" borderId="16" xfId="0" applyFont="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cellXfs>
  <cellStyles count="2">
    <cellStyle name="Hypertextový odkaz" xfId="1" builtinId="8"/>
    <cellStyle name="Normální"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DDDDDD"/>
      <color rgb="FFB4C7DC"/>
      <color rgb="FFEC9BA4"/>
      <color rgb="FFEEEEEE"/>
      <color rgb="FF0000FF"/>
      <color rgb="FF999999"/>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Motiv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189" Type="http://schemas.openxmlformats.org/officeDocument/2006/relationships/hyperlink" Target="https://s.click.aliexpress.com/e/_DnSxmGR" TargetMode="External"/><Relationship Id="rId219" Type="http://schemas.openxmlformats.org/officeDocument/2006/relationships/hyperlink" Target="https://s.click.aliexpress.com/e/_DkUaS07"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printerSettings" Target="../printerSettings/printerSettings2.bin"/><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drawing" Target="../drawings/drawing2.xml"/><Relationship Id="rId30" Type="http://schemas.openxmlformats.org/officeDocument/2006/relationships/hyperlink" Target="https://s.click.aliexpress.com/e/_DllvKYJ"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s.click.aliexpress.com/e/_DlHkuwX"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zoomScaleNormal="100" workbookViewId="0">
      <pane ySplit="3" topLeftCell="A22" activePane="bottomLeft" state="frozen"/>
      <selection pane="bottomLeft" activeCell="F40" sqref="F40"/>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397" t="s">
        <v>1139</v>
      </c>
      <c r="D1" s="397"/>
      <c r="E1" s="397"/>
      <c r="F1" s="397"/>
      <c r="G1" s="397"/>
    </row>
    <row r="2" spans="2:13" ht="32.25" x14ac:dyDescent="0.4">
      <c r="B2" s="4"/>
      <c r="C2" s="5"/>
      <c r="D2" s="398" t="s">
        <v>0</v>
      </c>
      <c r="E2" s="398"/>
      <c r="F2" s="398"/>
      <c r="G2" s="5"/>
      <c r="H2" s="6"/>
      <c r="J2" s="307"/>
      <c r="K2" s="400" t="s">
        <v>783</v>
      </c>
      <c r="L2" s="400"/>
      <c r="M2" s="308"/>
    </row>
    <row r="3" spans="2:13" ht="19.5" x14ac:dyDescent="0.25">
      <c r="B3" s="7"/>
      <c r="C3" s="8"/>
      <c r="D3" s="399" t="s">
        <v>1</v>
      </c>
      <c r="E3" s="399"/>
      <c r="F3" s="399"/>
      <c r="G3" s="8"/>
      <c r="H3" s="9"/>
      <c r="J3" s="309"/>
      <c r="K3" s="402" t="s">
        <v>842</v>
      </c>
      <c r="L3" s="402"/>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01" t="s">
        <v>768</v>
      </c>
      <c r="L5" s="401"/>
      <c r="M5" s="301"/>
    </row>
    <row r="6" spans="2:13" ht="14.1" customHeight="1" x14ac:dyDescent="0.2">
      <c r="B6" s="10"/>
      <c r="C6" s="11"/>
      <c r="D6" s="18" t="s">
        <v>58</v>
      </c>
      <c r="E6" s="19" t="s">
        <v>1127</v>
      </c>
      <c r="F6" s="11"/>
      <c r="G6" s="11"/>
      <c r="H6" s="13"/>
      <c r="J6" s="300"/>
      <c r="K6" s="311" t="s">
        <v>769</v>
      </c>
      <c r="L6" s="258" t="s">
        <v>1131</v>
      </c>
      <c r="M6" s="301"/>
    </row>
    <row r="7" spans="2:13" ht="14.1" customHeight="1" x14ac:dyDescent="0.2">
      <c r="B7" s="10"/>
      <c r="C7" s="11"/>
      <c r="D7" s="18" t="s">
        <v>3</v>
      </c>
      <c r="E7" s="20" t="s">
        <v>142</v>
      </c>
      <c r="F7" s="11"/>
      <c r="G7" s="11"/>
      <c r="H7" s="13"/>
      <c r="J7" s="300"/>
      <c r="K7" s="312" t="s">
        <v>771</v>
      </c>
      <c r="L7" s="259" t="s">
        <v>778</v>
      </c>
      <c r="M7" s="301"/>
    </row>
    <row r="8" spans="2:13" ht="14.1" customHeight="1" x14ac:dyDescent="0.2">
      <c r="B8" s="10"/>
      <c r="C8" s="11"/>
      <c r="D8" s="18" t="s">
        <v>54</v>
      </c>
      <c r="E8" s="20" t="s">
        <v>1128</v>
      </c>
      <c r="F8" s="11"/>
      <c r="G8" s="11"/>
      <c r="H8" s="13"/>
      <c r="J8" s="300"/>
      <c r="K8" s="312" t="s">
        <v>770</v>
      </c>
      <c r="L8" s="259" t="s">
        <v>1132</v>
      </c>
      <c r="M8" s="303"/>
    </row>
    <row r="9" spans="2:13" ht="14.1" customHeight="1" x14ac:dyDescent="0.2">
      <c r="B9" s="10"/>
      <c r="C9" s="11"/>
      <c r="D9" s="18" t="s">
        <v>762</v>
      </c>
      <c r="E9" s="20" t="s">
        <v>851</v>
      </c>
      <c r="F9" s="11"/>
      <c r="G9" s="11"/>
      <c r="H9" s="13"/>
      <c r="J9" s="300"/>
      <c r="K9" s="312" t="s">
        <v>774</v>
      </c>
      <c r="L9" s="259" t="s">
        <v>1133</v>
      </c>
      <c r="M9" s="301"/>
    </row>
    <row r="10" spans="2:13" ht="14.1" customHeight="1" x14ac:dyDescent="0.2">
      <c r="B10" s="10"/>
      <c r="C10" s="11"/>
      <c r="D10" s="18" t="s">
        <v>4</v>
      </c>
      <c r="E10" s="20" t="s">
        <v>5</v>
      </c>
      <c r="F10" s="11"/>
      <c r="G10" s="11"/>
      <c r="H10" s="13"/>
      <c r="J10" s="300"/>
      <c r="K10" s="312" t="s">
        <v>772</v>
      </c>
      <c r="L10" s="259" t="s">
        <v>782</v>
      </c>
      <c r="M10" s="301"/>
    </row>
    <row r="11" spans="2:13" ht="14.1" customHeight="1" x14ac:dyDescent="0.2">
      <c r="B11" s="10"/>
      <c r="C11" s="11"/>
      <c r="D11" s="18" t="s">
        <v>6</v>
      </c>
      <c r="E11" s="20" t="s">
        <v>7</v>
      </c>
      <c r="F11" s="11"/>
      <c r="G11" s="11"/>
      <c r="H11" s="13"/>
      <c r="J11" s="300"/>
      <c r="K11" s="312" t="s">
        <v>773</v>
      </c>
      <c r="L11" s="259" t="s">
        <v>1134</v>
      </c>
      <c r="M11" s="301"/>
    </row>
    <row r="12" spans="2:13" ht="14.1" customHeight="1" x14ac:dyDescent="0.2">
      <c r="B12" s="10"/>
      <c r="C12" s="11"/>
      <c r="D12" s="18" t="s">
        <v>8</v>
      </c>
      <c r="E12" s="20" t="s">
        <v>1129</v>
      </c>
      <c r="F12" s="11"/>
      <c r="G12" s="11"/>
      <c r="H12" s="13"/>
      <c r="J12" s="300"/>
      <c r="K12" s="312" t="s">
        <v>777</v>
      </c>
      <c r="L12" s="259" t="s">
        <v>1135</v>
      </c>
      <c r="M12" s="301"/>
    </row>
    <row r="13" spans="2:13" ht="14.1" customHeight="1" x14ac:dyDescent="0.2">
      <c r="B13" s="10"/>
      <c r="C13" s="11"/>
      <c r="D13" s="18" t="s">
        <v>9</v>
      </c>
      <c r="E13" s="20" t="s">
        <v>788</v>
      </c>
      <c r="F13" s="11"/>
      <c r="G13" s="11"/>
      <c r="H13" s="13"/>
      <c r="J13" s="300"/>
      <c r="K13" s="319" t="s">
        <v>864</v>
      </c>
      <c r="L13" s="259" t="s">
        <v>865</v>
      </c>
      <c r="M13" s="301"/>
    </row>
    <row r="14" spans="2:13" ht="14.1" customHeight="1" x14ac:dyDescent="0.2">
      <c r="B14" s="10"/>
      <c r="C14" s="11"/>
      <c r="D14" s="18" t="s">
        <v>10</v>
      </c>
      <c r="E14" s="20" t="s">
        <v>11</v>
      </c>
      <c r="F14" s="11"/>
      <c r="G14" s="11"/>
      <c r="H14" s="13"/>
      <c r="J14" s="300"/>
      <c r="K14" s="319" t="s">
        <v>863</v>
      </c>
      <c r="L14" s="259" t="s">
        <v>866</v>
      </c>
      <c r="M14" s="301"/>
    </row>
    <row r="15" spans="2:13" ht="14.1" customHeight="1" x14ac:dyDescent="0.25">
      <c r="B15" s="10"/>
      <c r="C15" s="11"/>
      <c r="D15" s="18" t="s">
        <v>12</v>
      </c>
      <c r="E15" s="21" t="s">
        <v>295</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01" t="s">
        <v>840</v>
      </c>
      <c r="L17" s="401"/>
      <c r="M17" s="301"/>
    </row>
    <row r="18" spans="2:33" ht="14.1" customHeight="1" x14ac:dyDescent="0.2">
      <c r="B18" s="10"/>
      <c r="C18" s="11"/>
      <c r="D18" s="18" t="s">
        <v>15</v>
      </c>
      <c r="E18" s="19" t="s">
        <v>329</v>
      </c>
      <c r="F18" s="11"/>
      <c r="G18" s="11"/>
      <c r="H18" s="13"/>
      <c r="J18" s="300"/>
      <c r="K18" s="311" t="s">
        <v>847</v>
      </c>
      <c r="L18" s="258" t="s">
        <v>779</v>
      </c>
      <c r="M18" s="301"/>
      <c r="N18" t="s">
        <v>318</v>
      </c>
      <c r="O18" t="s">
        <v>789</v>
      </c>
      <c r="P18" t="s">
        <v>323</v>
      </c>
      <c r="Q18" t="s">
        <v>790</v>
      </c>
      <c r="R18" t="s">
        <v>791</v>
      </c>
      <c r="S18" t="s">
        <v>792</v>
      </c>
      <c r="T18" t="s">
        <v>793</v>
      </c>
      <c r="U18" t="s">
        <v>794</v>
      </c>
      <c r="V18" t="s">
        <v>795</v>
      </c>
      <c r="W18" t="s">
        <v>16</v>
      </c>
      <c r="X18" t="s">
        <v>796</v>
      </c>
      <c r="Y18" t="s">
        <v>326</v>
      </c>
      <c r="Z18" t="s">
        <v>329</v>
      </c>
      <c r="AA18" t="s">
        <v>852</v>
      </c>
      <c r="AB18" t="s">
        <v>1156</v>
      </c>
      <c r="AC18" t="s">
        <v>1157</v>
      </c>
      <c r="AD18" t="s">
        <v>509</v>
      </c>
      <c r="AE18" t="s">
        <v>516</v>
      </c>
      <c r="AF18" t="s">
        <v>158</v>
      </c>
      <c r="AG18" t="s">
        <v>857</v>
      </c>
    </row>
    <row r="19" spans="2:33" ht="14.1" customHeight="1" x14ac:dyDescent="0.2">
      <c r="B19" s="10"/>
      <c r="C19" s="11"/>
      <c r="D19" s="18" t="s">
        <v>17</v>
      </c>
      <c r="E19" s="20" t="s">
        <v>807</v>
      </c>
      <c r="F19" s="11"/>
      <c r="G19" s="11"/>
      <c r="H19" s="13"/>
      <c r="J19" s="300"/>
      <c r="K19" s="312" t="s">
        <v>848</v>
      </c>
      <c r="L19" s="259" t="s">
        <v>849</v>
      </c>
      <c r="M19" s="301"/>
      <c r="N19" t="s">
        <v>797</v>
      </c>
      <c r="O19" t="s">
        <v>798</v>
      </c>
      <c r="P19" t="s">
        <v>811</v>
      </c>
      <c r="Q19" t="s">
        <v>799</v>
      </c>
      <c r="R19" t="s">
        <v>525</v>
      </c>
      <c r="S19" t="s">
        <v>800</v>
      </c>
      <c r="T19" t="s">
        <v>18</v>
      </c>
      <c r="U19" t="s">
        <v>523</v>
      </c>
      <c r="V19" t="s">
        <v>521</v>
      </c>
      <c r="W19" t="s">
        <v>801</v>
      </c>
      <c r="X19" t="s">
        <v>802</v>
      </c>
      <c r="Y19" t="s">
        <v>803</v>
      </c>
      <c r="Z19" t="s">
        <v>804</v>
      </c>
      <c r="AA19" t="s">
        <v>805</v>
      </c>
      <c r="AB19" t="s">
        <v>806</v>
      </c>
      <c r="AC19" t="s">
        <v>807</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775</v>
      </c>
      <c r="L21" s="259" t="s">
        <v>780</v>
      </c>
      <c r="M21" s="301"/>
      <c r="N21" t="s">
        <v>22</v>
      </c>
      <c r="O21" t="s">
        <v>815</v>
      </c>
      <c r="P21" t="s">
        <v>816</v>
      </c>
      <c r="Q21" t="s">
        <v>185</v>
      </c>
      <c r="R21" t="s">
        <v>817</v>
      </c>
    </row>
    <row r="22" spans="2:33" ht="14.1" customHeight="1" x14ac:dyDescent="0.2">
      <c r="B22" s="10"/>
      <c r="C22" s="11"/>
      <c r="D22" s="18" t="s">
        <v>23</v>
      </c>
      <c r="E22" s="20" t="s">
        <v>24</v>
      </c>
      <c r="F22" s="11"/>
      <c r="G22" s="11"/>
      <c r="H22" s="13"/>
      <c r="J22" s="300"/>
      <c r="K22" s="312" t="s">
        <v>776</v>
      </c>
      <c r="L22" s="259" t="s">
        <v>781</v>
      </c>
      <c r="M22" s="301"/>
      <c r="N22" s="291" t="s">
        <v>24</v>
      </c>
      <c r="O22" t="s">
        <v>345</v>
      </c>
      <c r="P22" t="s">
        <v>759</v>
      </c>
      <c r="Q22" t="s">
        <v>340</v>
      </c>
      <c r="R22" t="s">
        <v>813</v>
      </c>
      <c r="S22" t="s">
        <v>812</v>
      </c>
      <c r="T22" t="s">
        <v>338</v>
      </c>
      <c r="U22" t="s">
        <v>591</v>
      </c>
      <c r="V22" t="s">
        <v>608</v>
      </c>
      <c r="W22" t="s">
        <v>814</v>
      </c>
    </row>
    <row r="23" spans="2:33" ht="14.1" customHeight="1" x14ac:dyDescent="0.2">
      <c r="B23" s="10"/>
      <c r="C23" s="11"/>
      <c r="D23" s="18" t="s">
        <v>25</v>
      </c>
      <c r="E23" s="21" t="s">
        <v>820</v>
      </c>
      <c r="F23" s="11"/>
      <c r="G23" s="11"/>
      <c r="H23" s="13"/>
      <c r="J23" s="300"/>
      <c r="K23" s="318" t="s">
        <v>860</v>
      </c>
      <c r="L23" s="260" t="s">
        <v>906</v>
      </c>
      <c r="M23" s="301"/>
      <c r="N23" t="s">
        <v>819</v>
      </c>
      <c r="O23" t="s">
        <v>818</v>
      </c>
      <c r="P23" t="s">
        <v>723</v>
      </c>
      <c r="Q23" t="s">
        <v>820</v>
      </c>
      <c r="R23" t="s">
        <v>821</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01" t="s">
        <v>858</v>
      </c>
      <c r="L25" s="401"/>
      <c r="M25" s="301"/>
    </row>
    <row r="26" spans="2:33" ht="14.1" customHeight="1" x14ac:dyDescent="0.2">
      <c r="B26" s="10"/>
      <c r="C26" s="11"/>
      <c r="D26" s="18" t="s">
        <v>27</v>
      </c>
      <c r="E26" s="19" t="s">
        <v>760</v>
      </c>
      <c r="F26" s="11"/>
      <c r="G26" s="11"/>
      <c r="H26" s="13"/>
      <c r="J26" s="300"/>
      <c r="K26" s="403" t="s">
        <v>841</v>
      </c>
      <c r="L26" s="403"/>
      <c r="M26" s="301"/>
    </row>
    <row r="27" spans="2:33" ht="14.1" customHeight="1" x14ac:dyDescent="0.2">
      <c r="B27" s="10"/>
      <c r="C27" s="11"/>
      <c r="D27" s="18" t="s">
        <v>763</v>
      </c>
      <c r="E27" s="20" t="s">
        <v>28</v>
      </c>
      <c r="F27" s="11"/>
      <c r="G27" s="11"/>
      <c r="H27" s="13"/>
      <c r="J27" s="300"/>
      <c r="K27" s="404" t="s">
        <v>867</v>
      </c>
      <c r="L27" s="404"/>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30</v>
      </c>
      <c r="F29" s="11"/>
      <c r="G29" s="11"/>
      <c r="H29" s="13"/>
      <c r="J29" s="300"/>
      <c r="K29" s="404" t="s">
        <v>850</v>
      </c>
      <c r="L29" s="404"/>
      <c r="M29" s="301"/>
    </row>
    <row r="30" spans="2:33" ht="14.1" customHeight="1" x14ac:dyDescent="0.2">
      <c r="B30" s="10"/>
      <c r="C30" s="11"/>
      <c r="D30" s="18" t="s">
        <v>32</v>
      </c>
      <c r="E30" s="20" t="s">
        <v>1155</v>
      </c>
      <c r="F30" s="11"/>
      <c r="G30" s="11"/>
      <c r="H30" s="13"/>
      <c r="J30" s="300"/>
      <c r="K30" s="404"/>
      <c r="L30" s="404"/>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764</v>
      </c>
      <c r="E35" s="20" t="s">
        <v>28</v>
      </c>
      <c r="F35" s="11"/>
      <c r="G35" s="11"/>
      <c r="H35" s="13"/>
      <c r="J35" s="300"/>
      <c r="K35" s="404" t="s">
        <v>1136</v>
      </c>
      <c r="L35" s="404"/>
      <c r="M35" s="301"/>
    </row>
    <row r="36" spans="2:13" ht="14.1" customHeight="1" x14ac:dyDescent="0.2">
      <c r="B36" s="10"/>
      <c r="C36" s="11"/>
      <c r="D36" s="18" t="s">
        <v>765</v>
      </c>
      <c r="E36" s="20" t="s">
        <v>1130</v>
      </c>
      <c r="F36" s="11"/>
      <c r="G36" s="11"/>
      <c r="H36" s="13"/>
      <c r="J36" s="300"/>
      <c r="K36" s="404" t="s">
        <v>843</v>
      </c>
      <c r="L36" s="404"/>
      <c r="M36" s="301"/>
    </row>
    <row r="37" spans="2:13" ht="14.1" customHeight="1" x14ac:dyDescent="0.2">
      <c r="B37" s="10"/>
      <c r="C37" s="11"/>
      <c r="D37" s="18" t="s">
        <v>38</v>
      </c>
      <c r="E37" s="20" t="s">
        <v>28</v>
      </c>
      <c r="F37" s="11"/>
      <c r="G37" s="11"/>
      <c r="H37" s="13"/>
      <c r="J37" s="300"/>
      <c r="K37" s="404" t="s">
        <v>859</v>
      </c>
      <c r="L37" s="404"/>
      <c r="M37" s="301"/>
    </row>
    <row r="38" spans="2:13" ht="14.1" customHeight="1" x14ac:dyDescent="0.2">
      <c r="B38" s="10"/>
      <c r="C38" s="11"/>
      <c r="D38" s="18" t="s">
        <v>766</v>
      </c>
      <c r="E38" s="21" t="s">
        <v>28</v>
      </c>
      <c r="F38" s="11"/>
      <c r="G38" s="11"/>
      <c r="H38" s="13"/>
      <c r="J38" s="300"/>
      <c r="K38" s="404"/>
      <c r="L38" s="404"/>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404" t="s">
        <v>844</v>
      </c>
      <c r="L40" s="404"/>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MATERIAL'!K54+'BILL OF MATERIAL'!K71+'BILL OF MATERIAL'!K86+'BILL OF MATERIAL'!K107</f>
        <v>294.69951818181818</v>
      </c>
      <c r="G42" s="26"/>
      <c r="H42" s="27"/>
      <c r="J42" s="300"/>
      <c r="K42" s="404" t="s">
        <v>845</v>
      </c>
      <c r="L42" s="404"/>
      <c r="M42" s="301"/>
    </row>
    <row r="43" spans="2:13" x14ac:dyDescent="0.2">
      <c r="B43" s="25"/>
      <c r="C43" s="26"/>
      <c r="D43" s="26"/>
      <c r="E43" s="26"/>
      <c r="F43" s="26"/>
      <c r="G43" s="26"/>
      <c r="H43" s="27"/>
      <c r="J43" s="300"/>
      <c r="K43" s="404" t="s">
        <v>846</v>
      </c>
      <c r="L43" s="404"/>
      <c r="M43" s="301"/>
    </row>
    <row r="44" spans="2:13" ht="15" x14ac:dyDescent="0.2">
      <c r="B44" s="25"/>
      <c r="C44" s="26"/>
      <c r="D44" s="26" t="s">
        <v>43</v>
      </c>
      <c r="E44" s="26"/>
      <c r="F44" s="30">
        <f>'PRINTED PARTS'!I5+'PRINTED PARTS'!I33+'PRINTED PARTS'!I46+'PRINTED PARTS'!I72+'PRINTED PARTS'!I77+'PRINTED PARTS'!I157+'PRINTED PARTS'!I203+'PRINTED PARTS'!I235</f>
        <v>898.19000000000017</v>
      </c>
      <c r="G44" s="26"/>
      <c r="H44" s="27"/>
      <c r="J44" s="300"/>
      <c r="K44" s="404"/>
      <c r="L44" s="404"/>
      <c r="M44" s="301"/>
    </row>
    <row r="45" spans="2:13" ht="15" x14ac:dyDescent="0.2">
      <c r="B45" s="25"/>
      <c r="C45" s="26"/>
      <c r="D45" s="26" t="s">
        <v>44</v>
      </c>
      <c r="E45" s="26"/>
      <c r="F45" s="30">
        <f>'PRINTED PARTS'!J5+'PRINTED PARTS'!J33+'PRINTED PARTS'!J46+'PRINTED PARTS'!J72+'PRINTED PARTS'!J77+'PRINTED PARTS'!J157+'PRINTED PARTS'!J203+'PRINTED PARTS'!J235</f>
        <v>703.92000000000007</v>
      </c>
      <c r="G45" s="26"/>
      <c r="H45" s="27"/>
      <c r="J45" s="300"/>
      <c r="K45" s="405"/>
      <c r="L45" s="405"/>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396" t="s">
        <v>861</v>
      </c>
      <c r="C49" s="396"/>
      <c r="D49" s="396"/>
      <c r="E49" s="396"/>
      <c r="F49" s="396"/>
      <c r="G49" s="396"/>
      <c r="H49" s="396"/>
    </row>
    <row r="50" spans="2:8" x14ac:dyDescent="0.2">
      <c r="B50" s="396" t="s">
        <v>46</v>
      </c>
      <c r="C50" s="396"/>
      <c r="D50" s="396"/>
      <c r="E50" s="396"/>
      <c r="F50" s="396"/>
      <c r="G50" s="396"/>
      <c r="H50" s="396"/>
    </row>
    <row r="51" spans="2:8" x14ac:dyDescent="0.2">
      <c r="B51" s="396" t="s">
        <v>862</v>
      </c>
      <c r="C51" s="396"/>
      <c r="D51" s="396"/>
      <c r="E51" s="396"/>
      <c r="F51" s="396"/>
      <c r="G51" s="396"/>
      <c r="H51" s="396"/>
    </row>
    <row r="52" spans="2:8" x14ac:dyDescent="0.2">
      <c r="B52" s="35"/>
      <c r="C52" s="35"/>
      <c r="D52" s="35"/>
      <c r="E52" s="35"/>
      <c r="F52" s="35"/>
      <c r="G52" s="35"/>
      <c r="H52" s="35"/>
    </row>
    <row r="53" spans="2:8" x14ac:dyDescent="0.2">
      <c r="B53" s="396" t="s">
        <v>47</v>
      </c>
      <c r="C53" s="396"/>
      <c r="D53" s="396"/>
      <c r="E53" s="396"/>
      <c r="F53" s="396"/>
      <c r="G53" s="396"/>
      <c r="H53" s="396"/>
    </row>
    <row r="54" spans="2:8" x14ac:dyDescent="0.2">
      <c r="B54" s="396" t="s">
        <v>48</v>
      </c>
      <c r="C54" s="396"/>
      <c r="D54" s="396"/>
      <c r="E54" s="396"/>
      <c r="F54" s="396"/>
      <c r="G54" s="396"/>
      <c r="H54" s="396"/>
    </row>
    <row r="55" spans="2:8" x14ac:dyDescent="0.2">
      <c r="C55" s="3"/>
      <c r="D55" s="3"/>
      <c r="E55" s="3"/>
      <c r="F55" s="3"/>
    </row>
    <row r="56" spans="2:8" x14ac:dyDescent="0.2">
      <c r="C56" s="3"/>
      <c r="D56" s="3"/>
      <c r="E56" s="3"/>
      <c r="F56" s="3"/>
    </row>
  </sheetData>
  <sheetProtection algorithmName="SHA-512" hashValue="/jJwoiQiZc3FK6VwO2EurHDs8heeSW2Hn5A75Q7vZVdZskV8wH6Ix4TTP9i/ttqqwHroAyjUqL9QwbV1AYiXqA==" saltValue="UPcgQvUXS4Ls8dSFiLmnng==" spinCount="100000" sheet="1" objects="1" scenarios="1"/>
  <mergeCells count="26">
    <mergeCell ref="K43:L43"/>
    <mergeCell ref="K44:L44"/>
    <mergeCell ref="K45:L45"/>
    <mergeCell ref="K36:L36"/>
    <mergeCell ref="K37:L37"/>
    <mergeCell ref="K38:L38"/>
    <mergeCell ref="K40:L40"/>
    <mergeCell ref="K42:L42"/>
    <mergeCell ref="K26:L26"/>
    <mergeCell ref="K27:L27"/>
    <mergeCell ref="K29:L29"/>
    <mergeCell ref="K30:L30"/>
    <mergeCell ref="K35:L35"/>
    <mergeCell ref="K2:L2"/>
    <mergeCell ref="K5:L5"/>
    <mergeCell ref="K17:L17"/>
    <mergeCell ref="K25:L25"/>
    <mergeCell ref="K3:L3"/>
    <mergeCell ref="B51:H51"/>
    <mergeCell ref="B53:H53"/>
    <mergeCell ref="B54:H54"/>
    <mergeCell ref="C1:G1"/>
    <mergeCell ref="D2:F2"/>
    <mergeCell ref="D3:F3"/>
    <mergeCell ref="B49:H49"/>
    <mergeCell ref="B50:H50"/>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2"/>
  <sheetViews>
    <sheetView showGridLines="0" tabSelected="1" zoomScaleNormal="100" workbookViewId="0">
      <pane ySplit="4" topLeftCell="A50" activePane="bottomLeft" state="frozen"/>
      <selection pane="bottomLeft" activeCell="F64" sqref="F64"/>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08" t="s">
        <v>1174</v>
      </c>
      <c r="GI1" s="408"/>
      <c r="GJ1" s="408"/>
      <c r="GK1" s="408"/>
      <c r="GL1" s="408"/>
    </row>
    <row r="2" spans="2:194" s="2" customFormat="1" ht="42.6" customHeight="1" x14ac:dyDescent="0.35">
      <c r="B2" s="409"/>
      <c r="C2" s="409"/>
      <c r="D2" s="409"/>
      <c r="E2" s="409"/>
      <c r="F2" s="409"/>
      <c r="G2" s="409"/>
      <c r="H2" s="409"/>
      <c r="I2" s="409"/>
      <c r="J2" s="409"/>
      <c r="K2" s="409"/>
      <c r="L2" s="409"/>
      <c r="M2" s="410" t="s">
        <v>51</v>
      </c>
      <c r="N2" s="51"/>
      <c r="O2" s="51"/>
      <c r="P2" s="51"/>
      <c r="Q2" s="51"/>
      <c r="R2" s="51"/>
      <c r="S2" s="51"/>
      <c r="T2" s="51"/>
      <c r="U2" s="411" t="s">
        <v>52</v>
      </c>
      <c r="V2" s="411"/>
      <c r="W2" s="411"/>
      <c r="X2" s="411"/>
      <c r="Y2" s="411"/>
      <c r="Z2" s="411"/>
      <c r="AA2" s="411"/>
      <c r="AB2" s="411"/>
      <c r="AC2" s="411"/>
      <c r="AD2" s="411"/>
      <c r="AE2" s="411"/>
      <c r="AF2" s="411"/>
      <c r="AG2" s="411"/>
      <c r="AH2" s="411"/>
      <c r="AI2" s="411"/>
      <c r="AJ2" s="411"/>
      <c r="AK2" s="411"/>
      <c r="AL2" s="411"/>
      <c r="AM2" s="412" t="s">
        <v>53</v>
      </c>
      <c r="AN2" s="412"/>
      <c r="AO2" s="412"/>
      <c r="AP2" s="412"/>
      <c r="AQ2" s="412"/>
      <c r="AR2" s="412"/>
      <c r="AS2" s="411" t="s">
        <v>54</v>
      </c>
      <c r="AT2" s="411"/>
      <c r="AU2" s="411"/>
      <c r="AV2" s="411"/>
      <c r="AW2" s="411"/>
      <c r="AX2" s="411"/>
      <c r="AY2" s="411"/>
      <c r="AZ2" s="411"/>
      <c r="BA2" s="411"/>
      <c r="BB2" s="412" t="s">
        <v>55</v>
      </c>
      <c r="BC2" s="412"/>
      <c r="BD2" s="412"/>
      <c r="BE2" s="411" t="s">
        <v>3</v>
      </c>
      <c r="BF2" s="411"/>
      <c r="BG2" s="412" t="s">
        <v>56</v>
      </c>
      <c r="BH2" s="412"/>
      <c r="BI2" s="412"/>
      <c r="BJ2" s="412"/>
      <c r="BK2" s="412"/>
      <c r="BL2" s="412"/>
      <c r="BM2" s="412"/>
      <c r="BN2" s="412"/>
      <c r="BO2" s="412"/>
      <c r="BP2" s="412"/>
      <c r="BQ2" s="412"/>
      <c r="BR2" s="412"/>
      <c r="BS2" s="411" t="s">
        <v>57</v>
      </c>
      <c r="BT2" s="411"/>
      <c r="BU2" s="411"/>
      <c r="BV2" s="411"/>
      <c r="BW2" s="411"/>
      <c r="BX2" s="411"/>
      <c r="BY2" s="411"/>
      <c r="BZ2" s="411"/>
      <c r="CA2" s="411"/>
      <c r="CB2" s="411"/>
      <c r="CC2" s="411"/>
      <c r="CD2" s="411"/>
      <c r="CE2" s="411"/>
      <c r="CF2" s="411"/>
      <c r="CG2" s="411"/>
      <c r="CH2" s="411"/>
      <c r="CI2" s="413" t="s">
        <v>58</v>
      </c>
      <c r="CJ2" s="413"/>
      <c r="CK2" s="413"/>
      <c r="CL2" s="413"/>
      <c r="CM2" s="413"/>
      <c r="CN2" s="413"/>
      <c r="CO2" s="414" t="s">
        <v>3</v>
      </c>
      <c r="CP2" s="414"/>
      <c r="CQ2" s="414"/>
      <c r="CR2" s="415">
        <v>2040</v>
      </c>
      <c r="CS2" s="415"/>
      <c r="CT2" s="415"/>
      <c r="CU2" s="416" t="s">
        <v>59</v>
      </c>
      <c r="CV2" s="416"/>
      <c r="CW2" s="425" t="s">
        <v>4</v>
      </c>
      <c r="CX2" s="425"/>
      <c r="CY2" s="425"/>
      <c r="CZ2" s="425"/>
      <c r="DA2" s="414" t="s">
        <v>60</v>
      </c>
      <c r="DB2" s="414"/>
      <c r="DC2" s="414"/>
      <c r="DD2" s="415" t="s">
        <v>61</v>
      </c>
      <c r="DE2" s="415"/>
      <c r="DF2" s="415"/>
      <c r="DG2" s="414" t="s">
        <v>62</v>
      </c>
      <c r="DH2" s="414"/>
      <c r="DI2" s="423" t="s">
        <v>63</v>
      </c>
      <c r="DJ2" s="423"/>
      <c r="DK2" s="424" t="s">
        <v>15</v>
      </c>
      <c r="DL2" s="424"/>
      <c r="DM2" s="424"/>
      <c r="DN2" s="424"/>
      <c r="DO2" s="424"/>
      <c r="DP2" s="424"/>
      <c r="DQ2" s="424"/>
      <c r="DR2" s="424"/>
      <c r="DS2" s="424"/>
      <c r="DT2" s="424"/>
      <c r="DU2" s="424"/>
      <c r="DV2" s="424"/>
      <c r="DW2" s="424"/>
      <c r="DX2" s="424"/>
      <c r="DY2" s="424"/>
      <c r="DZ2" s="424"/>
      <c r="EA2" s="424"/>
      <c r="EB2" s="424"/>
      <c r="EC2" s="424"/>
      <c r="ED2" s="424"/>
      <c r="EE2" s="424"/>
      <c r="EF2" s="417" t="s">
        <v>17</v>
      </c>
      <c r="EG2" s="417"/>
      <c r="EH2" s="417"/>
      <c r="EI2" s="417"/>
      <c r="EJ2" s="417"/>
      <c r="EK2" s="417"/>
      <c r="EL2" s="417"/>
      <c r="EM2" s="417"/>
      <c r="EN2" s="417"/>
      <c r="EO2" s="417"/>
      <c r="EP2" s="417"/>
      <c r="EQ2" s="417"/>
      <c r="ER2" s="417"/>
      <c r="ES2" s="417"/>
      <c r="ET2" s="417"/>
      <c r="EU2" s="417"/>
      <c r="EV2" s="417"/>
      <c r="EW2" s="417"/>
      <c r="EX2" s="417"/>
      <c r="EY2" s="417"/>
      <c r="EZ2" s="424" t="s">
        <v>21</v>
      </c>
      <c r="FA2" s="424"/>
      <c r="FB2" s="424"/>
      <c r="FC2" s="424"/>
      <c r="FD2" s="424"/>
      <c r="FE2" s="417" t="s">
        <v>23</v>
      </c>
      <c r="FF2" s="417"/>
      <c r="FG2" s="417"/>
      <c r="FH2" s="417"/>
      <c r="FI2" s="417"/>
      <c r="FJ2" s="417"/>
      <c r="FK2" s="417"/>
      <c r="FL2" s="417"/>
      <c r="FM2" s="417"/>
      <c r="FN2" s="417"/>
      <c r="FO2" s="424" t="s">
        <v>64</v>
      </c>
      <c r="FP2" s="424"/>
      <c r="FQ2" s="424"/>
      <c r="FR2" s="424"/>
      <c r="FS2" s="424"/>
      <c r="FT2" s="424"/>
      <c r="FU2" s="60" t="s">
        <v>65</v>
      </c>
      <c r="FV2" s="61" t="s">
        <v>66</v>
      </c>
      <c r="FW2" s="59" t="s">
        <v>67</v>
      </c>
      <c r="FX2" s="417" t="s">
        <v>68</v>
      </c>
      <c r="FY2" s="417"/>
      <c r="FZ2" s="417"/>
      <c r="GA2" s="59" t="s">
        <v>69</v>
      </c>
      <c r="GB2" s="61" t="s">
        <v>70</v>
      </c>
      <c r="GC2" s="60" t="s">
        <v>71</v>
      </c>
      <c r="GD2" s="61" t="s">
        <v>72</v>
      </c>
      <c r="GE2" s="59" t="s">
        <v>73</v>
      </c>
    </row>
    <row r="3" spans="2:194" x14ac:dyDescent="0.2">
      <c r="B3" s="62"/>
      <c r="C3" s="418" t="s">
        <v>74</v>
      </c>
      <c r="D3" s="418"/>
      <c r="E3" s="419" t="s">
        <v>75</v>
      </c>
      <c r="F3" s="420" t="s">
        <v>76</v>
      </c>
      <c r="G3" s="431" t="s">
        <v>930</v>
      </c>
      <c r="H3" s="421"/>
      <c r="I3" s="420" t="s">
        <v>931</v>
      </c>
      <c r="J3" s="421" t="s">
        <v>78</v>
      </c>
      <c r="K3" s="422" t="s">
        <v>79</v>
      </c>
      <c r="L3" s="63"/>
      <c r="M3" s="410"/>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904</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809</v>
      </c>
      <c r="DP3" s="73" t="s">
        <v>808</v>
      </c>
      <c r="DQ3" s="74" t="s">
        <v>158</v>
      </c>
      <c r="DR3" s="74" t="s">
        <v>159</v>
      </c>
      <c r="DS3" s="66" t="s">
        <v>160</v>
      </c>
      <c r="DT3" s="66" t="s">
        <v>161</v>
      </c>
      <c r="DU3" s="66" t="s">
        <v>162</v>
      </c>
      <c r="DV3" s="74" t="s">
        <v>853</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810</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822</v>
      </c>
      <c r="FQ3" s="66" t="s">
        <v>823</v>
      </c>
      <c r="FR3" s="66" t="s">
        <v>824</v>
      </c>
      <c r="FS3" s="66" t="s">
        <v>196</v>
      </c>
      <c r="FT3" s="68" t="s">
        <v>825</v>
      </c>
      <c r="FU3" s="76" t="s">
        <v>30</v>
      </c>
      <c r="FV3" s="77" t="s">
        <v>30</v>
      </c>
      <c r="FW3" s="76" t="s">
        <v>30</v>
      </c>
      <c r="FX3" s="65" t="s">
        <v>197</v>
      </c>
      <c r="FY3" s="66" t="s">
        <v>198</v>
      </c>
      <c r="FZ3" s="68" t="s">
        <v>199</v>
      </c>
      <c r="GA3" s="76" t="s">
        <v>30</v>
      </c>
      <c r="GB3" s="77" t="s">
        <v>30</v>
      </c>
      <c r="GC3" s="76" t="s">
        <v>30</v>
      </c>
      <c r="GD3" s="77" t="s">
        <v>200</v>
      </c>
      <c r="GE3" s="76" t="s">
        <v>30</v>
      </c>
      <c r="GG3" s="426"/>
      <c r="GH3" s="427" t="s">
        <v>201</v>
      </c>
      <c r="GI3" s="78"/>
    </row>
    <row r="4" spans="2:194" x14ac:dyDescent="0.2">
      <c r="B4" s="79"/>
      <c r="C4" s="418"/>
      <c r="D4" s="418"/>
      <c r="E4" s="419"/>
      <c r="F4" s="420"/>
      <c r="G4" s="432"/>
      <c r="H4" s="433"/>
      <c r="I4" s="430"/>
      <c r="J4" s="420"/>
      <c r="K4" s="422"/>
      <c r="L4" s="80"/>
      <c r="M4" s="410"/>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1</v>
      </c>
      <c r="BU4" s="93">
        <v>1</v>
      </c>
      <c r="BV4" s="93">
        <v>1</v>
      </c>
      <c r="BW4" s="93">
        <f>IF(CONFIGURATOR!$E$14="30 mm",1,0)</f>
        <v>1</v>
      </c>
      <c r="BX4" s="93">
        <f>IF(CONFIGURATOR!$E$14="50 mm",1,0)</f>
        <v>0</v>
      </c>
      <c r="BY4" s="93">
        <v>0</v>
      </c>
      <c r="BZ4" s="93">
        <f>IF(CONFIGURATOR!$E$15="BTT SKR3EZ",1,0)</f>
        <v>0</v>
      </c>
      <c r="CA4" s="93">
        <v>0</v>
      </c>
      <c r="CB4" s="93">
        <f>IF(CONFIGURATOR!$E$15="BTT Octopus v1.1",1,0)</f>
        <v>1</v>
      </c>
      <c r="CC4" s="93">
        <f>IF(CONFIGURATOR!$E$15="BTT SKR mini E3 v2",1,0)</f>
        <v>0</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1</v>
      </c>
      <c r="CT4" s="83">
        <f>IF(CONFIGURATOR!$E$8="Ultimate frame",1,0)</f>
        <v>0</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0</v>
      </c>
      <c r="EI4" s="93">
        <f>IF(CONFIGURATOR!$E$19="Integrated Sherpa micro",1,0)</f>
        <v>1</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0</v>
      </c>
      <c r="FF4" s="93">
        <f>IF(CONFIGURATOR!$E$22="KlickyPCB",1,0)</f>
        <v>0</v>
      </c>
      <c r="FG4" s="93">
        <f>IF(CONFIGURATOR!$E$22="Beacon scanner",1,0)</f>
        <v>0</v>
      </c>
      <c r="FH4" s="93">
        <f>IF(CONFIGURATOR!$E$22="BDsensor",1,0)</f>
        <v>1</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1</v>
      </c>
      <c r="FX4" s="91">
        <f>IF(CONFIGURATOR!$E$30="Frame LED",1,0)</f>
        <v>1</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26"/>
      <c r="GH4" s="427"/>
      <c r="GI4" s="100"/>
    </row>
    <row r="5" spans="2:194" ht="19.899999999999999" customHeight="1" x14ac:dyDescent="0.25">
      <c r="B5" s="101"/>
      <c r="C5" s="428" t="s">
        <v>202</v>
      </c>
      <c r="D5" s="428"/>
      <c r="E5" s="428"/>
      <c r="F5" s="102" t="s">
        <v>203</v>
      </c>
      <c r="G5" s="103"/>
      <c r="H5" s="103"/>
      <c r="I5" s="103"/>
      <c r="J5" s="104"/>
      <c r="K5" s="105">
        <f>SUM(K6:K53)</f>
        <v>36.790184848484856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29" t="s">
        <v>871</v>
      </c>
      <c r="D6" s="429"/>
      <c r="E6" s="429"/>
      <c r="F6" s="111"/>
      <c r="G6" s="151"/>
      <c r="H6" s="151"/>
      <c r="I6" s="151"/>
      <c r="J6" s="113"/>
      <c r="K6" s="113"/>
      <c r="L6" s="80"/>
      <c r="M6" s="114">
        <f>M7</f>
        <v>0</v>
      </c>
      <c r="N6" s="64">
        <f t="shared" si="0"/>
        <v>0</v>
      </c>
      <c r="O6" s="64">
        <f t="shared" si="1"/>
        <v>0</v>
      </c>
      <c r="P6" s="64">
        <f t="shared" si="2"/>
        <v>0</v>
      </c>
      <c r="Q6" s="64">
        <f t="shared" si="3"/>
        <v>0</v>
      </c>
      <c r="R6" s="64">
        <f t="shared" ref="R6:R66"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926</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29" t="s">
        <v>870</v>
      </c>
      <c r="D8" s="429"/>
      <c r="E8" s="429"/>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1</v>
      </c>
      <c r="F9" s="122" t="s">
        <v>206</v>
      </c>
      <c r="G9" s="344" t="s">
        <v>926</v>
      </c>
      <c r="H9" s="238"/>
      <c r="I9" s="238"/>
      <c r="J9" s="124">
        <f>1.16/55</f>
        <v>2.1090909090909091E-2</v>
      </c>
      <c r="K9" s="124">
        <f>E9*J9</f>
        <v>2.1090909090909091E-2</v>
      </c>
      <c r="L9" s="80"/>
      <c r="M9" s="40">
        <f>IF(E9=0,IF(E9="",0,1),0)</f>
        <v>0</v>
      </c>
      <c r="N9" s="64">
        <f t="shared" si="0"/>
        <v>0</v>
      </c>
      <c r="O9" s="64">
        <f t="shared" si="1"/>
        <v>0</v>
      </c>
      <c r="P9" s="64">
        <f t="shared" si="2"/>
        <v>0</v>
      </c>
      <c r="Q9" s="64">
        <f t="shared" si="3"/>
        <v>0</v>
      </c>
      <c r="R9" s="64">
        <f t="shared" si="14"/>
        <v>1</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926</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29" t="s">
        <v>869</v>
      </c>
      <c r="D11" s="429"/>
      <c r="E11" s="429">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66</v>
      </c>
      <c r="F12" s="122"/>
      <c r="G12" s="344" t="s">
        <v>926</v>
      </c>
      <c r="H12" s="257"/>
      <c r="I12" s="257"/>
      <c r="J12" s="124">
        <f>1.3/55</f>
        <v>2.3636363636363636E-2</v>
      </c>
      <c r="K12" s="124">
        <f t="shared" ref="K12:K20" si="16">E12*J12</f>
        <v>1.56</v>
      </c>
      <c r="L12" s="80"/>
      <c r="M12" s="40">
        <f t="shared" ref="M12:M20" si="17">IF(E12=0,IF(E12="",0,1),0)</f>
        <v>0</v>
      </c>
      <c r="N12" s="64">
        <f t="shared" si="0"/>
        <v>10</v>
      </c>
      <c r="O12" s="64">
        <f t="shared" si="1"/>
        <v>0</v>
      </c>
      <c r="P12" s="64">
        <f t="shared" si="2"/>
        <v>50</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49</v>
      </c>
      <c r="F13" s="134"/>
      <c r="G13" s="352" t="s">
        <v>926</v>
      </c>
      <c r="H13" s="236"/>
      <c r="I13" s="236"/>
      <c r="J13" s="136">
        <f>1.4/55</f>
        <v>2.5454545454545452E-2</v>
      </c>
      <c r="K13" s="136">
        <f t="shared" si="16"/>
        <v>1.2472727272727271</v>
      </c>
      <c r="L13" s="80"/>
      <c r="M13" s="40">
        <f t="shared" si="17"/>
        <v>0</v>
      </c>
      <c r="N13" s="64">
        <f t="shared" si="0"/>
        <v>4</v>
      </c>
      <c r="O13" s="64">
        <f t="shared" si="1"/>
        <v>12</v>
      </c>
      <c r="P13" s="64">
        <f t="shared" si="2"/>
        <v>25</v>
      </c>
      <c r="Q13" s="64">
        <f t="shared" si="3"/>
        <v>0</v>
      </c>
      <c r="R13" s="64">
        <f t="shared" si="14"/>
        <v>2</v>
      </c>
      <c r="S13" s="64">
        <f t="shared" si="4"/>
        <v>6</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34</v>
      </c>
      <c r="F14" s="134"/>
      <c r="G14" s="345" t="s">
        <v>926</v>
      </c>
      <c r="H14" s="236"/>
      <c r="I14" s="236"/>
      <c r="J14" s="136">
        <f>1.5/55</f>
        <v>2.7272727272727271E-2</v>
      </c>
      <c r="K14" s="136">
        <f t="shared" si="16"/>
        <v>0.92727272727272725</v>
      </c>
      <c r="L14" s="80"/>
      <c r="M14" s="40">
        <f t="shared" si="17"/>
        <v>0</v>
      </c>
      <c r="N14" s="64">
        <f t="shared" si="0"/>
        <v>13</v>
      </c>
      <c r="O14" s="64">
        <f t="shared" si="1"/>
        <v>0</v>
      </c>
      <c r="P14" s="64">
        <f t="shared" si="2"/>
        <v>15</v>
      </c>
      <c r="Q14" s="64">
        <f t="shared" si="3"/>
        <v>0</v>
      </c>
      <c r="R14" s="64">
        <f t="shared" si="14"/>
        <v>2</v>
      </c>
      <c r="S14" s="64">
        <f t="shared" si="4"/>
        <v>4</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47</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9</v>
      </c>
      <c r="F15" s="134"/>
      <c r="G15" s="345" t="s">
        <v>926</v>
      </c>
      <c r="H15" s="236"/>
      <c r="I15" s="236"/>
      <c r="J15" s="136">
        <f>1.7/55</f>
        <v>3.0909090909090907E-2</v>
      </c>
      <c r="K15" s="136">
        <f t="shared" si="16"/>
        <v>0.27818181818181814</v>
      </c>
      <c r="L15" s="80"/>
      <c r="M15" s="40">
        <f t="shared" si="17"/>
        <v>0</v>
      </c>
      <c r="N15" s="64">
        <f t="shared" si="0"/>
        <v>0</v>
      </c>
      <c r="O15" s="64">
        <f t="shared" si="1"/>
        <v>0</v>
      </c>
      <c r="P15" s="64">
        <f t="shared" si="2"/>
        <v>8</v>
      </c>
      <c r="Q15" s="64">
        <f t="shared" si="3"/>
        <v>0</v>
      </c>
      <c r="R15" s="64">
        <f t="shared" si="14"/>
        <v>1</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3</v>
      </c>
      <c r="F16" s="134"/>
      <c r="G16" s="345" t="s">
        <v>926</v>
      </c>
      <c r="H16" s="236"/>
      <c r="I16" s="236"/>
      <c r="J16" s="136">
        <f>1.89/55</f>
        <v>3.436363636363636E-2</v>
      </c>
      <c r="K16" s="136">
        <f t="shared" si="16"/>
        <v>0.10309090909090908</v>
      </c>
      <c r="L16" s="80"/>
      <c r="M16" s="40">
        <f t="shared" si="17"/>
        <v>0</v>
      </c>
      <c r="N16" s="64">
        <f t="shared" si="0"/>
        <v>2</v>
      </c>
      <c r="O16" s="64">
        <f t="shared" si="1"/>
        <v>0</v>
      </c>
      <c r="P16" s="64">
        <f t="shared" si="2"/>
        <v>0</v>
      </c>
      <c r="Q16" s="64">
        <f t="shared" si="3"/>
        <v>0</v>
      </c>
      <c r="R16" s="64">
        <f t="shared" si="14"/>
        <v>1</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8</v>
      </c>
      <c r="F17" s="134"/>
      <c r="G17" s="345" t="s">
        <v>926</v>
      </c>
      <c r="H17" s="236"/>
      <c r="I17" s="236"/>
      <c r="J17" s="136">
        <f>2.27/55</f>
        <v>4.1272727272727273E-2</v>
      </c>
      <c r="K17" s="136">
        <f t="shared" si="16"/>
        <v>0.33018181818181819</v>
      </c>
      <c r="L17" s="80"/>
      <c r="M17" s="40">
        <f t="shared" si="17"/>
        <v>0</v>
      </c>
      <c r="N17" s="64">
        <f t="shared" si="0"/>
        <v>0</v>
      </c>
      <c r="O17" s="64">
        <f t="shared" si="1"/>
        <v>5</v>
      </c>
      <c r="P17" s="64">
        <f t="shared" si="2"/>
        <v>0</v>
      </c>
      <c r="Q17" s="64">
        <f t="shared" si="3"/>
        <v>0</v>
      </c>
      <c r="R17" s="64">
        <f t="shared" si="14"/>
        <v>3</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12</v>
      </c>
      <c r="F18" s="134"/>
      <c r="G18" s="345" t="s">
        <v>926</v>
      </c>
      <c r="H18" s="236"/>
      <c r="I18" s="236"/>
      <c r="J18" s="136">
        <f>2.57/30</f>
        <v>8.5666666666666655E-2</v>
      </c>
      <c r="K18" s="136">
        <f t="shared" si="16"/>
        <v>1.0279999999999998</v>
      </c>
      <c r="L18" s="80"/>
      <c r="M18" s="40">
        <f t="shared" si="17"/>
        <v>0</v>
      </c>
      <c r="N18" s="64">
        <f t="shared" si="0"/>
        <v>8</v>
      </c>
      <c r="O18" s="64">
        <f t="shared" si="1"/>
        <v>0</v>
      </c>
      <c r="P18" s="64">
        <f t="shared" si="2"/>
        <v>0</v>
      </c>
      <c r="Q18" s="64">
        <f t="shared" si="3"/>
        <v>0</v>
      </c>
      <c r="R18" s="64">
        <f t="shared" si="14"/>
        <v>0</v>
      </c>
      <c r="S18" s="64">
        <f t="shared" si="4"/>
        <v>4</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0</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926</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23</v>
      </c>
      <c r="F20" s="128"/>
      <c r="G20" s="346" t="s">
        <v>926</v>
      </c>
      <c r="H20" s="237"/>
      <c r="I20" s="237"/>
      <c r="J20" s="130">
        <f>2.95/30</f>
        <v>9.8333333333333342E-2</v>
      </c>
      <c r="K20" s="130">
        <f t="shared" si="16"/>
        <v>2.2616666666666667</v>
      </c>
      <c r="L20" s="80"/>
      <c r="M20" s="40">
        <f t="shared" si="17"/>
        <v>0</v>
      </c>
      <c r="N20" s="64">
        <f t="shared" si="0"/>
        <v>9</v>
      </c>
      <c r="O20" s="64">
        <f t="shared" si="1"/>
        <v>0</v>
      </c>
      <c r="P20" s="64">
        <f t="shared" si="2"/>
        <v>12</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29" t="s">
        <v>872</v>
      </c>
      <c r="D21" s="429"/>
      <c r="E21" s="429"/>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926</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926</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926</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29" t="s">
        <v>876</v>
      </c>
      <c r="D25" s="429"/>
      <c r="E25" s="429"/>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926</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29" t="s">
        <v>873</v>
      </c>
      <c r="D27" s="429"/>
      <c r="E27" s="429"/>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926</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926</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926</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29" t="s">
        <v>874</v>
      </c>
      <c r="D31" s="429"/>
      <c r="E31" s="429"/>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926</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IF($AV$4=0,-4,0)</f>
        <v>-4</v>
      </c>
      <c r="AL32" s="84">
        <f>IF($AV$4=0,-8,0)</f>
        <v>-8</v>
      </c>
      <c r="AM32" s="85">
        <v>2</v>
      </c>
      <c r="AN32" s="86">
        <v>2</v>
      </c>
      <c r="AO32" s="86">
        <v>3</v>
      </c>
      <c r="AP32" s="86">
        <v>3</v>
      </c>
      <c r="AQ32" s="86"/>
      <c r="AR32" s="87"/>
      <c r="AS32" s="81">
        <f t="shared" si="6"/>
        <v>18</v>
      </c>
      <c r="AT32" s="82">
        <f t="shared" si="7"/>
        <v>18</v>
      </c>
      <c r="AU32" s="82">
        <f t="shared" si="8"/>
        <v>6</v>
      </c>
      <c r="AV32" s="82">
        <f t="shared" si="9"/>
        <v>6</v>
      </c>
      <c r="AW32" s="82">
        <f t="shared" si="10"/>
        <v>-4</v>
      </c>
      <c r="AX32" s="82">
        <f t="shared" si="11"/>
        <v>-8</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926</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IF($AV$4=0,4,0)</f>
        <v>4</v>
      </c>
      <c r="AL33" s="84">
        <f>IF($AV$4=0,8,0)</f>
        <v>8</v>
      </c>
      <c r="AM33" s="85">
        <v>1</v>
      </c>
      <c r="AN33" s="86">
        <v>1</v>
      </c>
      <c r="AO33" s="86">
        <v>1</v>
      </c>
      <c r="AP33" s="86">
        <v>1</v>
      </c>
      <c r="AQ33" s="86"/>
      <c r="AR33" s="87"/>
      <c r="AS33" s="81">
        <f t="shared" si="6"/>
        <v>4</v>
      </c>
      <c r="AT33" s="82">
        <f t="shared" si="7"/>
        <v>0</v>
      </c>
      <c r="AU33" s="82">
        <f t="shared" si="8"/>
        <v>0</v>
      </c>
      <c r="AV33" s="82">
        <f t="shared" si="9"/>
        <v>0</v>
      </c>
      <c r="AW33" s="82">
        <f t="shared" si="10"/>
        <v>4</v>
      </c>
      <c r="AX33" s="82">
        <f t="shared" si="11"/>
        <v>8</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926</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926</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29" t="s">
        <v>875</v>
      </c>
      <c r="D36" s="429"/>
      <c r="E36" s="429"/>
      <c r="F36" s="111"/>
      <c r="G36" s="151"/>
      <c r="H36" s="151"/>
      <c r="I36" s="151"/>
      <c r="J36" s="113"/>
      <c r="K36" s="113"/>
      <c r="L36" s="80"/>
      <c r="M36" s="114">
        <f>M37*M38</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926</v>
      </c>
      <c r="H37" s="238"/>
      <c r="I37" s="238"/>
      <c r="J37" s="124">
        <f>2.21/10</f>
        <v>0.221</v>
      </c>
      <c r="K37" s="124">
        <f>E37*J37</f>
        <v>0.88400000000000001</v>
      </c>
      <c r="L37" s="80"/>
      <c r="M37" s="40">
        <f>IF(E37=0,IF(E37="",0,1),0)</f>
        <v>0</v>
      </c>
      <c r="N37" s="64">
        <f t="shared" ref="N37:N51" si="18">AS$4*AS37+AT$4*AT37+AU$4*AU37+AV$4*AV37+AW$4*AW37+AX$4*AX37+AY$4*AY37+AZ$4*AZ37+BA$4*BA37</f>
        <v>4</v>
      </c>
      <c r="O37" s="64">
        <f t="shared" ref="O37:O51" si="19">BG$4*BG37+BH$4*BH37+BI$4*BI37+BJ$4*BJ37+BK$4*BK37+BL$4*BL37+BM$4*BM37+BN$4*BN37+BO$4*BO37+BP$4*BP37+BQ$4*BQ37+BR$4*BR37</f>
        <v>0</v>
      </c>
      <c r="P37" s="64">
        <f t="shared" ref="P37:P51" si="20">BS$4*BS37+BT$4*BT37+BU$4*BU37+BV$4*BV37+BW$4*BW37+BX$4*BX37+BY$4*BY37+BZ$4*BZ37+CA$4*CA37+CB$4*CB37+CC$4*CC37+CD$4*CD37+CE$4*CE37+CF$4*CF37+CG$4*CG37+CH$4*CH37</f>
        <v>0</v>
      </c>
      <c r="Q37" s="64">
        <f t="shared" ref="Q37:Q51" si="21">BB$4*BB37+BC$4*BC37+BD$4*BD37</f>
        <v>0</v>
      </c>
      <c r="R37" s="64">
        <f t="shared" si="14"/>
        <v>0</v>
      </c>
      <c r="S37" s="64">
        <f t="shared" ref="S37:S51" si="22">FU$4*FU37+FV$4*FV37+FW$4*FW37+FX$4*FX37+FY$4*FY37+FZ$4*FZ37+GA$4*GA37+GB$4*GB37+GC$4*GC37+GD$4*GD37+GE$4*GE37</f>
        <v>0</v>
      </c>
      <c r="T37" s="64">
        <f t="shared" ref="T37:T51"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3" si="24">U37+V37+W37+AD37+AH37+AI37+AM37+AN37+AO37+AP37+AQ37</f>
        <v>0</v>
      </c>
      <c r="AT37" s="82">
        <f t="shared" ref="AT37:AT73" si="25">X37+Y37</f>
        <v>0</v>
      </c>
      <c r="AU37" s="82">
        <f t="shared" ref="AU37:AU65" si="26">Z37+AA37</f>
        <v>4</v>
      </c>
      <c r="AV37" s="82">
        <f t="shared" ref="AV37:AV65" si="27">AB37+AC37</f>
        <v>4</v>
      </c>
      <c r="AW37" s="82">
        <f t="shared" ref="AW37:AW65" si="28">AK37</f>
        <v>0</v>
      </c>
      <c r="AX37" s="82">
        <f t="shared" ref="AX37:AX65" si="29">AL37</f>
        <v>0</v>
      </c>
      <c r="AY37" s="82">
        <f t="shared" ref="AY37:AY65" si="30">AF37+AR37</f>
        <v>0</v>
      </c>
      <c r="AZ37" s="82">
        <f t="shared" ref="AZ37:AZ65"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12</v>
      </c>
      <c r="F38" s="128"/>
      <c r="G38" s="346" t="s">
        <v>926</v>
      </c>
      <c r="H38" s="237"/>
      <c r="I38" s="237"/>
      <c r="J38" s="130">
        <f>2.69/10</f>
        <v>0.26900000000000002</v>
      </c>
      <c r="K38" s="130">
        <f>E38*J38</f>
        <v>3.2280000000000002</v>
      </c>
      <c r="L38" s="80"/>
      <c r="M38" s="40">
        <f>IF(E38=0,IF(E38="",0,1),0)</f>
        <v>0</v>
      </c>
      <c r="N38" s="64">
        <f t="shared" si="18"/>
        <v>12</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IF($AV$4=1,-4,0)</f>
        <v>0</v>
      </c>
      <c r="AL38" s="84">
        <f>IF($AV$4=1,-8,0)</f>
        <v>0</v>
      </c>
      <c r="AM38" s="85"/>
      <c r="AN38" s="86"/>
      <c r="AO38" s="86"/>
      <c r="AP38" s="86"/>
      <c r="AQ38" s="86"/>
      <c r="AR38" s="87"/>
      <c r="AS38" s="81">
        <f t="shared" si="24"/>
        <v>0</v>
      </c>
      <c r="AT38" s="82">
        <f t="shared" si="25"/>
        <v>0</v>
      </c>
      <c r="AU38" s="82">
        <f t="shared" si="26"/>
        <v>12</v>
      </c>
      <c r="AV38" s="82">
        <f t="shared" si="27"/>
        <v>20</v>
      </c>
      <c r="AW38" s="82">
        <f t="shared" si="28"/>
        <v>0</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429" t="s">
        <v>227</v>
      </c>
      <c r="D39" s="429"/>
      <c r="E39" s="429"/>
      <c r="F39" s="111"/>
      <c r="G39" s="151"/>
      <c r="H39" s="151"/>
      <c r="I39" s="151"/>
      <c r="J39" s="113"/>
      <c r="K39" s="113"/>
      <c r="L39" s="80"/>
      <c r="M39" s="114">
        <f>M40</f>
        <v>0</v>
      </c>
      <c r="N39" s="64">
        <f t="shared" si="18"/>
        <v>0</v>
      </c>
      <c r="O39" s="64">
        <f t="shared" si="19"/>
        <v>0</v>
      </c>
      <c r="P39" s="64">
        <f t="shared" si="20"/>
        <v>0</v>
      </c>
      <c r="Q39" s="64">
        <f t="shared" si="21"/>
        <v>0</v>
      </c>
      <c r="R39" s="64">
        <f t="shared" si="14"/>
        <v>0</v>
      </c>
      <c r="S39" s="64">
        <f t="shared" si="22"/>
        <v>0</v>
      </c>
      <c r="T39" s="64">
        <f t="shared" si="23"/>
        <v>0</v>
      </c>
      <c r="U39" s="81"/>
      <c r="V39" s="82"/>
      <c r="W39" s="82"/>
      <c r="X39" s="82"/>
      <c r="Y39" s="82"/>
      <c r="Z39" s="82"/>
      <c r="AA39" s="82"/>
      <c r="AB39" s="82"/>
      <c r="AC39" s="82"/>
      <c r="AD39" s="82"/>
      <c r="AE39" s="83"/>
      <c r="AF39" s="82"/>
      <c r="AG39" s="83"/>
      <c r="AH39" s="82"/>
      <c r="AI39" s="82"/>
      <c r="AJ39" s="82"/>
      <c r="AK39" s="82"/>
      <c r="AL39" s="84"/>
      <c r="AM39" s="85"/>
      <c r="AN39" s="86"/>
      <c r="AO39" s="86"/>
      <c r="AP39" s="86"/>
      <c r="AQ39" s="86"/>
      <c r="AR39" s="87"/>
      <c r="AS39" s="81">
        <f t="shared" si="24"/>
        <v>0</v>
      </c>
      <c r="AT39" s="82">
        <f t="shared" si="25"/>
        <v>0</v>
      </c>
      <c r="AU39" s="82">
        <f t="shared" si="26"/>
        <v>0</v>
      </c>
      <c r="AV39" s="82">
        <f t="shared" si="27"/>
        <v>0</v>
      </c>
      <c r="AW39" s="82">
        <f t="shared" si="28"/>
        <v>0</v>
      </c>
      <c r="AX39" s="82">
        <f t="shared" si="29"/>
        <v>0</v>
      </c>
      <c r="AY39" s="82">
        <f t="shared" si="30"/>
        <v>0</v>
      </c>
      <c r="AZ39" s="82">
        <f t="shared" si="31"/>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4" t="str">
        <f>C39</f>
        <v>SETSCREWS</v>
      </c>
      <c r="GI39" s="100"/>
    </row>
    <row r="40" spans="2:191" x14ac:dyDescent="0.2">
      <c r="B40" s="79"/>
      <c r="C40" s="26"/>
      <c r="D40" s="26" t="s">
        <v>228</v>
      </c>
      <c r="E40" s="115">
        <f>SUM(N40:T40)</f>
        <v>8</v>
      </c>
      <c r="F40" s="116"/>
      <c r="G40" s="349" t="s">
        <v>926</v>
      </c>
      <c r="H40" s="335"/>
      <c r="I40" s="335"/>
      <c r="J40" s="118">
        <f>1.11/50</f>
        <v>2.2200000000000001E-2</v>
      </c>
      <c r="K40" s="118">
        <f>E40*J40</f>
        <v>0.17760000000000001</v>
      </c>
      <c r="L40" s="80"/>
      <c r="M40" s="40">
        <f>IF(E40=0,IF(E40="",0,1),0)</f>
        <v>0</v>
      </c>
      <c r="N40" s="64">
        <f t="shared" si="18"/>
        <v>8</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f>2-AD40</f>
        <v>2</v>
      </c>
      <c r="AG40" s="83">
        <v>1</v>
      </c>
      <c r="AH40" s="82"/>
      <c r="AI40" s="82"/>
      <c r="AJ40" s="82"/>
      <c r="AK40" s="82"/>
      <c r="AL40" s="84"/>
      <c r="AM40" s="85">
        <v>2</v>
      </c>
      <c r="AN40" s="86">
        <v>2</v>
      </c>
      <c r="AO40" s="86"/>
      <c r="AP40" s="86"/>
      <c r="AQ40" s="86"/>
      <c r="AR40" s="87">
        <v>2</v>
      </c>
      <c r="AS40" s="81">
        <f t="shared" si="24"/>
        <v>4</v>
      </c>
      <c r="AT40" s="82">
        <f t="shared" si="25"/>
        <v>0</v>
      </c>
      <c r="AU40" s="82">
        <f t="shared" si="26"/>
        <v>0</v>
      </c>
      <c r="AV40" s="82">
        <f t="shared" si="27"/>
        <v>0</v>
      </c>
      <c r="AW40" s="82">
        <f t="shared" si="28"/>
        <v>0</v>
      </c>
      <c r="AX40" s="82">
        <f t="shared" si="29"/>
        <v>0</v>
      </c>
      <c r="AY40" s="82">
        <f t="shared" si="30"/>
        <v>4</v>
      </c>
      <c r="AZ40" s="82">
        <f t="shared" si="31"/>
        <v>0</v>
      </c>
      <c r="BA40" s="84">
        <v>6</v>
      </c>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19"/>
      <c r="GI40" s="100"/>
    </row>
    <row r="41" spans="2:191" x14ac:dyDescent="0.2">
      <c r="B41" s="79"/>
      <c r="C41" s="429" t="s">
        <v>229</v>
      </c>
      <c r="D41" s="429"/>
      <c r="E41" s="429"/>
      <c r="F41" s="111"/>
      <c r="G41" s="151"/>
      <c r="H41" s="151"/>
      <c r="I41" s="151"/>
      <c r="J41" s="113"/>
      <c r="K41" s="113"/>
      <c r="L41" s="80"/>
      <c r="M41" s="114">
        <f>M42*M43</f>
        <v>0</v>
      </c>
      <c r="N41" s="64">
        <f t="shared" si="18"/>
        <v>0</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c r="AG41" s="83"/>
      <c r="AH41" s="82"/>
      <c r="AI41" s="82"/>
      <c r="AJ41" s="82"/>
      <c r="AK41" s="82"/>
      <c r="AL41" s="84"/>
      <c r="AM41" s="85"/>
      <c r="AN41" s="86"/>
      <c r="AO41" s="86"/>
      <c r="AP41" s="86"/>
      <c r="AQ41" s="86"/>
      <c r="AR41" s="87"/>
      <c r="AS41" s="81">
        <f t="shared" si="24"/>
        <v>0</v>
      </c>
      <c r="AT41" s="82">
        <f t="shared" si="25"/>
        <v>0</v>
      </c>
      <c r="AU41" s="82">
        <f t="shared" si="26"/>
        <v>0</v>
      </c>
      <c r="AV41" s="82">
        <f t="shared" si="27"/>
        <v>0</v>
      </c>
      <c r="AW41" s="82">
        <f t="shared" si="28"/>
        <v>0</v>
      </c>
      <c r="AX41" s="82">
        <f t="shared" si="29"/>
        <v>0</v>
      </c>
      <c r="AY41" s="82">
        <f t="shared" si="30"/>
        <v>0</v>
      </c>
      <c r="AZ41" s="82">
        <f t="shared" si="31"/>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4" t="str">
        <f>C41</f>
        <v>WASHERS</v>
      </c>
      <c r="GI41" s="100"/>
    </row>
    <row r="42" spans="2:191" x14ac:dyDescent="0.2">
      <c r="B42" s="79"/>
      <c r="C42" s="120"/>
      <c r="D42" s="120" t="s">
        <v>230</v>
      </c>
      <c r="E42" s="121">
        <f>SUM(N42:T42)</f>
        <v>0</v>
      </c>
      <c r="F42" s="122" t="s">
        <v>934</v>
      </c>
      <c r="G42" s="344" t="s">
        <v>926</v>
      </c>
      <c r="H42" s="238"/>
      <c r="I42" s="344" t="s">
        <v>926</v>
      </c>
      <c r="J42" s="124">
        <f>1.12/100</f>
        <v>1.1200000000000002E-2</v>
      </c>
      <c r="K42" s="124">
        <f>E42*J42</f>
        <v>0</v>
      </c>
      <c r="L42" s="80"/>
      <c r="M42" s="40">
        <f>IF(E42=0,IF(E42="",0,1),0)</f>
        <v>1</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v>9</v>
      </c>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25"/>
      <c r="GI42" s="100"/>
    </row>
    <row r="43" spans="2:191" x14ac:dyDescent="0.2">
      <c r="B43" s="79"/>
      <c r="C43" s="126"/>
      <c r="D43" s="126" t="s">
        <v>231</v>
      </c>
      <c r="E43" s="127">
        <f>SUM(N43:T43)</f>
        <v>52</v>
      </c>
      <c r="F43" s="128" t="s">
        <v>933</v>
      </c>
      <c r="G43" s="346" t="s">
        <v>926</v>
      </c>
      <c r="H43" s="237"/>
      <c r="I43" s="346" t="s">
        <v>926</v>
      </c>
      <c r="J43" s="130">
        <f>1.8/100</f>
        <v>1.8000000000000002E-2</v>
      </c>
      <c r="K43" s="130">
        <f>E43*J43</f>
        <v>0.93600000000000017</v>
      </c>
      <c r="L43" s="80"/>
      <c r="M43" s="40">
        <f>IF(E43=0,IF(E43="",0,1),0)</f>
        <v>0</v>
      </c>
      <c r="N43" s="64">
        <f t="shared" si="18"/>
        <v>44</v>
      </c>
      <c r="O43" s="64">
        <f t="shared" si="19"/>
        <v>0</v>
      </c>
      <c r="P43" s="64">
        <f t="shared" si="20"/>
        <v>0</v>
      </c>
      <c r="Q43" s="64">
        <f t="shared" si="21"/>
        <v>8</v>
      </c>
      <c r="R43" s="64">
        <f t="shared" si="14"/>
        <v>0</v>
      </c>
      <c r="S43" s="64">
        <f t="shared" si="22"/>
        <v>0</v>
      </c>
      <c r="T43" s="64">
        <f t="shared" si="23"/>
        <v>0</v>
      </c>
      <c r="U43" s="81">
        <v>1</v>
      </c>
      <c r="V43" s="82">
        <v>1</v>
      </c>
      <c r="W43" s="82"/>
      <c r="X43" s="82">
        <v>1</v>
      </c>
      <c r="Y43" s="82">
        <v>1</v>
      </c>
      <c r="Z43" s="82">
        <v>9</v>
      </c>
      <c r="AA43" s="82">
        <v>9</v>
      </c>
      <c r="AB43" s="82">
        <v>13</v>
      </c>
      <c r="AC43" s="82">
        <v>13</v>
      </c>
      <c r="AD43" s="82">
        <v>2</v>
      </c>
      <c r="AE43" s="83">
        <v>2</v>
      </c>
      <c r="AF43" s="82">
        <f>2-AD43</f>
        <v>0</v>
      </c>
      <c r="AG43" s="83">
        <v>2</v>
      </c>
      <c r="AH43" s="82">
        <v>2</v>
      </c>
      <c r="AI43" s="82"/>
      <c r="AJ43" s="82">
        <v>-2</v>
      </c>
      <c r="AK43" s="82"/>
      <c r="AL43" s="84"/>
      <c r="AM43" s="85">
        <v>4</v>
      </c>
      <c r="AN43" s="86">
        <v>4</v>
      </c>
      <c r="AO43" s="86">
        <v>6</v>
      </c>
      <c r="AP43" s="86">
        <v>6</v>
      </c>
      <c r="AQ43" s="86"/>
      <c r="AR43" s="87"/>
      <c r="AS43" s="81">
        <f t="shared" si="24"/>
        <v>26</v>
      </c>
      <c r="AT43" s="82">
        <f t="shared" si="25"/>
        <v>2</v>
      </c>
      <c r="AU43" s="82">
        <f t="shared" si="26"/>
        <v>18</v>
      </c>
      <c r="AV43" s="82">
        <f t="shared" si="27"/>
        <v>26</v>
      </c>
      <c r="AW43" s="82">
        <f t="shared" si="28"/>
        <v>0</v>
      </c>
      <c r="AX43" s="82">
        <f t="shared" si="29"/>
        <v>0</v>
      </c>
      <c r="AY43" s="82">
        <f t="shared" si="30"/>
        <v>0</v>
      </c>
      <c r="AZ43" s="82">
        <f t="shared" si="31"/>
        <v>-2</v>
      </c>
      <c r="BA43" s="84"/>
      <c r="BB43" s="85">
        <v>4</v>
      </c>
      <c r="BC43" s="86">
        <v>4</v>
      </c>
      <c r="BD43" s="87"/>
      <c r="BE43" s="81"/>
      <c r="BF43" s="84">
        <v>12</v>
      </c>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31"/>
      <c r="GI43" s="100"/>
    </row>
    <row r="44" spans="2:191" x14ac:dyDescent="0.2">
      <c r="B44" s="79"/>
      <c r="C44" s="429" t="s">
        <v>232</v>
      </c>
      <c r="D44" s="429"/>
      <c r="E44" s="429"/>
      <c r="F44" s="111"/>
      <c r="G44" s="151"/>
      <c r="H44" s="151"/>
      <c r="I44" s="151"/>
      <c r="J44" s="113"/>
      <c r="K44" s="113"/>
      <c r="L44" s="80"/>
      <c r="M44" s="114">
        <f>M45</f>
        <v>0</v>
      </c>
      <c r="N44" s="64">
        <f t="shared" si="18"/>
        <v>0</v>
      </c>
      <c r="O44" s="64">
        <f t="shared" si="19"/>
        <v>0</v>
      </c>
      <c r="P44" s="64">
        <f t="shared" si="20"/>
        <v>0</v>
      </c>
      <c r="Q44" s="64">
        <f t="shared" si="21"/>
        <v>0</v>
      </c>
      <c r="R44" s="64">
        <f t="shared" si="14"/>
        <v>0</v>
      </c>
      <c r="S44" s="64">
        <f t="shared" si="22"/>
        <v>0</v>
      </c>
      <c r="T44" s="64">
        <f t="shared" si="23"/>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24"/>
        <v>0</v>
      </c>
      <c r="AT44" s="82">
        <f t="shared" si="25"/>
        <v>0</v>
      </c>
      <c r="AU44" s="82">
        <f t="shared" si="26"/>
        <v>0</v>
      </c>
      <c r="AV44" s="82">
        <f t="shared" si="27"/>
        <v>0</v>
      </c>
      <c r="AW44" s="82">
        <f t="shared" si="28"/>
        <v>0</v>
      </c>
      <c r="AX44" s="82">
        <f t="shared" si="29"/>
        <v>0</v>
      </c>
      <c r="AY44" s="82">
        <f t="shared" si="30"/>
        <v>0</v>
      </c>
      <c r="AZ44" s="82">
        <f t="shared" si="31"/>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4" t="str">
        <f>C44</f>
        <v>NUTS</v>
      </c>
      <c r="GI44" s="100"/>
    </row>
    <row r="45" spans="2:191" x14ac:dyDescent="0.2">
      <c r="B45" s="79"/>
      <c r="C45" s="26"/>
      <c r="D45" s="26" t="s">
        <v>230</v>
      </c>
      <c r="E45" s="115">
        <f>SUM(N45:T45)</f>
        <v>5</v>
      </c>
      <c r="F45" s="116"/>
      <c r="G45" s="349" t="s">
        <v>926</v>
      </c>
      <c r="H45" s="335"/>
      <c r="I45" s="335"/>
      <c r="J45" s="118">
        <f>1.27/55</f>
        <v>2.3090909090909092E-2</v>
      </c>
      <c r="K45" s="118">
        <f>E45*J45</f>
        <v>0.11545454545454546</v>
      </c>
      <c r="L45" s="80"/>
      <c r="M45" s="40">
        <f>IF(E45=0,IF(E45="",0,1),0)</f>
        <v>0</v>
      </c>
      <c r="N45" s="64">
        <f t="shared" si="18"/>
        <v>0</v>
      </c>
      <c r="O45" s="64">
        <f t="shared" si="19"/>
        <v>5</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v>4</v>
      </c>
      <c r="BJ45" s="86">
        <v>4</v>
      </c>
      <c r="BK45" s="86">
        <v>4</v>
      </c>
      <c r="BL45" s="86"/>
      <c r="BM45" s="86"/>
      <c r="BN45" s="86"/>
      <c r="BO45" s="86">
        <v>1</v>
      </c>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19"/>
      <c r="GI45" s="100"/>
    </row>
    <row r="46" spans="2:191" x14ac:dyDescent="0.2">
      <c r="B46" s="79"/>
      <c r="C46" s="429" t="s">
        <v>233</v>
      </c>
      <c r="D46" s="429"/>
      <c r="E46" s="429"/>
      <c r="F46" s="111"/>
      <c r="G46" s="151"/>
      <c r="H46" s="151"/>
      <c r="I46" s="151"/>
      <c r="J46" s="113"/>
      <c r="K46" s="113"/>
      <c r="L46" s="80"/>
      <c r="M46" s="114">
        <f>M47*M48</f>
        <v>0</v>
      </c>
      <c r="N46" s="64">
        <f t="shared" si="18"/>
        <v>0</v>
      </c>
      <c r="O46" s="64">
        <f t="shared" si="19"/>
        <v>0</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4" t="str">
        <f>C46</f>
        <v>T-NUTS</v>
      </c>
      <c r="GI46" s="100"/>
    </row>
    <row r="47" spans="2:191" x14ac:dyDescent="0.2">
      <c r="B47" s="79"/>
      <c r="C47" s="120"/>
      <c r="D47" s="120" t="s">
        <v>230</v>
      </c>
      <c r="E47" s="121">
        <f>SUM(N47:T47)</f>
        <v>45</v>
      </c>
      <c r="F47" s="122" t="s">
        <v>868</v>
      </c>
      <c r="G47" s="344" t="s">
        <v>926</v>
      </c>
      <c r="H47" s="344"/>
      <c r="I47" s="344" t="s">
        <v>926</v>
      </c>
      <c r="J47" s="124">
        <f>1.9/30</f>
        <v>6.3333333333333325E-2</v>
      </c>
      <c r="K47" s="124">
        <f>E47*J47</f>
        <v>2.8499999999999996</v>
      </c>
      <c r="L47" s="80"/>
      <c r="M47" s="40">
        <f>IF(E47=0,IF(E47="",0,1),0)</f>
        <v>0</v>
      </c>
      <c r="N47" s="64">
        <f t="shared" si="18"/>
        <v>22</v>
      </c>
      <c r="O47" s="64">
        <f t="shared" si="19"/>
        <v>0</v>
      </c>
      <c r="P47" s="64">
        <f t="shared" si="20"/>
        <v>9</v>
      </c>
      <c r="Q47" s="64">
        <f t="shared" si="21"/>
        <v>0</v>
      </c>
      <c r="R47" s="64">
        <f t="shared" si="14"/>
        <v>0</v>
      </c>
      <c r="S47" s="64">
        <f t="shared" si="22"/>
        <v>14</v>
      </c>
      <c r="T47" s="64">
        <f t="shared" si="23"/>
        <v>0</v>
      </c>
      <c r="U47" s="81"/>
      <c r="V47" s="82"/>
      <c r="W47" s="82">
        <v>4</v>
      </c>
      <c r="X47" s="82"/>
      <c r="Y47" s="82"/>
      <c r="Z47" s="82">
        <v>9</v>
      </c>
      <c r="AA47" s="82">
        <v>9</v>
      </c>
      <c r="AB47" s="82">
        <v>9</v>
      </c>
      <c r="AC47" s="82">
        <v>9</v>
      </c>
      <c r="AD47" s="82"/>
      <c r="AE47" s="83"/>
      <c r="AF47" s="82"/>
      <c r="AG47" s="83"/>
      <c r="AH47" s="82"/>
      <c r="AI47" s="82"/>
      <c r="AJ47" s="82"/>
      <c r="AK47" s="82">
        <v>4</v>
      </c>
      <c r="AL47" s="84"/>
      <c r="AM47" s="85"/>
      <c r="AN47" s="86"/>
      <c r="AO47" s="86"/>
      <c r="AP47" s="86"/>
      <c r="AQ47" s="86"/>
      <c r="AR47" s="87"/>
      <c r="AS47" s="81">
        <f t="shared" si="24"/>
        <v>4</v>
      </c>
      <c r="AT47" s="82">
        <f t="shared" si="25"/>
        <v>0</v>
      </c>
      <c r="AU47" s="82">
        <f t="shared" si="26"/>
        <v>18</v>
      </c>
      <c r="AV47" s="82">
        <f t="shared" si="27"/>
        <v>18</v>
      </c>
      <c r="AW47" s="82">
        <f t="shared" si="28"/>
        <v>4</v>
      </c>
      <c r="AX47" s="82">
        <f t="shared" si="29"/>
        <v>0</v>
      </c>
      <c r="AY47" s="82">
        <f t="shared" si="30"/>
        <v>0</v>
      </c>
      <c r="AZ47" s="82">
        <f t="shared" si="31"/>
        <v>0</v>
      </c>
      <c r="BA47" s="84"/>
      <c r="BB47" s="85"/>
      <c r="BC47" s="86"/>
      <c r="BD47" s="87"/>
      <c r="BE47" s="81"/>
      <c r="BF47" s="84">
        <v>38</v>
      </c>
      <c r="BG47" s="85"/>
      <c r="BH47" s="86"/>
      <c r="BI47" s="86"/>
      <c r="BJ47" s="86"/>
      <c r="BK47" s="86"/>
      <c r="BL47" s="86"/>
      <c r="BM47" s="86"/>
      <c r="BN47" s="86"/>
      <c r="BO47" s="86"/>
      <c r="BP47" s="86"/>
      <c r="BQ47" s="86"/>
      <c r="BR47" s="87"/>
      <c r="BS47" s="81">
        <v>5</v>
      </c>
      <c r="BT47" s="82"/>
      <c r="BU47" s="82">
        <v>4</v>
      </c>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f>IF(AT$4=1,10,12)</f>
        <v>12</v>
      </c>
      <c r="FV47" s="98"/>
      <c r="FW47" s="108">
        <v>8</v>
      </c>
      <c r="FX47" s="81">
        <v>6</v>
      </c>
      <c r="FY47" s="82"/>
      <c r="FZ47" s="84">
        <f>FX47+FY47</f>
        <v>6</v>
      </c>
      <c r="GA47" s="108"/>
      <c r="GB47" s="98"/>
      <c r="GC47" s="107"/>
      <c r="GD47" s="98"/>
      <c r="GE47" s="108">
        <v>8</v>
      </c>
      <c r="GG47" s="79"/>
      <c r="GH47" s="125"/>
      <c r="GI47" s="100"/>
    </row>
    <row r="48" spans="2:191" x14ac:dyDescent="0.2">
      <c r="B48" s="79"/>
      <c r="C48" s="126"/>
      <c r="D48" s="126" t="s">
        <v>234</v>
      </c>
      <c r="E48" s="127">
        <f>SUM(N48:T48)</f>
        <v>30</v>
      </c>
      <c r="F48" s="128" t="s">
        <v>868</v>
      </c>
      <c r="G48" s="344" t="s">
        <v>926</v>
      </c>
      <c r="H48" s="346"/>
      <c r="I48" s="346" t="s">
        <v>926</v>
      </c>
      <c r="J48" s="130">
        <f>1.8/30</f>
        <v>6.0000000000000005E-2</v>
      </c>
      <c r="K48" s="130">
        <f>E48*J48</f>
        <v>1.8</v>
      </c>
      <c r="L48" s="80"/>
      <c r="M48" s="40">
        <f>IF(E48=0,IF(E48="",0,1),0)</f>
        <v>0</v>
      </c>
      <c r="N48" s="64">
        <f t="shared" si="18"/>
        <v>29</v>
      </c>
      <c r="O48" s="64">
        <f t="shared" si="19"/>
        <v>0</v>
      </c>
      <c r="P48" s="64">
        <f t="shared" si="20"/>
        <v>1</v>
      </c>
      <c r="Q48" s="64">
        <f t="shared" si="21"/>
        <v>0</v>
      </c>
      <c r="R48" s="64">
        <f t="shared" si="14"/>
        <v>0</v>
      </c>
      <c r="S48" s="64">
        <f t="shared" si="22"/>
        <v>0</v>
      </c>
      <c r="T48" s="64">
        <f t="shared" si="23"/>
        <v>0</v>
      </c>
      <c r="U48" s="81">
        <v>1</v>
      </c>
      <c r="V48" s="82">
        <v>1</v>
      </c>
      <c r="W48" s="82"/>
      <c r="X48" s="82">
        <v>2</v>
      </c>
      <c r="Y48" s="82">
        <v>2</v>
      </c>
      <c r="Z48" s="82"/>
      <c r="AA48" s="82"/>
      <c r="AB48" s="82"/>
      <c r="AC48" s="82"/>
      <c r="AD48" s="82">
        <v>4</v>
      </c>
      <c r="AE48" s="83">
        <v>4</v>
      </c>
      <c r="AF48" s="82">
        <f>4-AD48</f>
        <v>0</v>
      </c>
      <c r="AG48" s="83">
        <v>4</v>
      </c>
      <c r="AH48" s="82">
        <v>2</v>
      </c>
      <c r="AI48" s="82">
        <v>2</v>
      </c>
      <c r="AJ48" s="82">
        <f>AI48*2-AH48</f>
        <v>2</v>
      </c>
      <c r="AK48" s="82"/>
      <c r="AL48" s="84"/>
      <c r="AM48" s="85">
        <v>2</v>
      </c>
      <c r="AN48" s="86">
        <v>2</v>
      </c>
      <c r="AO48" s="86">
        <v>4</v>
      </c>
      <c r="AP48" s="86">
        <v>4</v>
      </c>
      <c r="AQ48" s="86">
        <v>4</v>
      </c>
      <c r="AR48" s="87">
        <f>-4+7</f>
        <v>3</v>
      </c>
      <c r="AS48" s="81">
        <f t="shared" si="24"/>
        <v>26</v>
      </c>
      <c r="AT48" s="82">
        <f t="shared" si="25"/>
        <v>4</v>
      </c>
      <c r="AU48" s="82">
        <f t="shared" si="26"/>
        <v>0</v>
      </c>
      <c r="AV48" s="82">
        <f t="shared" si="27"/>
        <v>0</v>
      </c>
      <c r="AW48" s="82">
        <f t="shared" si="28"/>
        <v>0</v>
      </c>
      <c r="AX48" s="82">
        <f t="shared" si="29"/>
        <v>0</v>
      </c>
      <c r="AY48" s="82">
        <f t="shared" si="30"/>
        <v>3</v>
      </c>
      <c r="AZ48" s="82">
        <f t="shared" si="31"/>
        <v>2</v>
      </c>
      <c r="BA48" s="84"/>
      <c r="BB48" s="85"/>
      <c r="BC48" s="86"/>
      <c r="BD48" s="87"/>
      <c r="BE48" s="81"/>
      <c r="BF48" s="84"/>
      <c r="BG48" s="85"/>
      <c r="BH48" s="86"/>
      <c r="BI48" s="86"/>
      <c r="BJ48" s="86"/>
      <c r="BK48" s="86"/>
      <c r="BL48" s="86"/>
      <c r="BM48" s="86"/>
      <c r="BN48" s="86"/>
      <c r="BO48" s="86"/>
      <c r="BP48" s="86"/>
      <c r="BQ48" s="86"/>
      <c r="BR48" s="87"/>
      <c r="BS48" s="81"/>
      <c r="BT48" s="82"/>
      <c r="BU48" s="82"/>
      <c r="BV48" s="82">
        <v>1</v>
      </c>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c r="FV48" s="98"/>
      <c r="FW48" s="108"/>
      <c r="FX48" s="81"/>
      <c r="FY48" s="82"/>
      <c r="FZ48" s="84"/>
      <c r="GA48" s="108">
        <v>4</v>
      </c>
      <c r="GB48" s="98"/>
      <c r="GC48" s="107">
        <v>2</v>
      </c>
      <c r="GD48" s="98"/>
      <c r="GE48" s="108"/>
      <c r="GG48" s="79"/>
      <c r="GH48" s="131"/>
      <c r="GI48" s="100"/>
    </row>
    <row r="49" spans="2:191" x14ac:dyDescent="0.2">
      <c r="B49" s="79"/>
      <c r="C49" s="429" t="s">
        <v>235</v>
      </c>
      <c r="D49" s="429"/>
      <c r="E49" s="429"/>
      <c r="F49" s="111"/>
      <c r="G49" s="151"/>
      <c r="H49" s="151"/>
      <c r="I49" s="151"/>
      <c r="J49" s="113"/>
      <c r="K49" s="113"/>
      <c r="L49" s="80"/>
      <c r="M49" s="114">
        <f>M50*M51</f>
        <v>0</v>
      </c>
      <c r="N49" s="64">
        <f t="shared" si="18"/>
        <v>0</v>
      </c>
      <c r="O49" s="64">
        <f t="shared" si="19"/>
        <v>0</v>
      </c>
      <c r="P49" s="64">
        <f t="shared" si="20"/>
        <v>0</v>
      </c>
      <c r="Q49" s="64">
        <f t="shared" si="21"/>
        <v>0</v>
      </c>
      <c r="R49" s="64">
        <f t="shared" si="14"/>
        <v>0</v>
      </c>
      <c r="S49" s="64">
        <f t="shared" si="22"/>
        <v>0</v>
      </c>
      <c r="T49" s="64">
        <f t="shared" si="23"/>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24"/>
        <v>0</v>
      </c>
      <c r="AT49" s="82">
        <f t="shared" si="25"/>
        <v>0</v>
      </c>
      <c r="AU49" s="82">
        <f t="shared" si="26"/>
        <v>0</v>
      </c>
      <c r="AV49" s="82">
        <f t="shared" si="27"/>
        <v>0</v>
      </c>
      <c r="AW49" s="82">
        <f t="shared" si="28"/>
        <v>0</v>
      </c>
      <c r="AX49" s="82">
        <f t="shared" si="29"/>
        <v>0</v>
      </c>
      <c r="AY49" s="82">
        <f t="shared" si="30"/>
        <v>0</v>
      </c>
      <c r="AZ49" s="82">
        <f t="shared" si="31"/>
        <v>0</v>
      </c>
      <c r="BA49" s="84"/>
      <c r="BB49" s="85"/>
      <c r="BC49" s="86"/>
      <c r="BD49" s="87"/>
      <c r="BE49" s="81"/>
      <c r="BF49" s="84"/>
      <c r="BG49" s="85"/>
      <c r="BH49" s="86"/>
      <c r="BI49" s="86"/>
      <c r="BJ49" s="86"/>
      <c r="BK49" s="86"/>
      <c r="BL49" s="86"/>
      <c r="BM49" s="86"/>
      <c r="BN49" s="86"/>
      <c r="BO49" s="86"/>
      <c r="BP49" s="86"/>
      <c r="BQ49" s="86"/>
      <c r="BR49" s="87"/>
      <c r="BS49" s="81"/>
      <c r="BT49" s="82"/>
      <c r="BU49" s="82"/>
      <c r="BV49" s="82"/>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c r="GB49" s="98"/>
      <c r="GC49" s="107"/>
      <c r="GD49" s="98"/>
      <c r="GE49" s="108"/>
      <c r="GG49" s="79"/>
      <c r="GH49" s="14" t="str">
        <f>C49</f>
        <v>HEAT INSERTS</v>
      </c>
      <c r="GI49" s="100"/>
    </row>
    <row r="50" spans="2:191" x14ac:dyDescent="0.2">
      <c r="B50" s="79"/>
      <c r="C50" s="120"/>
      <c r="D50" s="120" t="s">
        <v>230</v>
      </c>
      <c r="E50" s="121">
        <f>SUM(N50:T50)</f>
        <v>103</v>
      </c>
      <c r="F50" s="122" t="s">
        <v>925</v>
      </c>
      <c r="G50" s="344" t="s">
        <v>926</v>
      </c>
      <c r="H50" s="257"/>
      <c r="I50" s="257"/>
      <c r="J50" s="124">
        <f>4.19/100</f>
        <v>4.1900000000000007E-2</v>
      </c>
      <c r="K50" s="124">
        <f>E50*J50</f>
        <v>4.3157000000000005</v>
      </c>
      <c r="L50" s="80"/>
      <c r="M50" s="40">
        <f>IF(E50=0,IF(E50="",0,1),0)</f>
        <v>0</v>
      </c>
      <c r="N50" s="64">
        <f t="shared" si="18"/>
        <v>49</v>
      </c>
      <c r="O50" s="64">
        <f t="shared" si="19"/>
        <v>12</v>
      </c>
      <c r="P50" s="64">
        <f t="shared" si="20"/>
        <v>22</v>
      </c>
      <c r="Q50" s="64">
        <f t="shared" si="21"/>
        <v>10</v>
      </c>
      <c r="R50" s="64">
        <f t="shared" si="14"/>
        <v>10</v>
      </c>
      <c r="S50" s="64">
        <f t="shared" si="22"/>
        <v>0</v>
      </c>
      <c r="T50" s="64">
        <f t="shared" si="23"/>
        <v>0</v>
      </c>
      <c r="U50" s="81">
        <v>8</v>
      </c>
      <c r="V50" s="82">
        <v>8</v>
      </c>
      <c r="W50" s="82">
        <v>3</v>
      </c>
      <c r="X50" s="82">
        <v>16</v>
      </c>
      <c r="Y50" s="82">
        <v>16</v>
      </c>
      <c r="Z50" s="82"/>
      <c r="AA50" s="82"/>
      <c r="AB50" s="82"/>
      <c r="AC50" s="82"/>
      <c r="AD50" s="82">
        <v>3</v>
      </c>
      <c r="AE50" s="83">
        <v>3</v>
      </c>
      <c r="AF50" s="82">
        <f>5-AD50</f>
        <v>2</v>
      </c>
      <c r="AG50" s="83">
        <v>4</v>
      </c>
      <c r="AH50" s="82"/>
      <c r="AI50" s="82"/>
      <c r="AJ50" s="82"/>
      <c r="AK50" s="82">
        <v>3</v>
      </c>
      <c r="AL50" s="84"/>
      <c r="AM50" s="85">
        <v>3</v>
      </c>
      <c r="AN50" s="86">
        <v>3</v>
      </c>
      <c r="AO50" s="86">
        <v>3</v>
      </c>
      <c r="AP50" s="86">
        <v>3</v>
      </c>
      <c r="AQ50" s="86">
        <v>8</v>
      </c>
      <c r="AR50" s="87">
        <f>-8+13</f>
        <v>5</v>
      </c>
      <c r="AS50" s="81">
        <f t="shared" si="24"/>
        <v>42</v>
      </c>
      <c r="AT50" s="82">
        <f t="shared" si="25"/>
        <v>32</v>
      </c>
      <c r="AU50" s="82">
        <f t="shared" si="26"/>
        <v>0</v>
      </c>
      <c r="AV50" s="82">
        <f t="shared" si="27"/>
        <v>0</v>
      </c>
      <c r="AW50" s="82">
        <f t="shared" si="28"/>
        <v>3</v>
      </c>
      <c r="AX50" s="82">
        <f t="shared" si="29"/>
        <v>0</v>
      </c>
      <c r="AY50" s="82">
        <f t="shared" si="30"/>
        <v>7</v>
      </c>
      <c r="AZ50" s="82">
        <f t="shared" si="31"/>
        <v>0</v>
      </c>
      <c r="BA50" s="84">
        <v>6</v>
      </c>
      <c r="BB50" s="85"/>
      <c r="BC50" s="86"/>
      <c r="BD50" s="87">
        <v>10</v>
      </c>
      <c r="BE50" s="81"/>
      <c r="BF50" s="84">
        <v>41</v>
      </c>
      <c r="BG50" s="85"/>
      <c r="BH50" s="86"/>
      <c r="BI50" s="86">
        <v>12</v>
      </c>
      <c r="BJ50" s="86">
        <v>6</v>
      </c>
      <c r="BK50" s="86">
        <v>6</v>
      </c>
      <c r="BL50" s="86">
        <v>3</v>
      </c>
      <c r="BM50" s="86">
        <v>3</v>
      </c>
      <c r="BN50" s="86"/>
      <c r="BO50" s="86"/>
      <c r="BP50" s="86"/>
      <c r="BQ50" s="86"/>
      <c r="BR50" s="87"/>
      <c r="BS50" s="81">
        <v>7</v>
      </c>
      <c r="BT50" s="82">
        <v>8</v>
      </c>
      <c r="BU50" s="82">
        <v>3</v>
      </c>
      <c r="BV50" s="82"/>
      <c r="BW50" s="82"/>
      <c r="BX50" s="82"/>
      <c r="BY50" s="82"/>
      <c r="BZ50" s="82">
        <v>4</v>
      </c>
      <c r="CA50" s="82"/>
      <c r="CB50" s="82">
        <v>4</v>
      </c>
      <c r="CC50" s="82">
        <v>8</v>
      </c>
      <c r="CD50" s="82"/>
      <c r="CE50" s="82"/>
      <c r="CF50" s="82"/>
      <c r="CG50" s="82"/>
      <c r="CH50" s="84">
        <v>8</v>
      </c>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v>4</v>
      </c>
      <c r="DL50" s="86">
        <v>4</v>
      </c>
      <c r="DM50" s="86">
        <v>2</v>
      </c>
      <c r="DN50" s="86">
        <v>2</v>
      </c>
      <c r="DO50" s="86">
        <v>2</v>
      </c>
      <c r="DP50" s="86">
        <v>2</v>
      </c>
      <c r="DQ50" s="86">
        <v>2</v>
      </c>
      <c r="DR50" s="86">
        <v>2</v>
      </c>
      <c r="DS50" s="86">
        <v>2</v>
      </c>
      <c r="DT50" s="86">
        <v>2</v>
      </c>
      <c r="DU50" s="86">
        <v>2</v>
      </c>
      <c r="DV50" s="86">
        <v>2</v>
      </c>
      <c r="DW50" s="86">
        <v>4</v>
      </c>
      <c r="DX50" s="86">
        <v>2</v>
      </c>
      <c r="DY50" s="86">
        <v>2</v>
      </c>
      <c r="DZ50" s="86">
        <v>2</v>
      </c>
      <c r="EA50" s="86">
        <v>2</v>
      </c>
      <c r="EB50" s="86">
        <v>2</v>
      </c>
      <c r="EC50" s="86">
        <v>2</v>
      </c>
      <c r="ED50" s="86">
        <v>2</v>
      </c>
      <c r="EE50" s="87">
        <v>2</v>
      </c>
      <c r="EF50" s="81">
        <f>2+5</f>
        <v>7</v>
      </c>
      <c r="EG50" s="82">
        <v>5</v>
      </c>
      <c r="EH50" s="82">
        <f>2+6</f>
        <v>8</v>
      </c>
      <c r="EI50" s="82">
        <v>4</v>
      </c>
      <c r="EJ50" s="82">
        <v>2</v>
      </c>
      <c r="EK50" s="82">
        <v>2</v>
      </c>
      <c r="EL50" s="82"/>
      <c r="EM50" s="82">
        <v>2</v>
      </c>
      <c r="EN50" s="82">
        <v>2</v>
      </c>
      <c r="EO50" s="82">
        <v>2</v>
      </c>
      <c r="EP50" s="82">
        <v>4</v>
      </c>
      <c r="EQ50" s="82">
        <v>4</v>
      </c>
      <c r="ER50" s="82">
        <v>2</v>
      </c>
      <c r="ES50" s="82"/>
      <c r="ET50" s="82">
        <v>2</v>
      </c>
      <c r="EU50" s="82"/>
      <c r="EV50" s="82">
        <v>2</v>
      </c>
      <c r="EW50" s="82"/>
      <c r="EX50" s="82"/>
      <c r="EY50" s="84"/>
      <c r="EZ50" s="85"/>
      <c r="FA50" s="86">
        <v>2</v>
      </c>
      <c r="FB50" s="86">
        <v>4</v>
      </c>
      <c r="FC50" s="86"/>
      <c r="FD50" s="87"/>
      <c r="FE50" s="81"/>
      <c r="FF50" s="82"/>
      <c r="FG50" s="82">
        <v>2</v>
      </c>
      <c r="FH50" s="82"/>
      <c r="FI50" s="82">
        <v>2</v>
      </c>
      <c r="FJ50" s="82">
        <v>2</v>
      </c>
      <c r="FK50" s="82">
        <v>2</v>
      </c>
      <c r="FL50" s="82">
        <v>1</v>
      </c>
      <c r="FM50" s="82">
        <v>2</v>
      </c>
      <c r="FN50" s="84"/>
      <c r="FO50" s="137"/>
      <c r="FP50" s="138">
        <v>4</v>
      </c>
      <c r="FQ50" s="138"/>
      <c r="FR50" s="138">
        <v>4</v>
      </c>
      <c r="FS50" s="138"/>
      <c r="FT50" s="139"/>
      <c r="FU50" s="107"/>
      <c r="FV50" s="98"/>
      <c r="FW50" s="108"/>
      <c r="FX50" s="81"/>
      <c r="FY50" s="82"/>
      <c r="FZ50" s="84"/>
      <c r="GA50" s="108"/>
      <c r="GB50" s="98"/>
      <c r="GC50" s="107">
        <v>8</v>
      </c>
      <c r="GD50" s="98"/>
      <c r="GE50" s="108">
        <v>12</v>
      </c>
      <c r="GG50" s="79"/>
      <c r="GH50" s="125"/>
      <c r="GI50" s="100"/>
    </row>
    <row r="51" spans="2:191" x14ac:dyDescent="0.2">
      <c r="B51" s="79"/>
      <c r="C51" s="126"/>
      <c r="D51" s="126" t="s">
        <v>231</v>
      </c>
      <c r="E51" s="127">
        <f>SUM(N51:T51)</f>
        <v>18</v>
      </c>
      <c r="F51" s="128" t="s">
        <v>932</v>
      </c>
      <c r="G51" s="346" t="s">
        <v>926</v>
      </c>
      <c r="H51" s="347"/>
      <c r="I51" s="347"/>
      <c r="J51" s="130">
        <f>6.48/100</f>
        <v>6.480000000000001E-2</v>
      </c>
      <c r="K51" s="130">
        <f>E51*J51</f>
        <v>1.1664000000000001</v>
      </c>
      <c r="L51" s="80"/>
      <c r="M51" s="40">
        <f>IF(E51=0,IF(E51="",0,1),0)</f>
        <v>0</v>
      </c>
      <c r="N51" s="64">
        <f t="shared" si="18"/>
        <v>14</v>
      </c>
      <c r="O51" s="64">
        <f t="shared" si="19"/>
        <v>0</v>
      </c>
      <c r="P51" s="64">
        <f t="shared" si="20"/>
        <v>0</v>
      </c>
      <c r="Q51" s="64">
        <f t="shared" si="21"/>
        <v>4</v>
      </c>
      <c r="R51" s="64">
        <f t="shared" si="14"/>
        <v>0</v>
      </c>
      <c r="S51" s="64">
        <f t="shared" si="22"/>
        <v>0</v>
      </c>
      <c r="T51" s="64">
        <f t="shared" si="23"/>
        <v>0</v>
      </c>
      <c r="U51" s="81">
        <v>3</v>
      </c>
      <c r="V51" s="82">
        <v>3</v>
      </c>
      <c r="W51" s="82"/>
      <c r="X51" s="82">
        <v>1</v>
      </c>
      <c r="Y51" s="82">
        <v>1</v>
      </c>
      <c r="Z51" s="82"/>
      <c r="AA51" s="82"/>
      <c r="AB51" s="82"/>
      <c r="AC51" s="82"/>
      <c r="AD51" s="82">
        <v>1</v>
      </c>
      <c r="AE51" s="83">
        <v>1</v>
      </c>
      <c r="AF51" s="82">
        <f>1-AD51</f>
        <v>0</v>
      </c>
      <c r="AG51" s="83">
        <v>1</v>
      </c>
      <c r="AH51" s="82">
        <v>1</v>
      </c>
      <c r="AI51" s="82"/>
      <c r="AJ51" s="82">
        <v>-1</v>
      </c>
      <c r="AK51" s="82">
        <v>4</v>
      </c>
      <c r="AL51" s="84"/>
      <c r="AM51" s="85">
        <v>1</v>
      </c>
      <c r="AN51" s="86">
        <v>1</v>
      </c>
      <c r="AO51" s="86">
        <v>2</v>
      </c>
      <c r="AP51" s="86">
        <v>2</v>
      </c>
      <c r="AQ51" s="86"/>
      <c r="AR51" s="87"/>
      <c r="AS51" s="81">
        <f t="shared" si="24"/>
        <v>14</v>
      </c>
      <c r="AT51" s="82">
        <f t="shared" si="25"/>
        <v>2</v>
      </c>
      <c r="AU51" s="82">
        <f t="shared" si="26"/>
        <v>0</v>
      </c>
      <c r="AV51" s="82">
        <f t="shared" si="27"/>
        <v>0</v>
      </c>
      <c r="AW51" s="82">
        <f t="shared" si="28"/>
        <v>4</v>
      </c>
      <c r="AX51" s="82">
        <f t="shared" si="29"/>
        <v>0</v>
      </c>
      <c r="AY51" s="82">
        <f t="shared" si="30"/>
        <v>0</v>
      </c>
      <c r="AZ51" s="82">
        <f t="shared" si="31"/>
        <v>-1</v>
      </c>
      <c r="BA51" s="84"/>
      <c r="BB51" s="85">
        <v>2</v>
      </c>
      <c r="BC51" s="86">
        <v>2</v>
      </c>
      <c r="BD51" s="87"/>
      <c r="BE51" s="81"/>
      <c r="BF51" s="84">
        <v>12</v>
      </c>
      <c r="BG51" s="85"/>
      <c r="BH51" s="86"/>
      <c r="BI51" s="86"/>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c r="DL51" s="86"/>
      <c r="DM51" s="86"/>
      <c r="DN51" s="86"/>
      <c r="DO51" s="86"/>
      <c r="DP51" s="86"/>
      <c r="DQ51" s="86"/>
      <c r="DR51" s="86"/>
      <c r="DS51" s="86"/>
      <c r="DT51" s="86"/>
      <c r="DU51" s="86"/>
      <c r="DV51" s="86"/>
      <c r="DW51" s="86"/>
      <c r="DX51" s="86"/>
      <c r="DY51" s="86"/>
      <c r="DZ51" s="86"/>
      <c r="EA51" s="86"/>
      <c r="EB51" s="86"/>
      <c r="EC51" s="86"/>
      <c r="ED51" s="86"/>
      <c r="EE51" s="87"/>
      <c r="EF51" s="81"/>
      <c r="EG51" s="82"/>
      <c r="EH51" s="82"/>
      <c r="EI51" s="82"/>
      <c r="EJ51" s="82"/>
      <c r="EK51" s="82"/>
      <c r="EL51" s="82"/>
      <c r="EM51" s="82"/>
      <c r="EN51" s="82"/>
      <c r="EO51" s="82"/>
      <c r="EP51" s="82"/>
      <c r="EQ51" s="82"/>
      <c r="ER51" s="82"/>
      <c r="ES51" s="82"/>
      <c r="ET51" s="82"/>
      <c r="EU51" s="82"/>
      <c r="EV51" s="82"/>
      <c r="EW51" s="82"/>
      <c r="EX51" s="82"/>
      <c r="EY51" s="84"/>
      <c r="EZ51" s="85"/>
      <c r="FA51" s="86"/>
      <c r="FB51" s="86"/>
      <c r="FC51" s="86"/>
      <c r="FD51" s="87"/>
      <c r="FE51" s="81"/>
      <c r="FF51" s="82"/>
      <c r="FG51" s="82"/>
      <c r="FH51" s="82"/>
      <c r="FI51" s="82"/>
      <c r="FJ51" s="82"/>
      <c r="FK51" s="82"/>
      <c r="FL51" s="82"/>
      <c r="FM51" s="82"/>
      <c r="FN51" s="84"/>
      <c r="FO51" s="137"/>
      <c r="FP51" s="138"/>
      <c r="FQ51" s="138"/>
      <c r="FR51" s="138"/>
      <c r="FS51" s="138"/>
      <c r="FT51" s="139"/>
      <c r="FU51" s="107"/>
      <c r="FV51" s="98"/>
      <c r="FW51" s="108"/>
      <c r="FX51" s="81"/>
      <c r="FY51" s="82"/>
      <c r="FZ51" s="84"/>
      <c r="GA51" s="108"/>
      <c r="GB51" s="98"/>
      <c r="GC51" s="107"/>
      <c r="GD51" s="98"/>
      <c r="GE51" s="108"/>
      <c r="GG51" s="79"/>
      <c r="GH51" s="131"/>
      <c r="GI51" s="100"/>
    </row>
    <row r="52" spans="2:191" x14ac:dyDescent="0.2">
      <c r="B52" s="79"/>
      <c r="C52" s="429" t="s">
        <v>236</v>
      </c>
      <c r="D52" s="429"/>
      <c r="E52" s="429"/>
      <c r="F52" s="111"/>
      <c r="G52" s="151"/>
      <c r="H52" s="151"/>
      <c r="I52" s="151"/>
      <c r="J52" s="113"/>
      <c r="K52" s="113"/>
      <c r="L52" s="80"/>
      <c r="M52" s="114">
        <f>M53</f>
        <v>1</v>
      </c>
      <c r="N52" s="64"/>
      <c r="O52" s="64"/>
      <c r="P52" s="64"/>
      <c r="Q52" s="64"/>
      <c r="R52" s="64">
        <f t="shared" si="14"/>
        <v>0</v>
      </c>
      <c r="S52" s="64"/>
      <c r="T52" s="64"/>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24"/>
        <v>0</v>
      </c>
      <c r="AT52" s="82">
        <f t="shared" si="25"/>
        <v>0</v>
      </c>
      <c r="AU52" s="82">
        <f t="shared" si="26"/>
        <v>0</v>
      </c>
      <c r="AV52" s="82">
        <f t="shared" si="27"/>
        <v>0</v>
      </c>
      <c r="AW52" s="82">
        <f t="shared" si="28"/>
        <v>0</v>
      </c>
      <c r="AX52" s="82">
        <f t="shared" si="29"/>
        <v>0</v>
      </c>
      <c r="AY52" s="82">
        <f t="shared" si="30"/>
        <v>0</v>
      </c>
      <c r="AZ52" s="82">
        <f t="shared" si="31"/>
        <v>0</v>
      </c>
      <c r="BA52" s="84"/>
      <c r="BB52" s="85"/>
      <c r="BC52" s="86"/>
      <c r="BD52" s="87"/>
      <c r="BE52" s="81"/>
      <c r="BF52" s="84"/>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4" t="str">
        <f>C52</f>
        <v>MAGNETS</v>
      </c>
      <c r="GI52" s="100"/>
    </row>
    <row r="53" spans="2:191" x14ac:dyDescent="0.2">
      <c r="B53" s="79"/>
      <c r="C53" s="26"/>
      <c r="D53" s="26" t="s">
        <v>237</v>
      </c>
      <c r="E53" s="115">
        <f>SUM(N53:T53)</f>
        <v>0</v>
      </c>
      <c r="F53" s="116"/>
      <c r="G53" s="346" t="s">
        <v>926</v>
      </c>
      <c r="H53" s="350"/>
      <c r="I53" s="350"/>
      <c r="J53" s="118">
        <f>2.89/20</f>
        <v>0.14450000000000002</v>
      </c>
      <c r="K53" s="118">
        <f>E53*J53</f>
        <v>0</v>
      </c>
      <c r="L53" s="80"/>
      <c r="M53" s="40">
        <f>IF(E53=0,IF(E53="",0,1),0)</f>
        <v>1</v>
      </c>
      <c r="N53" s="64">
        <f t="shared" ref="N53:N70" si="32">AS$4*AS53+AT$4*AT53+AU$4*AU53+AV$4*AV53+AW$4*AW53+AX$4*AX53+AY$4*AY53+AZ$4*AZ53+BA$4*BA53</f>
        <v>0</v>
      </c>
      <c r="O53" s="64">
        <f t="shared" ref="O53:O70" si="33">BG$4*BG53+BH$4*BH53+BI$4*BI53+BJ$4*BJ53+BK$4*BK53+BL$4*BL53+BM$4*BM53+BN$4*BN53+BO$4*BO53+BP$4*BP53+BQ$4*BQ53+BR$4*BR53</f>
        <v>0</v>
      </c>
      <c r="P53" s="64">
        <f t="shared" ref="P53:P70" si="34">BS$4*BS53+BT$4*BT53+BU$4*BU53+BV$4*BV53+BW$4*BW53+BX$4*BX53+BY$4*BY53+BZ$4*BZ53+CA$4*CA53+CB$4*CB53+CC$4*CC53+CD$4*CD53+CE$4*CE53+CF$4*CF53+CG$4*CG53+CH$4*CH53</f>
        <v>0</v>
      </c>
      <c r="Q53" s="64">
        <f t="shared" ref="Q53:Q70" si="35">BB$4*BB53+BC$4*BC53+BD$4*BD53</f>
        <v>0</v>
      </c>
      <c r="R53" s="64">
        <f t="shared" si="14"/>
        <v>0</v>
      </c>
      <c r="S53" s="64">
        <f t="shared" ref="S53:S70" si="36">FU$4*FU53+FV$4*FV53+FW$4*FW53+FX$4*FX53+FY$4*FY53+FZ$4*FZ53+GA$4*GA53+GB$4*GB53+GC$4*GC53+GD$4*GD53+GE$4*GE53</f>
        <v>0</v>
      </c>
      <c r="T53" s="64">
        <f t="shared" ref="T53:T70" si="37">BF$4*BF53</f>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v>20</v>
      </c>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v>8</v>
      </c>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19"/>
      <c r="GI53" s="100"/>
    </row>
    <row r="54" spans="2:191" ht="19.899999999999999" customHeight="1" x14ac:dyDescent="0.25">
      <c r="B54" s="101"/>
      <c r="C54" s="428" t="s">
        <v>238</v>
      </c>
      <c r="D54" s="428"/>
      <c r="E54" s="428"/>
      <c r="F54" s="102"/>
      <c r="G54" s="103"/>
      <c r="H54" s="103"/>
      <c r="I54" s="103"/>
      <c r="J54" s="104"/>
      <c r="K54" s="105">
        <f>SUM(K55:K70)</f>
        <v>168.38399999999999</v>
      </c>
      <c r="L54" s="106"/>
      <c r="M54" s="114">
        <v>0</v>
      </c>
      <c r="N54" s="64">
        <f t="shared" si="32"/>
        <v>0</v>
      </c>
      <c r="O54" s="64">
        <f t="shared" si="33"/>
        <v>0</v>
      </c>
      <c r="P54" s="64">
        <f t="shared" si="34"/>
        <v>0</v>
      </c>
      <c r="Q54" s="64">
        <f t="shared" si="35"/>
        <v>0</v>
      </c>
      <c r="R54" s="64">
        <f t="shared" si="14"/>
        <v>0</v>
      </c>
      <c r="S54" s="64">
        <f t="shared" si="36"/>
        <v>0</v>
      </c>
      <c r="T54" s="64">
        <f t="shared" si="37"/>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101"/>
      <c r="GH54" s="109" t="str">
        <f>C54</f>
        <v>MOTION</v>
      </c>
      <c r="GI54" s="110"/>
    </row>
    <row r="55" spans="2:191" x14ac:dyDescent="0.2">
      <c r="B55" s="79"/>
      <c r="C55" s="120"/>
      <c r="D55" s="120" t="s">
        <v>239</v>
      </c>
      <c r="E55" s="121">
        <f t="shared" ref="E55:E70" si="38">SUM(N55:T55)</f>
        <v>4</v>
      </c>
      <c r="F55" s="122" t="s">
        <v>877</v>
      </c>
      <c r="G55" s="344" t="s">
        <v>926</v>
      </c>
      <c r="H55" s="257"/>
      <c r="I55" s="344" t="s">
        <v>926</v>
      </c>
      <c r="J55" s="124">
        <f>(9.37+9.37+4.83)/4</f>
        <v>5.8925000000000001</v>
      </c>
      <c r="K55" s="124">
        <f t="shared" ref="K55:K70" si="39">E55*J55</f>
        <v>23.57</v>
      </c>
      <c r="L55" s="80"/>
      <c r="M55" s="40">
        <f t="shared" ref="M55:M70" si="40">IF(E55=0,IF(E55="",0,1),0)</f>
        <v>0</v>
      </c>
      <c r="N55" s="64">
        <f t="shared" si="32"/>
        <v>0</v>
      </c>
      <c r="O55" s="64">
        <f t="shared" si="33"/>
        <v>0</v>
      </c>
      <c r="P55" s="64">
        <f t="shared" si="34"/>
        <v>0</v>
      </c>
      <c r="Q55" s="64">
        <f t="shared" si="35"/>
        <v>4</v>
      </c>
      <c r="R55" s="64">
        <f t="shared" si="14"/>
        <v>0</v>
      </c>
      <c r="S55" s="64">
        <f t="shared" si="36"/>
        <v>0</v>
      </c>
      <c r="T55" s="64">
        <f t="shared" si="37"/>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v>1</v>
      </c>
      <c r="BC55" s="86">
        <v>1</v>
      </c>
      <c r="BD55" s="87">
        <v>2</v>
      </c>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79"/>
      <c r="GH55" s="125"/>
      <c r="GI55" s="100"/>
    </row>
    <row r="56" spans="2:191" x14ac:dyDescent="0.2">
      <c r="B56" s="79"/>
      <c r="C56" s="132"/>
      <c r="D56" s="132" t="s">
        <v>240</v>
      </c>
      <c r="E56" s="133">
        <f t="shared" si="38"/>
        <v>2</v>
      </c>
      <c r="F56" s="134" t="s">
        <v>877</v>
      </c>
      <c r="G56" s="345" t="s">
        <v>926</v>
      </c>
      <c r="H56" s="348"/>
      <c r="I56" s="345" t="s">
        <v>926</v>
      </c>
      <c r="J56" s="136">
        <f>(14.32+14.32+4.83)/4</f>
        <v>8.3674999999999997</v>
      </c>
      <c r="K56" s="136">
        <f t="shared" si="39"/>
        <v>16.734999999999999</v>
      </c>
      <c r="L56" s="80"/>
      <c r="M56" s="40">
        <f t="shared" si="40"/>
        <v>0</v>
      </c>
      <c r="N56" s="64">
        <f t="shared" si="32"/>
        <v>2</v>
      </c>
      <c r="O56" s="64">
        <f t="shared" si="33"/>
        <v>0</v>
      </c>
      <c r="P56" s="64">
        <f t="shared" si="34"/>
        <v>0</v>
      </c>
      <c r="Q56" s="64">
        <f t="shared" si="35"/>
        <v>0</v>
      </c>
      <c r="R56" s="64">
        <f t="shared" si="14"/>
        <v>0</v>
      </c>
      <c r="S56" s="64">
        <f t="shared" si="36"/>
        <v>0</v>
      </c>
      <c r="T56" s="64">
        <f t="shared" si="37"/>
        <v>0</v>
      </c>
      <c r="U56" s="81">
        <v>1</v>
      </c>
      <c r="V56" s="82">
        <v>1</v>
      </c>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2</v>
      </c>
      <c r="AT56" s="82">
        <f t="shared" si="25"/>
        <v>0</v>
      </c>
      <c r="AU56" s="82">
        <f t="shared" si="26"/>
        <v>0</v>
      </c>
      <c r="AV56" s="82">
        <f t="shared" si="27"/>
        <v>0</v>
      </c>
      <c r="AW56" s="82">
        <f t="shared" si="28"/>
        <v>0</v>
      </c>
      <c r="AX56" s="82">
        <f t="shared" si="29"/>
        <v>0</v>
      </c>
      <c r="AY56" s="82">
        <f t="shared" si="30"/>
        <v>0</v>
      </c>
      <c r="AZ56" s="82">
        <f t="shared" si="31"/>
        <v>0</v>
      </c>
      <c r="BA56" s="84"/>
      <c r="BB56" s="85"/>
      <c r="BC56" s="86"/>
      <c r="BD56" s="87"/>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40"/>
      <c r="GI56" s="100"/>
    </row>
    <row r="57" spans="2:191" x14ac:dyDescent="0.2">
      <c r="B57" s="79"/>
      <c r="C57" s="132"/>
      <c r="D57" s="132" t="s">
        <v>241</v>
      </c>
      <c r="E57" s="133">
        <f t="shared" si="38"/>
        <v>1</v>
      </c>
      <c r="F57" s="134" t="s">
        <v>877</v>
      </c>
      <c r="G57" s="345" t="s">
        <v>926</v>
      </c>
      <c r="H57" s="348"/>
      <c r="I57" s="345" t="s">
        <v>926</v>
      </c>
      <c r="J57" s="136">
        <f>J56</f>
        <v>8.3674999999999997</v>
      </c>
      <c r="K57" s="136">
        <f t="shared" si="39"/>
        <v>8.3674999999999997</v>
      </c>
      <c r="L57" s="80"/>
      <c r="M57" s="40">
        <f t="shared" si="40"/>
        <v>0</v>
      </c>
      <c r="N57" s="64">
        <f t="shared" si="32"/>
        <v>1</v>
      </c>
      <c r="O57" s="64">
        <f t="shared" si="33"/>
        <v>0</v>
      </c>
      <c r="P57" s="64">
        <f t="shared" si="34"/>
        <v>0</v>
      </c>
      <c r="Q57" s="64">
        <f t="shared" si="35"/>
        <v>0</v>
      </c>
      <c r="R57" s="64">
        <f t="shared" si="14"/>
        <v>0</v>
      </c>
      <c r="S57" s="64">
        <f t="shared" si="36"/>
        <v>0</v>
      </c>
      <c r="T57" s="64">
        <f t="shared" si="37"/>
        <v>0</v>
      </c>
      <c r="U57" s="81"/>
      <c r="V57" s="82"/>
      <c r="W57" s="82"/>
      <c r="X57" s="82"/>
      <c r="Y57" s="82"/>
      <c r="Z57" s="82"/>
      <c r="AA57" s="82"/>
      <c r="AB57" s="82"/>
      <c r="AC57" s="82"/>
      <c r="AD57" s="82"/>
      <c r="AE57" s="83"/>
      <c r="AF57" s="82">
        <v>1</v>
      </c>
      <c r="AG57" s="83"/>
      <c r="AH57" s="82"/>
      <c r="AI57" s="82"/>
      <c r="AJ57" s="82"/>
      <c r="AK57" s="82"/>
      <c r="AL57" s="84"/>
      <c r="AM57" s="85"/>
      <c r="AN57" s="86"/>
      <c r="AO57" s="86"/>
      <c r="AP57" s="86"/>
      <c r="AQ57" s="86"/>
      <c r="AR57" s="87"/>
      <c r="AS57" s="81">
        <f t="shared" si="24"/>
        <v>0</v>
      </c>
      <c r="AT57" s="82">
        <f t="shared" si="25"/>
        <v>0</v>
      </c>
      <c r="AU57" s="82">
        <f t="shared" si="26"/>
        <v>0</v>
      </c>
      <c r="AV57" s="82">
        <f t="shared" si="27"/>
        <v>0</v>
      </c>
      <c r="AW57" s="82">
        <f t="shared" si="28"/>
        <v>0</v>
      </c>
      <c r="AX57" s="82">
        <f t="shared" si="29"/>
        <v>0</v>
      </c>
      <c r="AY57" s="82">
        <f t="shared" si="30"/>
        <v>1</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242</v>
      </c>
      <c r="E58" s="133">
        <f t="shared" si="38"/>
        <v>4</v>
      </c>
      <c r="F58" s="134" t="s">
        <v>935</v>
      </c>
      <c r="G58" s="345" t="s">
        <v>926</v>
      </c>
      <c r="H58" s="345" t="s">
        <v>926</v>
      </c>
      <c r="I58" s="345" t="s">
        <v>926</v>
      </c>
      <c r="J58" s="136">
        <f>18.13/4</f>
        <v>4.5324999999999998</v>
      </c>
      <c r="K58" s="136">
        <f t="shared" si="39"/>
        <v>18.13</v>
      </c>
      <c r="L58" s="80"/>
      <c r="M58" s="40">
        <f t="shared" si="40"/>
        <v>0</v>
      </c>
      <c r="N58" s="64">
        <f t="shared" si="32"/>
        <v>0</v>
      </c>
      <c r="O58" s="64">
        <f t="shared" si="33"/>
        <v>0</v>
      </c>
      <c r="P58" s="64">
        <f t="shared" si="34"/>
        <v>0</v>
      </c>
      <c r="Q58" s="64">
        <f t="shared" si="35"/>
        <v>4</v>
      </c>
      <c r="R58" s="64">
        <f t="shared" si="14"/>
        <v>0</v>
      </c>
      <c r="S58" s="64">
        <f t="shared" si="36"/>
        <v>0</v>
      </c>
      <c r="T58" s="64">
        <f t="shared" si="37"/>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0</v>
      </c>
      <c r="AZ58" s="82">
        <f t="shared" si="31"/>
        <v>0</v>
      </c>
      <c r="BA58" s="84"/>
      <c r="BB58" s="85">
        <v>1</v>
      </c>
      <c r="BC58" s="86">
        <v>1</v>
      </c>
      <c r="BD58" s="87">
        <v>2</v>
      </c>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243</v>
      </c>
      <c r="E59" s="133">
        <f t="shared" si="38"/>
        <v>3</v>
      </c>
      <c r="F59" s="134" t="s">
        <v>935</v>
      </c>
      <c r="G59" s="345" t="s">
        <v>926</v>
      </c>
      <c r="H59" s="348"/>
      <c r="I59" s="345" t="s">
        <v>926</v>
      </c>
      <c r="J59" s="136">
        <f>17.54/4</f>
        <v>4.3849999999999998</v>
      </c>
      <c r="K59" s="136">
        <f t="shared" si="39"/>
        <v>13.154999999999999</v>
      </c>
      <c r="L59" s="80"/>
      <c r="M59" s="40">
        <f t="shared" si="40"/>
        <v>0</v>
      </c>
      <c r="N59" s="64">
        <f t="shared" si="32"/>
        <v>0</v>
      </c>
      <c r="O59" s="64">
        <f t="shared" si="33"/>
        <v>3</v>
      </c>
      <c r="P59" s="64">
        <f t="shared" si="34"/>
        <v>0</v>
      </c>
      <c r="Q59" s="64">
        <f t="shared" si="35"/>
        <v>0</v>
      </c>
      <c r="R59" s="64">
        <f t="shared" si="14"/>
        <v>0</v>
      </c>
      <c r="S59" s="64">
        <f t="shared" si="36"/>
        <v>0</v>
      </c>
      <c r="T59" s="64">
        <f t="shared" si="37"/>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c r="BC59" s="86"/>
      <c r="BD59" s="87"/>
      <c r="BE59" s="81"/>
      <c r="BF59" s="84"/>
      <c r="BG59" s="85"/>
      <c r="BH59" s="86"/>
      <c r="BI59" s="86">
        <v>2</v>
      </c>
      <c r="BJ59" s="86">
        <v>2</v>
      </c>
      <c r="BK59" s="86">
        <v>2</v>
      </c>
      <c r="BL59" s="86"/>
      <c r="BM59" s="86"/>
      <c r="BN59" s="86"/>
      <c r="BO59" s="86">
        <v>1</v>
      </c>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244</v>
      </c>
      <c r="E60" s="133">
        <f t="shared" si="38"/>
        <v>0</v>
      </c>
      <c r="F60" s="134" t="s">
        <v>935</v>
      </c>
      <c r="G60" s="345" t="s">
        <v>926</v>
      </c>
      <c r="H60" s="348"/>
      <c r="I60" s="348"/>
      <c r="J60" s="136">
        <f>11.29/2</f>
        <v>5.6449999999999996</v>
      </c>
      <c r="K60" s="136">
        <f t="shared" si="39"/>
        <v>0</v>
      </c>
      <c r="L60" s="80"/>
      <c r="M60" s="40">
        <f t="shared" si="40"/>
        <v>1</v>
      </c>
      <c r="N60" s="64">
        <f t="shared" si="32"/>
        <v>0</v>
      </c>
      <c r="O60" s="64">
        <f t="shared" si="33"/>
        <v>0</v>
      </c>
      <c r="P60" s="64">
        <f t="shared" si="34"/>
        <v>0</v>
      </c>
      <c r="Q60" s="64">
        <f t="shared" si="35"/>
        <v>0</v>
      </c>
      <c r="R60" s="64">
        <f t="shared" si="14"/>
        <v>0</v>
      </c>
      <c r="S60" s="64">
        <f t="shared" si="36"/>
        <v>0</v>
      </c>
      <c r="T60" s="64">
        <f t="shared" si="37"/>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v>3</v>
      </c>
      <c r="BH60" s="86"/>
      <c r="BI60" s="86"/>
      <c r="BJ60" s="86"/>
      <c r="BK60" s="86"/>
      <c r="BL60" s="86"/>
      <c r="BM60" s="86"/>
      <c r="BN60" s="86"/>
      <c r="BO60" s="86"/>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245</v>
      </c>
      <c r="E61" s="133">
        <f t="shared" si="38"/>
        <v>3</v>
      </c>
      <c r="F61" s="134"/>
      <c r="G61" s="345" t="s">
        <v>926</v>
      </c>
      <c r="H61" s="348"/>
      <c r="I61" s="348"/>
      <c r="J61" s="136">
        <f>5.51</f>
        <v>5.51</v>
      </c>
      <c r="K61" s="136">
        <f t="shared" si="39"/>
        <v>16.53</v>
      </c>
      <c r="L61" s="80"/>
      <c r="M61" s="40">
        <f t="shared" si="40"/>
        <v>0</v>
      </c>
      <c r="N61" s="64">
        <f t="shared" si="32"/>
        <v>3</v>
      </c>
      <c r="O61" s="64">
        <f t="shared" si="33"/>
        <v>0</v>
      </c>
      <c r="P61" s="64">
        <f t="shared" si="34"/>
        <v>0</v>
      </c>
      <c r="Q61" s="64">
        <f t="shared" si="35"/>
        <v>0</v>
      </c>
      <c r="R61" s="64">
        <f t="shared" si="14"/>
        <v>0</v>
      </c>
      <c r="S61" s="64">
        <f t="shared" si="36"/>
        <v>0</v>
      </c>
      <c r="T61" s="64">
        <f t="shared" si="37"/>
        <v>0</v>
      </c>
      <c r="U61" s="81">
        <v>1</v>
      </c>
      <c r="V61" s="82">
        <v>1</v>
      </c>
      <c r="W61" s="82"/>
      <c r="X61" s="82"/>
      <c r="Y61" s="82"/>
      <c r="Z61" s="82"/>
      <c r="AA61" s="82"/>
      <c r="AB61" s="82"/>
      <c r="AC61" s="82"/>
      <c r="AD61" s="82">
        <v>1</v>
      </c>
      <c r="AE61" s="83">
        <v>1</v>
      </c>
      <c r="AF61" s="82">
        <f>1-AD61</f>
        <v>0</v>
      </c>
      <c r="AG61" s="83">
        <v>1</v>
      </c>
      <c r="AH61" s="82"/>
      <c r="AI61" s="82"/>
      <c r="AJ61" s="82"/>
      <c r="AK61" s="82"/>
      <c r="AL61" s="84"/>
      <c r="AM61" s="85"/>
      <c r="AN61" s="86"/>
      <c r="AO61" s="86"/>
      <c r="AP61" s="86"/>
      <c r="AQ61" s="86"/>
      <c r="AR61" s="87"/>
      <c r="AS61" s="81">
        <f t="shared" si="24"/>
        <v>3</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246</v>
      </c>
      <c r="E62" s="133">
        <f t="shared" si="38"/>
        <v>3</v>
      </c>
      <c r="F62" s="134"/>
      <c r="G62" s="407" t="s">
        <v>247</v>
      </c>
      <c r="H62" s="407"/>
      <c r="I62" s="236"/>
      <c r="J62" s="136"/>
      <c r="K62" s="136">
        <f t="shared" si="39"/>
        <v>0</v>
      </c>
      <c r="L62" s="80"/>
      <c r="M62" s="40">
        <f t="shared" si="40"/>
        <v>0</v>
      </c>
      <c r="N62" s="64">
        <f t="shared" si="32"/>
        <v>0</v>
      </c>
      <c r="O62" s="64">
        <f t="shared" si="33"/>
        <v>3</v>
      </c>
      <c r="P62" s="64">
        <f t="shared" si="34"/>
        <v>0</v>
      </c>
      <c r="Q62" s="64">
        <f t="shared" si="35"/>
        <v>0</v>
      </c>
      <c r="R62" s="64">
        <f t="shared" si="14"/>
        <v>0</v>
      </c>
      <c r="S62" s="64">
        <f t="shared" si="36"/>
        <v>0</v>
      </c>
      <c r="T62" s="64">
        <f t="shared" si="37"/>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24"/>
        <v>0</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v>3</v>
      </c>
      <c r="BH62" s="86"/>
      <c r="BI62" s="86">
        <v>3</v>
      </c>
      <c r="BJ62" s="86">
        <v>3</v>
      </c>
      <c r="BK62" s="86">
        <v>3</v>
      </c>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248</v>
      </c>
      <c r="E63" s="133">
        <f t="shared" si="38"/>
        <v>6</v>
      </c>
      <c r="F63" s="134"/>
      <c r="G63" s="345" t="s">
        <v>926</v>
      </c>
      <c r="H63" s="348"/>
      <c r="I63" s="348"/>
      <c r="J63" s="136">
        <f>7.19/8</f>
        <v>0.89875000000000005</v>
      </c>
      <c r="K63" s="136">
        <f t="shared" si="39"/>
        <v>5.3925000000000001</v>
      </c>
      <c r="L63" s="80"/>
      <c r="M63" s="40">
        <f t="shared" si="40"/>
        <v>0</v>
      </c>
      <c r="N63" s="64">
        <f t="shared" si="32"/>
        <v>6</v>
      </c>
      <c r="O63" s="64">
        <f t="shared" si="33"/>
        <v>0</v>
      </c>
      <c r="P63" s="64">
        <f t="shared" si="34"/>
        <v>0</v>
      </c>
      <c r="Q63" s="64">
        <f t="shared" si="35"/>
        <v>0</v>
      </c>
      <c r="R63" s="64">
        <f t="shared" si="14"/>
        <v>0</v>
      </c>
      <c r="S63" s="64">
        <f t="shared" si="36"/>
        <v>0</v>
      </c>
      <c r="T63" s="64">
        <f t="shared" si="37"/>
        <v>0</v>
      </c>
      <c r="U63" s="81">
        <v>2</v>
      </c>
      <c r="V63" s="82">
        <v>2</v>
      </c>
      <c r="W63" s="82"/>
      <c r="X63" s="82"/>
      <c r="Y63" s="82"/>
      <c r="Z63" s="82"/>
      <c r="AA63" s="82"/>
      <c r="AB63" s="82"/>
      <c r="AC63" s="82"/>
      <c r="AD63" s="82">
        <v>2</v>
      </c>
      <c r="AE63" s="83">
        <v>2</v>
      </c>
      <c r="AF63" s="82">
        <f>2-AD63</f>
        <v>0</v>
      </c>
      <c r="AG63" s="83">
        <v>2</v>
      </c>
      <c r="AH63" s="82"/>
      <c r="AI63" s="82"/>
      <c r="AJ63" s="82"/>
      <c r="AK63" s="82"/>
      <c r="AL63" s="84"/>
      <c r="AM63" s="85"/>
      <c r="AN63" s="86"/>
      <c r="AO63" s="86"/>
      <c r="AP63" s="86"/>
      <c r="AQ63" s="86"/>
      <c r="AR63" s="87"/>
      <c r="AS63" s="81">
        <f t="shared" si="24"/>
        <v>6</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c r="BH63" s="86"/>
      <c r="BI63" s="86"/>
      <c r="BJ63" s="86"/>
      <c r="BK63" s="86"/>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v>4</v>
      </c>
      <c r="GB63" s="98"/>
      <c r="GC63" s="107"/>
      <c r="GD63" s="98"/>
      <c r="GE63" s="108"/>
      <c r="GG63" s="79"/>
      <c r="GH63" s="140"/>
      <c r="GI63" s="100"/>
    </row>
    <row r="64" spans="2:191" x14ac:dyDescent="0.2">
      <c r="B64" s="79"/>
      <c r="C64" s="132"/>
      <c r="D64" s="132" t="s">
        <v>249</v>
      </c>
      <c r="E64" s="133">
        <f t="shared" si="38"/>
        <v>32</v>
      </c>
      <c r="F64" s="134" t="s">
        <v>878</v>
      </c>
      <c r="G64" s="345" t="s">
        <v>926</v>
      </c>
      <c r="H64" s="348"/>
      <c r="I64" s="348"/>
      <c r="J64" s="136">
        <f>6.31/10</f>
        <v>0.63100000000000001</v>
      </c>
      <c r="K64" s="136">
        <f t="shared" si="39"/>
        <v>20.192</v>
      </c>
      <c r="L64" s="80"/>
      <c r="M64" s="40">
        <f t="shared" si="40"/>
        <v>0</v>
      </c>
      <c r="N64" s="64">
        <f t="shared" si="32"/>
        <v>24</v>
      </c>
      <c r="O64" s="64">
        <f t="shared" si="33"/>
        <v>0</v>
      </c>
      <c r="P64" s="64">
        <f t="shared" si="34"/>
        <v>0</v>
      </c>
      <c r="Q64" s="64">
        <f t="shared" si="35"/>
        <v>8</v>
      </c>
      <c r="R64" s="64">
        <f t="shared" si="14"/>
        <v>0</v>
      </c>
      <c r="S64" s="64">
        <f t="shared" si="36"/>
        <v>0</v>
      </c>
      <c r="T64" s="64">
        <f t="shared" si="37"/>
        <v>0</v>
      </c>
      <c r="U64" s="81"/>
      <c r="V64" s="82"/>
      <c r="W64" s="82"/>
      <c r="X64" s="82"/>
      <c r="Y64" s="82"/>
      <c r="Z64" s="82"/>
      <c r="AA64" s="82"/>
      <c r="AB64" s="82"/>
      <c r="AC64" s="82"/>
      <c r="AD64" s="82">
        <v>2</v>
      </c>
      <c r="AE64" s="83">
        <v>2</v>
      </c>
      <c r="AF64" s="82">
        <f>2-AD64</f>
        <v>0</v>
      </c>
      <c r="AG64" s="83">
        <v>2</v>
      </c>
      <c r="AH64" s="82">
        <v>2</v>
      </c>
      <c r="AI64" s="82"/>
      <c r="AJ64" s="82">
        <v>-2</v>
      </c>
      <c r="AK64" s="82"/>
      <c r="AL64" s="84"/>
      <c r="AM64" s="85">
        <v>4</v>
      </c>
      <c r="AN64" s="86">
        <v>4</v>
      </c>
      <c r="AO64" s="86">
        <v>6</v>
      </c>
      <c r="AP64" s="86">
        <v>6</v>
      </c>
      <c r="AQ64" s="86"/>
      <c r="AR64" s="87"/>
      <c r="AS64" s="81">
        <f t="shared" si="24"/>
        <v>24</v>
      </c>
      <c r="AT64" s="82">
        <f t="shared" si="25"/>
        <v>0</v>
      </c>
      <c r="AU64" s="82">
        <f t="shared" si="26"/>
        <v>0</v>
      </c>
      <c r="AV64" s="82">
        <f t="shared" si="27"/>
        <v>0</v>
      </c>
      <c r="AW64" s="82">
        <f t="shared" si="28"/>
        <v>0</v>
      </c>
      <c r="AX64" s="82">
        <f t="shared" si="29"/>
        <v>0</v>
      </c>
      <c r="AY64" s="82">
        <f t="shared" si="30"/>
        <v>0</v>
      </c>
      <c r="AZ64" s="82">
        <f t="shared" si="31"/>
        <v>-2</v>
      </c>
      <c r="BA64" s="84"/>
      <c r="BB64" s="85">
        <v>4</v>
      </c>
      <c r="BC64" s="86">
        <v>4</v>
      </c>
      <c r="BD64" s="87"/>
      <c r="BE64" s="81"/>
      <c r="BF64" s="84">
        <v>12</v>
      </c>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c r="GB64" s="98"/>
      <c r="GC64" s="107"/>
      <c r="GD64" s="98"/>
      <c r="GE64" s="108"/>
      <c r="GG64" s="79"/>
      <c r="GH64" s="140"/>
      <c r="GI64" s="100"/>
    </row>
    <row r="65" spans="2:191" x14ac:dyDescent="0.2">
      <c r="B65" s="79"/>
      <c r="C65" s="132"/>
      <c r="D65" s="132" t="s">
        <v>250</v>
      </c>
      <c r="E65" s="133">
        <f t="shared" si="38"/>
        <v>3</v>
      </c>
      <c r="F65" s="134" t="s">
        <v>936</v>
      </c>
      <c r="G65" s="345" t="s">
        <v>926</v>
      </c>
      <c r="H65" s="348"/>
      <c r="I65" s="348"/>
      <c r="J65" s="136">
        <f>14.51/3</f>
        <v>4.8366666666666669</v>
      </c>
      <c r="K65" s="136">
        <f t="shared" si="39"/>
        <v>14.510000000000002</v>
      </c>
      <c r="L65" s="80"/>
      <c r="M65" s="40">
        <f t="shared" si="40"/>
        <v>0</v>
      </c>
      <c r="N65" s="64">
        <f t="shared" si="32"/>
        <v>3</v>
      </c>
      <c r="O65" s="64">
        <f t="shared" si="33"/>
        <v>0</v>
      </c>
      <c r="P65" s="64">
        <f t="shared" si="34"/>
        <v>0</v>
      </c>
      <c r="Q65" s="64">
        <f t="shared" si="35"/>
        <v>0</v>
      </c>
      <c r="R65" s="64">
        <f t="shared" si="14"/>
        <v>0</v>
      </c>
      <c r="S65" s="64">
        <f t="shared" si="36"/>
        <v>0</v>
      </c>
      <c r="T65" s="64">
        <f t="shared" si="37"/>
        <v>0</v>
      </c>
      <c r="U65" s="81">
        <v>1</v>
      </c>
      <c r="V65" s="82">
        <v>1</v>
      </c>
      <c r="W65" s="82"/>
      <c r="X65" s="82"/>
      <c r="Y65" s="82"/>
      <c r="Z65" s="82"/>
      <c r="AA65" s="82"/>
      <c r="AB65" s="82"/>
      <c r="AC65" s="82"/>
      <c r="AD65" s="82">
        <v>1</v>
      </c>
      <c r="AE65" s="83">
        <v>1</v>
      </c>
      <c r="AF65" s="82">
        <f>1-AD65</f>
        <v>0</v>
      </c>
      <c r="AG65" s="83">
        <v>1</v>
      </c>
      <c r="AH65" s="82"/>
      <c r="AI65" s="82"/>
      <c r="AJ65" s="82"/>
      <c r="AK65" s="82"/>
      <c r="AL65" s="84"/>
      <c r="AM65" s="85"/>
      <c r="AN65" s="86"/>
      <c r="AO65" s="86"/>
      <c r="AP65" s="86"/>
      <c r="AQ65" s="86"/>
      <c r="AR65" s="87"/>
      <c r="AS65" s="81">
        <f t="shared" si="24"/>
        <v>3</v>
      </c>
      <c r="AT65" s="82">
        <f t="shared" si="25"/>
        <v>0</v>
      </c>
      <c r="AU65" s="82">
        <f t="shared" si="26"/>
        <v>0</v>
      </c>
      <c r="AV65" s="82">
        <f t="shared" si="27"/>
        <v>0</v>
      </c>
      <c r="AW65" s="82">
        <f t="shared" si="28"/>
        <v>0</v>
      </c>
      <c r="AX65" s="82">
        <f t="shared" si="29"/>
        <v>0</v>
      </c>
      <c r="AY65" s="82">
        <f t="shared" si="30"/>
        <v>0</v>
      </c>
      <c r="AZ65" s="82">
        <f t="shared" si="31"/>
        <v>0</v>
      </c>
      <c r="BA65" s="84">
        <v>-3</v>
      </c>
      <c r="BB65" s="85"/>
      <c r="BC65" s="86"/>
      <c r="BD65" s="87"/>
      <c r="BE65" s="81"/>
      <c r="BF65" s="84"/>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251</v>
      </c>
      <c r="E66" s="133">
        <f t="shared" si="38"/>
        <v>3</v>
      </c>
      <c r="F66" s="134" t="s">
        <v>937</v>
      </c>
      <c r="G66" s="345" t="s">
        <v>926</v>
      </c>
      <c r="H66" s="348"/>
      <c r="I66" s="348"/>
      <c r="J66" s="136">
        <f>9.67/5</f>
        <v>1.9339999999999999</v>
      </c>
      <c r="K66" s="136">
        <f t="shared" si="39"/>
        <v>5.8019999999999996</v>
      </c>
      <c r="L66" s="80"/>
      <c r="M66" s="40">
        <f t="shared" si="40"/>
        <v>0</v>
      </c>
      <c r="N66" s="64">
        <f t="shared" si="32"/>
        <v>3</v>
      </c>
      <c r="O66" s="64">
        <f t="shared" si="33"/>
        <v>0</v>
      </c>
      <c r="P66" s="64">
        <f t="shared" si="34"/>
        <v>0</v>
      </c>
      <c r="Q66" s="64">
        <f t="shared" si="35"/>
        <v>0</v>
      </c>
      <c r="R66" s="64">
        <f t="shared" si="14"/>
        <v>0</v>
      </c>
      <c r="S66" s="64">
        <f t="shared" si="36"/>
        <v>0</v>
      </c>
      <c r="T66" s="64">
        <f t="shared" si="37"/>
        <v>0</v>
      </c>
      <c r="U66" s="81"/>
      <c r="V66" s="82"/>
      <c r="W66" s="82"/>
      <c r="X66" s="82"/>
      <c r="Y66" s="82"/>
      <c r="Z66" s="82"/>
      <c r="AA66" s="82"/>
      <c r="AB66" s="82"/>
      <c r="AC66" s="82"/>
      <c r="AD66" s="82"/>
      <c r="AE66" s="83">
        <v>1</v>
      </c>
      <c r="AF66" s="82"/>
      <c r="AG66" s="83">
        <v>1</v>
      </c>
      <c r="AH66" s="82"/>
      <c r="AI66" s="82">
        <v>1</v>
      </c>
      <c r="AJ66" s="82">
        <f>AI66*2</f>
        <v>2</v>
      </c>
      <c r="AK66" s="82"/>
      <c r="AL66" s="84"/>
      <c r="AM66" s="85"/>
      <c r="AN66" s="86"/>
      <c r="AO66" s="86">
        <v>1</v>
      </c>
      <c r="AP66" s="86">
        <v>1</v>
      </c>
      <c r="AQ66" s="86"/>
      <c r="AR66" s="87"/>
      <c r="AS66" s="81">
        <f t="shared" si="24"/>
        <v>3</v>
      </c>
      <c r="AT66" s="82">
        <f t="shared" si="25"/>
        <v>0</v>
      </c>
      <c r="AU66" s="82">
        <f t="shared" ref="AU66:AU97" si="41">Z66+AA66</f>
        <v>0</v>
      </c>
      <c r="AV66" s="82">
        <f t="shared" ref="AV66:AV97" si="42">AB66+AC66</f>
        <v>0</v>
      </c>
      <c r="AW66" s="82">
        <f t="shared" ref="AW66:AW97" si="43">AK66</f>
        <v>0</v>
      </c>
      <c r="AX66" s="82">
        <f t="shared" ref="AX66:AX97" si="44">AL66</f>
        <v>0</v>
      </c>
      <c r="AY66" s="82">
        <f t="shared" ref="AY66:AY97" si="45">AF66+AR66</f>
        <v>0</v>
      </c>
      <c r="AZ66" s="82">
        <f t="shared" ref="AZ66:AZ97" si="46">AJ66</f>
        <v>2</v>
      </c>
      <c r="BA66" s="84"/>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252</v>
      </c>
      <c r="E67" s="133">
        <f t="shared" si="38"/>
        <v>1</v>
      </c>
      <c r="F67" s="134" t="s">
        <v>253</v>
      </c>
      <c r="G67" s="345" t="s">
        <v>926</v>
      </c>
      <c r="H67" s="348"/>
      <c r="I67" s="348"/>
      <c r="J67" s="136">
        <v>22.98</v>
      </c>
      <c r="K67" s="136">
        <f t="shared" si="39"/>
        <v>22.98</v>
      </c>
      <c r="L67" s="80"/>
      <c r="M67" s="40">
        <f t="shared" si="40"/>
        <v>0</v>
      </c>
      <c r="N67" s="64">
        <f t="shared" si="32"/>
        <v>0</v>
      </c>
      <c r="O67" s="64">
        <f t="shared" si="33"/>
        <v>0</v>
      </c>
      <c r="P67" s="64">
        <f t="shared" si="34"/>
        <v>0</v>
      </c>
      <c r="Q67" s="64">
        <f t="shared" si="35"/>
        <v>1</v>
      </c>
      <c r="R67" s="64">
        <f t="shared" ref="R67:R111" si="47">DK$4*DK67+DL$4*DL67+DM$4*DM67+DN$4*DN67+DO$4*DO67+DP$4*DP67+DQ$4*DQ67+DR$4*DR67+DS$4*DS67+DT$4*DT67+DU$4*DU67+DV$4*DV67+DW$4*DW67+DX$4*DX67+DY$4*DY67+DZ$4*DZ67+EA$4*EA67+EB$4*EB67+EC$4*EC67+ED$4*ED67+EE$4*EE67+EF$4*EF67+EG$4*EG67+EH$4*EH67+EI$4*EI67+EJ$4*EJ67+EK$4*EK67+EL$4*EL67+EM$4*EM67+EN$4*EN67+EO$4*EO67+EP$4*EP67+EQ$4*EQ67+ER$4*ER67+ES$4*ES67+ET$4*ET67+EU$4*EU67+EV$4*EV67+EW$4*EW67+EX$4*EX67+EY$4*EY67+EZ$4*EZ67+FA$4*FA67+FB$4*FB67+FC$4*FC67+FD$4*FD67+FE$4*FE67+FF$4*FF67+FG$4*FG67+FH$4*FH67+FI$4*FI67+FJ$4*FJ67+FK$4*FK67+FL$4*FL67+FM$4*FM67+FN$4*FN67+FO$4*FO67+FP$4*FP67+FQ$4*FQ67+FR$4*FR67+FS$4*FS67+FT$4*FT67</f>
        <v>0</v>
      </c>
      <c r="S67" s="64">
        <f t="shared" si="36"/>
        <v>0</v>
      </c>
      <c r="T67" s="64">
        <f t="shared" si="37"/>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24"/>
        <v>0</v>
      </c>
      <c r="AT67" s="82">
        <f t="shared" si="25"/>
        <v>0</v>
      </c>
      <c r="AU67" s="82">
        <f t="shared" si="41"/>
        <v>0</v>
      </c>
      <c r="AV67" s="82">
        <f t="shared" si="42"/>
        <v>0</v>
      </c>
      <c r="AW67" s="82">
        <f t="shared" si="43"/>
        <v>0</v>
      </c>
      <c r="AX67" s="82">
        <f t="shared" si="44"/>
        <v>0</v>
      </c>
      <c r="AY67" s="82">
        <f t="shared" si="45"/>
        <v>0</v>
      </c>
      <c r="AZ67" s="82">
        <f t="shared" si="46"/>
        <v>0</v>
      </c>
      <c r="BA67" s="84"/>
      <c r="BB67" s="85"/>
      <c r="BC67" s="86"/>
      <c r="BD67" s="87">
        <v>1</v>
      </c>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254</v>
      </c>
      <c r="E68" s="133">
        <f t="shared" si="38"/>
        <v>1</v>
      </c>
      <c r="F68" s="134" t="s">
        <v>255</v>
      </c>
      <c r="G68" s="345" t="s">
        <v>926</v>
      </c>
      <c r="H68" s="348"/>
      <c r="I68" s="348"/>
      <c r="J68" s="136">
        <f>6.04/2</f>
        <v>3.02</v>
      </c>
      <c r="K68" s="136">
        <f t="shared" si="39"/>
        <v>3.02</v>
      </c>
      <c r="L68" s="80"/>
      <c r="M68" s="40">
        <f t="shared" si="40"/>
        <v>0</v>
      </c>
      <c r="N68" s="64">
        <f t="shared" si="32"/>
        <v>1</v>
      </c>
      <c r="O68" s="64">
        <f t="shared" si="33"/>
        <v>0</v>
      </c>
      <c r="P68" s="64">
        <f t="shared" si="34"/>
        <v>0</v>
      </c>
      <c r="Q68" s="64">
        <f t="shared" si="35"/>
        <v>0</v>
      </c>
      <c r="R68" s="64">
        <f t="shared" si="47"/>
        <v>0</v>
      </c>
      <c r="S68" s="64">
        <f t="shared" si="36"/>
        <v>0</v>
      </c>
      <c r="T68" s="64">
        <f t="shared" si="37"/>
        <v>0</v>
      </c>
      <c r="U68" s="81"/>
      <c r="V68" s="82"/>
      <c r="W68" s="82"/>
      <c r="X68" s="82"/>
      <c r="Y68" s="82"/>
      <c r="Z68" s="82"/>
      <c r="AA68" s="82"/>
      <c r="AB68" s="82"/>
      <c r="AC68" s="82"/>
      <c r="AD68" s="82">
        <v>1</v>
      </c>
      <c r="AE68" s="83"/>
      <c r="AF68" s="82">
        <f>1-AD68</f>
        <v>0</v>
      </c>
      <c r="AG68" s="83"/>
      <c r="AH68" s="82"/>
      <c r="AI68" s="82"/>
      <c r="AJ68" s="82">
        <v>-1</v>
      </c>
      <c r="AK68" s="82"/>
      <c r="AL68" s="84"/>
      <c r="AM68" s="85"/>
      <c r="AN68" s="86"/>
      <c r="AO68" s="86"/>
      <c r="AP68" s="86"/>
      <c r="AQ68" s="86"/>
      <c r="AR68" s="87"/>
      <c r="AS68" s="81">
        <f t="shared" si="24"/>
        <v>1</v>
      </c>
      <c r="AT68" s="82">
        <f t="shared" si="25"/>
        <v>0</v>
      </c>
      <c r="AU68" s="82">
        <f t="shared" si="41"/>
        <v>0</v>
      </c>
      <c r="AV68" s="82">
        <f t="shared" si="42"/>
        <v>0</v>
      </c>
      <c r="AW68" s="82">
        <f t="shared" si="43"/>
        <v>0</v>
      </c>
      <c r="AX68" s="82">
        <f t="shared" si="44"/>
        <v>0</v>
      </c>
      <c r="AY68" s="82">
        <f t="shared" si="45"/>
        <v>0</v>
      </c>
      <c r="AZ68" s="82">
        <f t="shared" si="46"/>
        <v>-1</v>
      </c>
      <c r="BA68" s="84"/>
      <c r="BB68" s="85"/>
      <c r="BC68" s="86"/>
      <c r="BD68" s="87"/>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256</v>
      </c>
      <c r="E69" s="133">
        <f t="shared" si="38"/>
        <v>0</v>
      </c>
      <c r="F69" s="134" t="s">
        <v>879</v>
      </c>
      <c r="G69" s="345" t="s">
        <v>926</v>
      </c>
      <c r="H69" s="348"/>
      <c r="I69" s="348"/>
      <c r="J69" s="136">
        <f>6.04/5</f>
        <v>1.208</v>
      </c>
      <c r="K69" s="136">
        <f t="shared" si="39"/>
        <v>0</v>
      </c>
      <c r="L69" s="80"/>
      <c r="M69" s="40">
        <f t="shared" si="40"/>
        <v>1</v>
      </c>
      <c r="N69" s="64">
        <f t="shared" si="32"/>
        <v>0</v>
      </c>
      <c r="O69" s="64">
        <f t="shared" si="33"/>
        <v>0</v>
      </c>
      <c r="P69" s="64">
        <f t="shared" si="34"/>
        <v>0</v>
      </c>
      <c r="Q69" s="64">
        <f t="shared" si="35"/>
        <v>0</v>
      </c>
      <c r="R69" s="64">
        <f t="shared" si="47"/>
        <v>0</v>
      </c>
      <c r="S69" s="64">
        <f t="shared" si="36"/>
        <v>0</v>
      </c>
      <c r="T69" s="64">
        <f t="shared" si="37"/>
        <v>0</v>
      </c>
      <c r="U69" s="81"/>
      <c r="V69" s="82"/>
      <c r="W69" s="82"/>
      <c r="X69" s="82"/>
      <c r="Y69" s="82"/>
      <c r="Z69" s="82"/>
      <c r="AA69" s="82"/>
      <c r="AB69" s="82"/>
      <c r="AC69" s="82"/>
      <c r="AD69" s="82"/>
      <c r="AE69" s="83"/>
      <c r="AF69" s="82"/>
      <c r="AG69" s="83"/>
      <c r="AH69" s="82"/>
      <c r="AI69" s="82"/>
      <c r="AJ69" s="82">
        <v>3</v>
      </c>
      <c r="AK69" s="82"/>
      <c r="AL69" s="84"/>
      <c r="AM69" s="85"/>
      <c r="AN69" s="86"/>
      <c r="AO69" s="86"/>
      <c r="AP69" s="86"/>
      <c r="AQ69" s="86"/>
      <c r="AR69" s="87"/>
      <c r="AS69" s="81">
        <f t="shared" si="24"/>
        <v>0</v>
      </c>
      <c r="AT69" s="82">
        <f t="shared" si="25"/>
        <v>0</v>
      </c>
      <c r="AU69" s="82">
        <f t="shared" si="41"/>
        <v>0</v>
      </c>
      <c r="AV69" s="82">
        <f t="shared" si="42"/>
        <v>0</v>
      </c>
      <c r="AW69" s="82">
        <f t="shared" si="43"/>
        <v>0</v>
      </c>
      <c r="AX69" s="82">
        <f t="shared" si="44"/>
        <v>0</v>
      </c>
      <c r="AY69" s="82">
        <f t="shared" si="45"/>
        <v>0</v>
      </c>
      <c r="AZ69" s="82">
        <f t="shared" si="46"/>
        <v>3</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26"/>
      <c r="D70" s="126" t="s">
        <v>257</v>
      </c>
      <c r="E70" s="127">
        <f t="shared" si="38"/>
        <v>3</v>
      </c>
      <c r="F70" s="128" t="s">
        <v>907</v>
      </c>
      <c r="G70" s="406" t="s">
        <v>905</v>
      </c>
      <c r="H70" s="406"/>
      <c r="I70" s="237"/>
      <c r="J70" s="130"/>
      <c r="K70" s="130">
        <f t="shared" si="39"/>
        <v>0</v>
      </c>
      <c r="L70" s="80"/>
      <c r="M70" s="40">
        <f t="shared" si="40"/>
        <v>0</v>
      </c>
      <c r="N70" s="64">
        <f t="shared" si="32"/>
        <v>3</v>
      </c>
      <c r="O70" s="64">
        <f t="shared" si="33"/>
        <v>0</v>
      </c>
      <c r="P70" s="64">
        <f t="shared" si="34"/>
        <v>0</v>
      </c>
      <c r="Q70" s="64">
        <f t="shared" si="35"/>
        <v>0</v>
      </c>
      <c r="R70" s="64">
        <f t="shared" si="47"/>
        <v>0</v>
      </c>
      <c r="S70" s="64">
        <f t="shared" si="36"/>
        <v>0</v>
      </c>
      <c r="T70" s="64">
        <f t="shared" si="37"/>
        <v>0</v>
      </c>
      <c r="U70" s="81"/>
      <c r="V70" s="82"/>
      <c r="W70" s="82"/>
      <c r="X70" s="82"/>
      <c r="Y70" s="82"/>
      <c r="Z70" s="82"/>
      <c r="AA70" s="82"/>
      <c r="AB70" s="82"/>
      <c r="AC70" s="82"/>
      <c r="AD70" s="82"/>
      <c r="AE70" s="83">
        <v>1</v>
      </c>
      <c r="AF70" s="82"/>
      <c r="AG70" s="83">
        <v>1</v>
      </c>
      <c r="AH70" s="82"/>
      <c r="AI70" s="82">
        <v>1</v>
      </c>
      <c r="AJ70" s="82">
        <f>AI70*2</f>
        <v>2</v>
      </c>
      <c r="AK70" s="82"/>
      <c r="AL70" s="84"/>
      <c r="AM70" s="85"/>
      <c r="AN70" s="86"/>
      <c r="AO70" s="86">
        <v>1</v>
      </c>
      <c r="AP70" s="86">
        <v>1</v>
      </c>
      <c r="AQ70" s="86"/>
      <c r="AR70" s="87"/>
      <c r="AS70" s="81">
        <f t="shared" si="24"/>
        <v>3</v>
      </c>
      <c r="AT70" s="82">
        <f t="shared" si="25"/>
        <v>0</v>
      </c>
      <c r="AU70" s="82">
        <f t="shared" si="41"/>
        <v>0</v>
      </c>
      <c r="AV70" s="82">
        <f t="shared" si="42"/>
        <v>0</v>
      </c>
      <c r="AW70" s="82">
        <f t="shared" si="43"/>
        <v>0</v>
      </c>
      <c r="AX70" s="82">
        <f t="shared" si="44"/>
        <v>0</v>
      </c>
      <c r="AY70" s="82">
        <f t="shared" si="45"/>
        <v>0</v>
      </c>
      <c r="AZ70" s="82">
        <f t="shared" si="46"/>
        <v>2</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31"/>
      <c r="GI70" s="100"/>
    </row>
    <row r="71" spans="2:191" ht="19.899999999999999" customHeight="1" x14ac:dyDescent="0.25">
      <c r="B71" s="101"/>
      <c r="C71" s="428" t="s">
        <v>54</v>
      </c>
      <c r="D71" s="428"/>
      <c r="E71" s="428"/>
      <c r="F71" s="102"/>
      <c r="G71" s="103"/>
      <c r="H71" s="103"/>
      <c r="I71" s="103"/>
      <c r="J71" s="104"/>
      <c r="K71" s="105">
        <f>SUM(K72:K85)</f>
        <v>31.54</v>
      </c>
      <c r="L71" s="106"/>
      <c r="M71" s="114">
        <v>0</v>
      </c>
      <c r="N71" s="64"/>
      <c r="O71" s="64"/>
      <c r="P71" s="64"/>
      <c r="Q71" s="64"/>
      <c r="R71" s="64">
        <f t="shared" si="47"/>
        <v>0</v>
      </c>
      <c r="S71" s="64"/>
      <c r="T71" s="64"/>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24"/>
        <v>0</v>
      </c>
      <c r="AT71" s="82">
        <f t="shared" si="25"/>
        <v>0</v>
      </c>
      <c r="AU71" s="82">
        <f t="shared" si="41"/>
        <v>0</v>
      </c>
      <c r="AV71" s="82">
        <f t="shared" si="42"/>
        <v>0</v>
      </c>
      <c r="AW71" s="82">
        <f t="shared" si="43"/>
        <v>0</v>
      </c>
      <c r="AX71" s="82">
        <f t="shared" si="44"/>
        <v>0</v>
      </c>
      <c r="AY71" s="82">
        <f t="shared" si="45"/>
        <v>0</v>
      </c>
      <c r="AZ71" s="82">
        <f t="shared" si="46"/>
        <v>0</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101"/>
      <c r="GH71" s="109" t="str">
        <f>C71</f>
        <v>FRAME</v>
      </c>
      <c r="GI71" s="110"/>
    </row>
    <row r="72" spans="2:191" x14ac:dyDescent="0.2">
      <c r="B72" s="79"/>
      <c r="C72" s="120"/>
      <c r="D72" s="120" t="s">
        <v>1019</v>
      </c>
      <c r="E72" s="121">
        <f>SUM(N72:T72)</f>
        <v>2</v>
      </c>
      <c r="F72" s="122"/>
      <c r="G72" s="344" t="s">
        <v>926</v>
      </c>
      <c r="H72" s="257"/>
      <c r="I72" s="257"/>
      <c r="J72" s="124">
        <v>6.51</v>
      </c>
      <c r="K72" s="124">
        <f t="shared" ref="K72:K85" si="48">E72*J72</f>
        <v>13.02</v>
      </c>
      <c r="L72" s="80"/>
      <c r="M72" s="40">
        <f>IF(E72=0,IF(E72="",0,1),0)</f>
        <v>0</v>
      </c>
      <c r="N72" s="64">
        <f t="shared" ref="N72:N85" si="49">AS$4*AS72+AT$4*AT72+AU$4*AU72+AV$4*AV72+AW$4*AW72+AX$4*AX72+AY$4*AY72+AZ$4*AZ72+BA$4*BA72</f>
        <v>2</v>
      </c>
      <c r="O72" s="64">
        <f t="shared" ref="O72:O85" si="50">BG$4*BG72+BH$4*BH72+BI$4*BI72+BJ$4*BJ72+BK$4*BK72+BL$4*BL72+BM$4*BM72+BN$4*BN72+BO$4*BO72+BP$4*BP72+BQ$4*BQ72+BR$4*BR72</f>
        <v>0</v>
      </c>
      <c r="P72" s="64">
        <f t="shared" ref="P72:P85" si="51">BS$4*BS72+BT$4*BT72+BU$4*BU72+BV$4*BV72+BW$4*BW72+BX$4*BX72+BY$4*BY72+BZ$4*BZ72+CA$4*CA72+CB$4*CB72+CC$4*CC72+CD$4*CD72+CE$4*CE72+CF$4*CF72+CG$4*CG72+CH$4*CH72</f>
        <v>0</v>
      </c>
      <c r="Q72" s="64">
        <f t="shared" ref="Q72:Q85" si="52">BB$4*BB72+BC$4*BC72+BD$4*BD72</f>
        <v>0</v>
      </c>
      <c r="R72" s="64">
        <f t="shared" si="47"/>
        <v>0</v>
      </c>
      <c r="S72" s="64">
        <f t="shared" ref="S72:S85" si="53">FU$4*FU72+FV$4*FV72+FW$4*FW72+FX$4*FX72+FY$4*FY72+FZ$4*FZ72+GA$4*GA72+GB$4*GB72+GC$4*GC72+GD$4*GD72+GE$4*GE72</f>
        <v>0</v>
      </c>
      <c r="T72" s="64">
        <f t="shared" ref="T72:T85" si="54">BF$4*BF72</f>
        <v>0</v>
      </c>
      <c r="U72" s="81"/>
      <c r="V72" s="82"/>
      <c r="W72" s="82"/>
      <c r="X72" s="82"/>
      <c r="Y72" s="82"/>
      <c r="Z72" s="82">
        <v>1</v>
      </c>
      <c r="AA72" s="82">
        <v>1</v>
      </c>
      <c r="AB72" s="82">
        <v>1</v>
      </c>
      <c r="AC72" s="82">
        <v>1</v>
      </c>
      <c r="AD72" s="82"/>
      <c r="AE72" s="83"/>
      <c r="AF72" s="82"/>
      <c r="AG72" s="83"/>
      <c r="AH72" s="82"/>
      <c r="AI72" s="82"/>
      <c r="AJ72" s="82"/>
      <c r="AK72" s="82"/>
      <c r="AL72" s="84"/>
      <c r="AM72" s="85"/>
      <c r="AN72" s="86"/>
      <c r="AO72" s="86"/>
      <c r="AP72" s="86"/>
      <c r="AQ72" s="86"/>
      <c r="AR72" s="87"/>
      <c r="AS72" s="81">
        <f t="shared" si="24"/>
        <v>0</v>
      </c>
      <c r="AT72" s="82">
        <f t="shared" si="25"/>
        <v>0</v>
      </c>
      <c r="AU72" s="82">
        <f t="shared" si="41"/>
        <v>2</v>
      </c>
      <c r="AV72" s="82">
        <f t="shared" si="42"/>
        <v>2</v>
      </c>
      <c r="AW72" s="82">
        <f t="shared" si="43"/>
        <v>0</v>
      </c>
      <c r="AX72" s="82">
        <f t="shared" si="44"/>
        <v>0</v>
      </c>
      <c r="AY72" s="82">
        <f t="shared" si="45"/>
        <v>0</v>
      </c>
      <c r="AZ72" s="82">
        <f t="shared" si="46"/>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79"/>
      <c r="GH72" s="125"/>
      <c r="GI72" s="100"/>
    </row>
    <row r="73" spans="2:191" x14ac:dyDescent="0.2">
      <c r="B73" s="79"/>
      <c r="C73" s="132"/>
      <c r="D73" s="132" t="s">
        <v>1020</v>
      </c>
      <c r="E73" s="133">
        <f>SUM(N73:T73)</f>
        <v>0</v>
      </c>
      <c r="F73" s="134" t="s">
        <v>880</v>
      </c>
      <c r="G73" s="345" t="s">
        <v>926</v>
      </c>
      <c r="H73" s="348"/>
      <c r="I73" s="348"/>
      <c r="J73" s="136">
        <v>5.93</v>
      </c>
      <c r="K73" s="136">
        <f t="shared" si="48"/>
        <v>0</v>
      </c>
      <c r="L73" s="80"/>
      <c r="M73" s="40">
        <f>IF(E73=0,IF(E73="",0,1),0)</f>
        <v>1</v>
      </c>
      <c r="N73" s="64">
        <f t="shared" si="49"/>
        <v>0</v>
      </c>
      <c r="O73" s="64">
        <f t="shared" si="50"/>
        <v>0</v>
      </c>
      <c r="P73" s="64">
        <f t="shared" si="51"/>
        <v>0</v>
      </c>
      <c r="Q73" s="64">
        <f t="shared" si="52"/>
        <v>0</v>
      </c>
      <c r="R73" s="64">
        <f t="shared" si="47"/>
        <v>0</v>
      </c>
      <c r="S73" s="64">
        <f t="shared" si="53"/>
        <v>0</v>
      </c>
      <c r="T73" s="64">
        <f t="shared" si="54"/>
        <v>0</v>
      </c>
      <c r="U73" s="81"/>
      <c r="V73" s="82"/>
      <c r="W73" s="82"/>
      <c r="X73" s="82"/>
      <c r="Y73" s="82"/>
      <c r="Z73" s="82"/>
      <c r="AA73" s="82"/>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41"/>
        <v>0</v>
      </c>
      <c r="AV73" s="82">
        <f t="shared" si="42"/>
        <v>2</v>
      </c>
      <c r="AW73" s="82">
        <f t="shared" si="43"/>
        <v>0</v>
      </c>
      <c r="AX73" s="82">
        <f t="shared" si="44"/>
        <v>0</v>
      </c>
      <c r="AY73" s="82">
        <f t="shared" si="45"/>
        <v>0</v>
      </c>
      <c r="AZ73" s="82">
        <f t="shared" si="46"/>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40"/>
      <c r="GI73" s="100"/>
    </row>
    <row r="74" spans="2:191" x14ac:dyDescent="0.2">
      <c r="B74" s="79"/>
      <c r="C74" s="126"/>
      <c r="D74" s="126" t="s">
        <v>1116</v>
      </c>
      <c r="E74" s="133">
        <f>SUM(N74:T74)</f>
        <v>1</v>
      </c>
      <c r="F74" s="128" t="s">
        <v>1117</v>
      </c>
      <c r="G74" s="347"/>
      <c r="H74" s="347"/>
      <c r="I74" s="347"/>
      <c r="J74" s="322">
        <v>15</v>
      </c>
      <c r="K74" s="136">
        <f t="shared" si="48"/>
        <v>15</v>
      </c>
      <c r="L74" s="80"/>
      <c r="M74" s="40">
        <f t="shared" ref="M74:M79" si="55">IF(E74=0,IF(E74="",0,1),0)</f>
        <v>0</v>
      </c>
      <c r="N74" s="64">
        <f t="shared" si="49"/>
        <v>0</v>
      </c>
      <c r="O74" s="64">
        <f t="shared" si="50"/>
        <v>0</v>
      </c>
      <c r="P74" s="64">
        <f t="shared" si="51"/>
        <v>1</v>
      </c>
      <c r="Q74" s="64">
        <f t="shared" si="52"/>
        <v>0</v>
      </c>
      <c r="R74" s="64">
        <f t="shared" ref="R74:R79" si="56">DK$4*DK74+DL$4*DL74+DM$4*DM74+DN$4*DN74+DO$4*DO74+DP$4*DP74+DQ$4*DQ74+DR$4*DR74+DS$4*DS74+DT$4*DT74+DU$4*DU74+DV$4*DV74+DW$4*DW74+DX$4*DX74+DY$4*DY74+DZ$4*DZ74+EA$4*EA74+EB$4*EB74+EC$4*EC74+ED$4*ED74+EE$4*EE74+EF$4*EF74+EG$4*EG74+EH$4*EH74+EI$4*EI74+EJ$4*EJ74+EK$4*EK74+EL$4*EL74+EM$4*EM74+EN$4*EN74+EO$4*EO74+EP$4*EP74+EQ$4*EQ74+ER$4*ER74+ES$4*ES74+ET$4*ET74+EU$4*EU74+EV$4*EV74+EW$4*EW74+EX$4*EX74+EY$4*EY74+EZ$4*EZ74+FA$4*FA74+FB$4*FB74+FC$4*FC74+FD$4*FD74+FE$4*FE74+FF$4*FF74+FG$4*FG74+FH$4*FH74+FI$4*FI74+FJ$4*FJ74+FK$4*FK74+FL$4*FL74+FM$4*FM74+FN$4*FN74+FO$4*FO74+FP$4*FP74+FQ$4*FQ74+FR$4*FR74+FS$4*FS74+FT$4*FT74</f>
        <v>0</v>
      </c>
      <c r="S74" s="64">
        <f t="shared" si="53"/>
        <v>0</v>
      </c>
      <c r="T74" s="64">
        <f t="shared" si="54"/>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c r="AT74" s="82"/>
      <c r="AU74" s="82"/>
      <c r="AV74" s="82"/>
      <c r="AW74" s="82"/>
      <c r="AX74" s="82"/>
      <c r="AY74" s="82"/>
      <c r="AZ74" s="82"/>
      <c r="BA74" s="84"/>
      <c r="BB74" s="85"/>
      <c r="BC74" s="86"/>
      <c r="BD74" s="87"/>
      <c r="BE74" s="81"/>
      <c r="BF74" s="84"/>
      <c r="BG74" s="85"/>
      <c r="BH74" s="86"/>
      <c r="BI74" s="86"/>
      <c r="BJ74" s="86"/>
      <c r="BK74" s="86"/>
      <c r="BL74" s="86"/>
      <c r="BM74" s="86"/>
      <c r="BN74" s="86"/>
      <c r="BO74" s="86"/>
      <c r="BP74" s="86"/>
      <c r="BQ74" s="86"/>
      <c r="BR74" s="87"/>
      <c r="BS74" s="81"/>
      <c r="BT74" s="82"/>
      <c r="BU74" s="82">
        <v>1</v>
      </c>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31"/>
      <c r="GI74" s="100"/>
    </row>
    <row r="75" spans="2:191" x14ac:dyDescent="0.2">
      <c r="B75" s="79"/>
      <c r="C75" s="126"/>
      <c r="D75" s="126" t="s">
        <v>1111</v>
      </c>
      <c r="E75" s="133">
        <f t="shared" ref="E75:E78" si="57">SUM(N75:T75)</f>
        <v>0</v>
      </c>
      <c r="F75" s="128" t="s">
        <v>1118</v>
      </c>
      <c r="G75" s="347"/>
      <c r="H75" s="347"/>
      <c r="I75" s="347"/>
      <c r="J75" s="322">
        <v>23</v>
      </c>
      <c r="K75" s="136">
        <f t="shared" si="48"/>
        <v>0</v>
      </c>
      <c r="L75" s="80"/>
      <c r="M75" s="40">
        <f t="shared" ref="M75:M78" si="58">IF(E75=0,IF(E75="",0,1),0)</f>
        <v>1</v>
      </c>
      <c r="N75" s="64">
        <f t="shared" ref="N75:N78" si="59">AS$4*AS75+AT$4*AT75+AU$4*AU75+AV$4*AV75+AW$4*AW75+AX$4*AX75+AY$4*AY75+AZ$4*AZ75+BA$4*BA75</f>
        <v>0</v>
      </c>
      <c r="O75" s="64">
        <f t="shared" ref="O75:O78" si="60">BG$4*BG75+BH$4*BH75+BI$4*BI75+BJ$4*BJ75+BK$4*BK75+BL$4*BL75+BM$4*BM75+BN$4*BN75+BO$4*BO75+BP$4*BP75+BQ$4*BQ75+BR$4*BR75</f>
        <v>0</v>
      </c>
      <c r="P75" s="64">
        <f t="shared" ref="P75:P78" si="61">BS$4*BS75+BT$4*BT75+BU$4*BU75+BV$4*BV75+BW$4*BW75+BX$4*BX75+BY$4*BY75+BZ$4*BZ75+CA$4*CA75+CB$4*CB75+CC$4*CC75+CD$4*CD75+CE$4*CE75+CF$4*CF75+CG$4*CG75+CH$4*CH75</f>
        <v>0</v>
      </c>
      <c r="Q75" s="64">
        <f t="shared" ref="Q75:Q78" si="62">BB$4*BB75+BC$4*BC75+BD$4*BD75</f>
        <v>0</v>
      </c>
      <c r="R75" s="64">
        <f t="shared" ref="R75:R78" si="63">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ref="S75:S78" si="64">FU$4*FU75+FV$4*FV75+FW$4*FW75+FX$4*FX75+FY$4*FY75+FZ$4*FZ75+GA$4*GA75+GB$4*GB75+GC$4*GC75+GD$4*GD75+GE$4*GE75</f>
        <v>0</v>
      </c>
      <c r="T75" s="64">
        <f t="shared" ref="T75:T78" si="65">BF$4*BF75</f>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v>1</v>
      </c>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1112</v>
      </c>
      <c r="E76" s="133">
        <f t="shared" si="57"/>
        <v>0</v>
      </c>
      <c r="F76" s="128" t="s">
        <v>1119</v>
      </c>
      <c r="G76" s="347"/>
      <c r="H76" s="347"/>
      <c r="I76" s="347"/>
      <c r="J76" s="322">
        <v>18</v>
      </c>
      <c r="K76" s="136">
        <f t="shared" si="48"/>
        <v>0</v>
      </c>
      <c r="L76" s="80"/>
      <c r="M76" s="40">
        <f t="shared" si="58"/>
        <v>1</v>
      </c>
      <c r="N76" s="64">
        <f t="shared" si="59"/>
        <v>0</v>
      </c>
      <c r="O76" s="64">
        <f t="shared" si="60"/>
        <v>0</v>
      </c>
      <c r="P76" s="64">
        <f t="shared" si="61"/>
        <v>0</v>
      </c>
      <c r="Q76" s="64">
        <f t="shared" si="62"/>
        <v>0</v>
      </c>
      <c r="R76" s="64">
        <f t="shared" si="63"/>
        <v>0</v>
      </c>
      <c r="S76" s="64">
        <f t="shared" si="64"/>
        <v>0</v>
      </c>
      <c r="T76" s="64">
        <f t="shared" si="65"/>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2</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1113</v>
      </c>
      <c r="E77" s="133">
        <f t="shared" si="57"/>
        <v>0</v>
      </c>
      <c r="F77" s="128" t="s">
        <v>1120</v>
      </c>
      <c r="G77" s="347"/>
      <c r="H77" s="347"/>
      <c r="I77" s="347"/>
      <c r="J77" s="322">
        <v>15</v>
      </c>
      <c r="K77" s="136">
        <f t="shared" si="48"/>
        <v>0</v>
      </c>
      <c r="L77" s="80"/>
      <c r="M77" s="40">
        <f t="shared" si="58"/>
        <v>1</v>
      </c>
      <c r="N77" s="64">
        <f t="shared" si="59"/>
        <v>0</v>
      </c>
      <c r="O77" s="64">
        <f t="shared" si="60"/>
        <v>0</v>
      </c>
      <c r="P77" s="64">
        <f t="shared" si="61"/>
        <v>0</v>
      </c>
      <c r="Q77" s="64">
        <f t="shared" si="62"/>
        <v>0</v>
      </c>
      <c r="R77" s="64">
        <f t="shared" si="63"/>
        <v>0</v>
      </c>
      <c r="S77" s="64">
        <f t="shared" si="64"/>
        <v>0</v>
      </c>
      <c r="T77" s="64">
        <f t="shared" si="65"/>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1</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1115</v>
      </c>
      <c r="E78" s="133">
        <f t="shared" si="57"/>
        <v>0</v>
      </c>
      <c r="F78" s="128" t="s">
        <v>1119</v>
      </c>
      <c r="G78" s="347"/>
      <c r="H78" s="347"/>
      <c r="I78" s="347"/>
      <c r="J78" s="322">
        <v>15</v>
      </c>
      <c r="K78" s="136">
        <f t="shared" si="48"/>
        <v>0</v>
      </c>
      <c r="L78" s="80"/>
      <c r="M78" s="40">
        <f t="shared" si="58"/>
        <v>1</v>
      </c>
      <c r="N78" s="64">
        <f t="shared" si="59"/>
        <v>0</v>
      </c>
      <c r="O78" s="64">
        <f t="shared" si="60"/>
        <v>0</v>
      </c>
      <c r="P78" s="64">
        <f t="shared" si="61"/>
        <v>0</v>
      </c>
      <c r="Q78" s="64">
        <f t="shared" si="62"/>
        <v>0</v>
      </c>
      <c r="R78" s="64">
        <f t="shared" si="63"/>
        <v>0</v>
      </c>
      <c r="S78" s="64">
        <f t="shared" si="64"/>
        <v>0</v>
      </c>
      <c r="T78" s="64">
        <f t="shared" si="65"/>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1114</v>
      </c>
      <c r="E79" s="133">
        <f>SUM(N79:T79)</f>
        <v>0</v>
      </c>
      <c r="F79" s="128" t="s">
        <v>1120</v>
      </c>
      <c r="G79" s="347"/>
      <c r="H79" s="347"/>
      <c r="I79" s="347"/>
      <c r="J79" s="322">
        <v>10</v>
      </c>
      <c r="K79" s="136">
        <f t="shared" si="48"/>
        <v>0</v>
      </c>
      <c r="L79" s="80"/>
      <c r="M79" s="40">
        <f t="shared" si="55"/>
        <v>1</v>
      </c>
      <c r="N79" s="64">
        <f t="shared" si="49"/>
        <v>0</v>
      </c>
      <c r="O79" s="64">
        <f t="shared" si="50"/>
        <v>0</v>
      </c>
      <c r="P79" s="64">
        <f t="shared" si="51"/>
        <v>0</v>
      </c>
      <c r="Q79" s="64">
        <f t="shared" si="52"/>
        <v>0</v>
      </c>
      <c r="R79" s="64">
        <f t="shared" si="56"/>
        <v>0</v>
      </c>
      <c r="S79" s="64">
        <f t="shared" si="53"/>
        <v>0</v>
      </c>
      <c r="T79" s="64">
        <f t="shared" si="54"/>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258</v>
      </c>
      <c r="E80" s="127">
        <f>SUM(N80:T80)</f>
        <v>4</v>
      </c>
      <c r="F80" s="128"/>
      <c r="G80" s="346" t="s">
        <v>926</v>
      </c>
      <c r="H80" s="347"/>
      <c r="I80" s="347"/>
      <c r="J80" s="130">
        <f>3.52/4</f>
        <v>0.88</v>
      </c>
      <c r="K80" s="130">
        <f t="shared" si="48"/>
        <v>3.52</v>
      </c>
      <c r="L80" s="80"/>
      <c r="M80" s="40">
        <f>IF(E80=0,IF(E80="",0,1),0)</f>
        <v>0</v>
      </c>
      <c r="N80" s="64">
        <f t="shared" si="49"/>
        <v>4</v>
      </c>
      <c r="O80" s="64">
        <f t="shared" si="50"/>
        <v>0</v>
      </c>
      <c r="P80" s="64">
        <f t="shared" si="51"/>
        <v>0</v>
      </c>
      <c r="Q80" s="64">
        <f t="shared" si="52"/>
        <v>0</v>
      </c>
      <c r="R80" s="64">
        <f t="shared" ref="R80:R85" si="66">DK$4*DK80+DL$4*DL80+DM$4*DM80+DN$4*DN80+DO$4*DO80+DP$4*DP80+DQ$4*DQ80+DR$4*DR80+DS$4*DS80+DT$4*DT80+DU$4*DU80+DV$4*DV80+DW$4*DW80+DX$4*DX80+DY$4*DY80+DZ$4*DZ80+EA$4*EA80+EB$4*EB80+EC$4*EC80+ED$4*ED80+EE$4*EE80+EF$4*EF80+EG$4*EG80+EH$4*EH80+EI$4*EI80+EJ$4*EJ80+EK$4*EK80+EL$4*EL80+EM$4*EM80+EN$4*EN80+EO$4*EO80+EP$4*EP80+EQ$4*EQ80+ER$4*ER80+ES$4*ES80+ET$4*ET80+EU$4*EU80+EV$4*EV80+EW$4*EW80+EX$4*EX80+EY$4*EY80+EZ$4*EZ80+FA$4*FA80+FB$4*FB80+FC$4*FC80+FD$4*FD80+FE$4*FE80+FF$4*FF80+FG$4*FG80+FH$4*FH80+FI$4*FI80+FJ$4*FJ80+FK$4*FK80+FL$4*FL80+FM$4*FM80+FN$4*FN80+FO$4*FO80+FP$4*FP80+FQ$4*FQ80+FR$4*FR80+FS$4*FS80+FT$4*FT80</f>
        <v>0</v>
      </c>
      <c r="S80" s="64">
        <f t="shared" si="53"/>
        <v>0</v>
      </c>
      <c r="T80" s="64">
        <f t="shared" si="54"/>
        <v>0</v>
      </c>
      <c r="U80" s="81">
        <v>1</v>
      </c>
      <c r="V80" s="82">
        <v>1</v>
      </c>
      <c r="W80" s="82"/>
      <c r="X80" s="82">
        <v>1</v>
      </c>
      <c r="Y80" s="82">
        <v>1</v>
      </c>
      <c r="Z80" s="82">
        <v>1</v>
      </c>
      <c r="AA80" s="82">
        <v>1</v>
      </c>
      <c r="AB80" s="82">
        <v>1</v>
      </c>
      <c r="AC80" s="82">
        <v>1</v>
      </c>
      <c r="AD80" s="82"/>
      <c r="AE80" s="83"/>
      <c r="AF80" s="82"/>
      <c r="AG80" s="83"/>
      <c r="AH80" s="82"/>
      <c r="AI80" s="82"/>
      <c r="AJ80" s="82"/>
      <c r="AK80" s="82"/>
      <c r="AL80" s="84"/>
      <c r="AM80" s="85"/>
      <c r="AN80" s="86"/>
      <c r="AO80" s="86"/>
      <c r="AP80" s="86"/>
      <c r="AQ80" s="86"/>
      <c r="AR80" s="87"/>
      <c r="AS80" s="81">
        <f>U80+V80+W80+AD80+AH80+AI80+AM80+AN80+AO80+AP80+AQ80</f>
        <v>2</v>
      </c>
      <c r="AT80" s="82">
        <f>X80+Y80</f>
        <v>2</v>
      </c>
      <c r="AU80" s="82">
        <f>Z80+AA80</f>
        <v>2</v>
      </c>
      <c r="AV80" s="82">
        <f>AB80+AC80</f>
        <v>2</v>
      </c>
      <c r="AW80" s="82">
        <f>AK80</f>
        <v>0</v>
      </c>
      <c r="AX80" s="82">
        <f>AL80</f>
        <v>0</v>
      </c>
      <c r="AY80" s="82">
        <f>AF80+AR80</f>
        <v>0</v>
      </c>
      <c r="AZ80" s="82">
        <f>AJ80</f>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1018</v>
      </c>
      <c r="E81" s="127">
        <v>1</v>
      </c>
      <c r="F81" s="128" t="s">
        <v>1023</v>
      </c>
      <c r="G81" s="347"/>
      <c r="H81" s="347"/>
      <c r="I81" s="347"/>
      <c r="J81" s="130">
        <v>0</v>
      </c>
      <c r="K81" s="130">
        <f t="shared" si="48"/>
        <v>0</v>
      </c>
      <c r="L81" s="80"/>
      <c r="M81" s="40">
        <f t="shared" ref="M81:M85" si="67">IF(E81=0,IF(E81="",0,1),0)</f>
        <v>0</v>
      </c>
      <c r="N81" s="64">
        <f t="shared" si="49"/>
        <v>0</v>
      </c>
      <c r="O81" s="64">
        <f t="shared" si="50"/>
        <v>0</v>
      </c>
      <c r="P81" s="64">
        <f t="shared" si="51"/>
        <v>0</v>
      </c>
      <c r="Q81" s="64">
        <f t="shared" si="52"/>
        <v>0</v>
      </c>
      <c r="R81" s="64">
        <f t="shared" si="66"/>
        <v>0</v>
      </c>
      <c r="S81" s="64">
        <f t="shared" si="53"/>
        <v>0</v>
      </c>
      <c r="T81" s="64">
        <f t="shared" si="54"/>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c r="AT81" s="82"/>
      <c r="AU81" s="82"/>
      <c r="AV81" s="82"/>
      <c r="AW81" s="82"/>
      <c r="AX81" s="82"/>
      <c r="AY81" s="82"/>
      <c r="AZ81" s="82"/>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1021</v>
      </c>
      <c r="E82" s="127">
        <v>1</v>
      </c>
      <c r="F82" s="128" t="s">
        <v>1027</v>
      </c>
      <c r="G82" s="347"/>
      <c r="H82" s="347"/>
      <c r="I82" s="347"/>
      <c r="J82" s="130">
        <v>0</v>
      </c>
      <c r="K82" s="130">
        <f t="shared" si="48"/>
        <v>0</v>
      </c>
      <c r="L82" s="80"/>
      <c r="M82" s="40">
        <f t="shared" si="67"/>
        <v>0</v>
      </c>
      <c r="N82" s="64">
        <f t="shared" si="49"/>
        <v>0</v>
      </c>
      <c r="O82" s="64">
        <f t="shared" si="50"/>
        <v>0</v>
      </c>
      <c r="P82" s="64">
        <f t="shared" si="51"/>
        <v>0</v>
      </c>
      <c r="Q82" s="64">
        <f t="shared" si="52"/>
        <v>0</v>
      </c>
      <c r="R82" s="64">
        <f t="shared" si="66"/>
        <v>0</v>
      </c>
      <c r="S82" s="64">
        <f t="shared" si="53"/>
        <v>0</v>
      </c>
      <c r="T82" s="64">
        <f t="shared" si="54"/>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1024</v>
      </c>
      <c r="E83" s="127">
        <v>2</v>
      </c>
      <c r="F83" s="128" t="s">
        <v>1026</v>
      </c>
      <c r="G83" s="347"/>
      <c r="H83" s="347"/>
      <c r="I83" s="347"/>
      <c r="J83" s="130">
        <v>0</v>
      </c>
      <c r="K83" s="130">
        <f t="shared" si="48"/>
        <v>0</v>
      </c>
      <c r="L83" s="80"/>
      <c r="M83" s="40">
        <f t="shared" si="67"/>
        <v>0</v>
      </c>
      <c r="N83" s="64">
        <f t="shared" si="49"/>
        <v>0</v>
      </c>
      <c r="O83" s="64">
        <f t="shared" si="50"/>
        <v>0</v>
      </c>
      <c r="P83" s="64">
        <f t="shared" si="51"/>
        <v>0</v>
      </c>
      <c r="Q83" s="64">
        <f t="shared" si="52"/>
        <v>0</v>
      </c>
      <c r="R83" s="64">
        <f t="shared" si="66"/>
        <v>0</v>
      </c>
      <c r="S83" s="64">
        <f t="shared" si="53"/>
        <v>0</v>
      </c>
      <c r="T83" s="64">
        <f t="shared" si="54"/>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1022</v>
      </c>
      <c r="E84" s="127">
        <v>1</v>
      </c>
      <c r="F84" s="128" t="s">
        <v>1028</v>
      </c>
      <c r="G84" s="347"/>
      <c r="H84" s="347"/>
      <c r="I84" s="347"/>
      <c r="J84" s="130">
        <v>0</v>
      </c>
      <c r="K84" s="130">
        <f t="shared" si="48"/>
        <v>0</v>
      </c>
      <c r="L84" s="80"/>
      <c r="M84" s="40">
        <f t="shared" si="67"/>
        <v>0</v>
      </c>
      <c r="N84" s="64">
        <f t="shared" si="49"/>
        <v>0</v>
      </c>
      <c r="O84" s="64">
        <f t="shared" si="50"/>
        <v>0</v>
      </c>
      <c r="P84" s="64">
        <f t="shared" si="51"/>
        <v>0</v>
      </c>
      <c r="Q84" s="64">
        <f t="shared" si="52"/>
        <v>0</v>
      </c>
      <c r="R84" s="64">
        <f t="shared" si="66"/>
        <v>0</v>
      </c>
      <c r="S84" s="64">
        <f t="shared" si="53"/>
        <v>0</v>
      </c>
      <c r="T84" s="64">
        <f t="shared" si="54"/>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1025</v>
      </c>
      <c r="E85" s="127">
        <v>2</v>
      </c>
      <c r="F85" s="128" t="s">
        <v>1029</v>
      </c>
      <c r="G85" s="347"/>
      <c r="H85" s="347"/>
      <c r="I85" s="347"/>
      <c r="J85" s="130">
        <v>0</v>
      </c>
      <c r="K85" s="130">
        <f t="shared" si="48"/>
        <v>0</v>
      </c>
      <c r="L85" s="80"/>
      <c r="M85" s="40">
        <f t="shared" si="67"/>
        <v>0</v>
      </c>
      <c r="N85" s="64">
        <f t="shared" si="49"/>
        <v>0</v>
      </c>
      <c r="O85" s="64">
        <f t="shared" si="50"/>
        <v>0</v>
      </c>
      <c r="P85" s="64">
        <f t="shared" si="51"/>
        <v>0</v>
      </c>
      <c r="Q85" s="64">
        <f t="shared" si="52"/>
        <v>0</v>
      </c>
      <c r="R85" s="64">
        <f t="shared" si="66"/>
        <v>0</v>
      </c>
      <c r="S85" s="64">
        <f t="shared" si="53"/>
        <v>0</v>
      </c>
      <c r="T85" s="64">
        <f t="shared" si="54"/>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ht="19.899999999999999" customHeight="1" x14ac:dyDescent="0.25">
      <c r="B86" s="101"/>
      <c r="C86" s="428" t="s">
        <v>57</v>
      </c>
      <c r="D86" s="428"/>
      <c r="E86" s="428"/>
      <c r="F86" s="102"/>
      <c r="G86" s="103"/>
      <c r="H86" s="103"/>
      <c r="I86" s="103"/>
      <c r="J86" s="141"/>
      <c r="K86" s="105">
        <f>SUM(K87:K106)</f>
        <v>55.745333333333335</v>
      </c>
      <c r="L86" s="106"/>
      <c r="M86" s="114">
        <v>0</v>
      </c>
      <c r="N86" s="3"/>
      <c r="O86" s="3"/>
      <c r="P86" s="3"/>
      <c r="Q86" s="3"/>
      <c r="R86" s="64">
        <f t="shared" si="47"/>
        <v>0</v>
      </c>
      <c r="S86" s="3"/>
      <c r="T86" s="3"/>
      <c r="U86" s="142"/>
      <c r="V86" s="143"/>
      <c r="W86" s="143"/>
      <c r="X86" s="143"/>
      <c r="Y86" s="143"/>
      <c r="Z86" s="143"/>
      <c r="AA86" s="143"/>
      <c r="AB86" s="143"/>
      <c r="AC86" s="143"/>
      <c r="AD86" s="143"/>
      <c r="AE86" s="11"/>
      <c r="AF86" s="143"/>
      <c r="AG86" s="11"/>
      <c r="AH86" s="143"/>
      <c r="AI86" s="143"/>
      <c r="AJ86" s="143"/>
      <c r="AK86" s="143"/>
      <c r="AL86" s="144"/>
      <c r="AM86" s="137"/>
      <c r="AN86" s="138"/>
      <c r="AO86" s="138"/>
      <c r="AP86" s="138"/>
      <c r="AQ86" s="138"/>
      <c r="AR86" s="139"/>
      <c r="AS86" s="81">
        <f t="shared" ref="AS86:AS97" si="68">U86+V86+W86+AD86+AH86+AI86+AM86+AN86+AO86+AP86+AQ86</f>
        <v>0</v>
      </c>
      <c r="AT86" s="82">
        <f t="shared" ref="AT86:AT97" si="69">X86+Y86</f>
        <v>0</v>
      </c>
      <c r="AU86" s="82">
        <f t="shared" si="41"/>
        <v>0</v>
      </c>
      <c r="AV86" s="82">
        <f t="shared" si="42"/>
        <v>0</v>
      </c>
      <c r="AW86" s="82">
        <f t="shared" si="43"/>
        <v>0</v>
      </c>
      <c r="AX86" s="82">
        <f t="shared" si="44"/>
        <v>0</v>
      </c>
      <c r="AY86" s="82">
        <f t="shared" si="45"/>
        <v>0</v>
      </c>
      <c r="AZ86" s="82">
        <f t="shared" si="46"/>
        <v>0</v>
      </c>
      <c r="BA86" s="144"/>
      <c r="BB86" s="137"/>
      <c r="BC86" s="138"/>
      <c r="BD86" s="139"/>
      <c r="BE86" s="142"/>
      <c r="BF86" s="144"/>
      <c r="BG86" s="137"/>
      <c r="BH86" s="138"/>
      <c r="BI86" s="138"/>
      <c r="BJ86" s="138"/>
      <c r="BK86" s="138"/>
      <c r="BL86" s="138"/>
      <c r="BM86" s="138"/>
      <c r="BN86" s="138"/>
      <c r="BO86" s="138"/>
      <c r="BP86" s="138"/>
      <c r="BQ86" s="138"/>
      <c r="BR86" s="139"/>
      <c r="BS86" s="142"/>
      <c r="BT86" s="143"/>
      <c r="BU86" s="143"/>
      <c r="BV86" s="143"/>
      <c r="BW86" s="143"/>
      <c r="BX86" s="143"/>
      <c r="BY86" s="143"/>
      <c r="BZ86" s="143"/>
      <c r="CA86" s="143"/>
      <c r="CB86" s="143"/>
      <c r="CC86" s="143"/>
      <c r="CD86" s="143"/>
      <c r="CE86" s="143"/>
      <c r="CF86" s="143"/>
      <c r="CG86" s="143"/>
      <c r="CH86" s="144"/>
      <c r="CI86" s="10"/>
      <c r="CJ86" s="11"/>
      <c r="CK86" s="11"/>
      <c r="CL86" s="11"/>
      <c r="CM86" s="11"/>
      <c r="CN86" s="11"/>
      <c r="CO86" s="145"/>
      <c r="CP86" s="145"/>
      <c r="CQ86" s="145"/>
      <c r="CR86" s="11"/>
      <c r="CS86" s="11"/>
      <c r="CT86" s="11"/>
      <c r="CU86" s="145"/>
      <c r="CV86" s="145"/>
      <c r="CW86" s="11"/>
      <c r="CX86" s="11"/>
      <c r="CY86" s="11"/>
      <c r="CZ86" s="11"/>
      <c r="DA86" s="145"/>
      <c r="DB86" s="145"/>
      <c r="DC86" s="145"/>
      <c r="DD86" s="11"/>
      <c r="DE86" s="11"/>
      <c r="DF86" s="11"/>
      <c r="DG86" s="145"/>
      <c r="DH86" s="145"/>
      <c r="DI86" s="11"/>
      <c r="DJ86" s="13"/>
      <c r="DK86" s="137"/>
      <c r="DL86" s="138"/>
      <c r="DM86" s="138"/>
      <c r="DN86" s="138"/>
      <c r="DO86" s="138"/>
      <c r="DP86" s="138"/>
      <c r="DQ86" s="138"/>
      <c r="DR86" s="138"/>
      <c r="DS86" s="138"/>
      <c r="DT86" s="138"/>
      <c r="DU86" s="138"/>
      <c r="DV86" s="138"/>
      <c r="DW86" s="138"/>
      <c r="DX86" s="138"/>
      <c r="DY86" s="138"/>
      <c r="DZ86" s="138"/>
      <c r="EA86" s="138"/>
      <c r="EB86" s="138"/>
      <c r="EC86" s="138"/>
      <c r="ED86" s="138"/>
      <c r="EE86" s="139"/>
      <c r="EF86" s="142"/>
      <c r="EG86" s="143"/>
      <c r="EH86" s="143"/>
      <c r="EI86" s="143"/>
      <c r="EJ86" s="143"/>
      <c r="EK86" s="143"/>
      <c r="EL86" s="143"/>
      <c r="EM86" s="143"/>
      <c r="EN86" s="143"/>
      <c r="EO86" s="143"/>
      <c r="EP86" s="143"/>
      <c r="EQ86" s="143"/>
      <c r="ER86" s="143"/>
      <c r="ES86" s="143"/>
      <c r="ET86" s="143"/>
      <c r="EU86" s="143"/>
      <c r="EV86" s="143"/>
      <c r="EW86" s="143"/>
      <c r="EX86" s="143"/>
      <c r="EY86" s="144"/>
      <c r="EZ86" s="137"/>
      <c r="FA86" s="138"/>
      <c r="FB86" s="138"/>
      <c r="FC86" s="138"/>
      <c r="FD86" s="139"/>
      <c r="FE86" s="142"/>
      <c r="FF86" s="143"/>
      <c r="FG86" s="143"/>
      <c r="FH86" s="143"/>
      <c r="FI86" s="143"/>
      <c r="FJ86" s="143"/>
      <c r="FK86" s="143"/>
      <c r="FL86" s="143"/>
      <c r="FM86" s="143"/>
      <c r="FN86" s="144"/>
      <c r="FO86" s="137"/>
      <c r="FP86" s="138"/>
      <c r="FQ86" s="138"/>
      <c r="FR86" s="138"/>
      <c r="FS86" s="138"/>
      <c r="FT86" s="139"/>
      <c r="FU86" s="146"/>
      <c r="FV86" s="147"/>
      <c r="FW86" s="148"/>
      <c r="FX86" s="142"/>
      <c r="FY86" s="143"/>
      <c r="FZ86" s="144"/>
      <c r="GA86" s="148"/>
      <c r="GB86" s="147"/>
      <c r="GC86" s="146"/>
      <c r="GD86" s="147"/>
      <c r="GE86" s="148"/>
      <c r="GG86" s="101"/>
      <c r="GH86" s="109" t="str">
        <f>C86</f>
        <v>ELECTRONICS</v>
      </c>
      <c r="GI86" s="110"/>
    </row>
    <row r="87" spans="2:191" x14ac:dyDescent="0.2">
      <c r="B87" s="79"/>
      <c r="C87" s="120"/>
      <c r="D87" s="120" t="s">
        <v>259</v>
      </c>
      <c r="E87" s="121">
        <f t="shared" ref="E87:E106" si="70">SUM(N87:T87)</f>
        <v>2</v>
      </c>
      <c r="F87" s="122"/>
      <c r="G87" s="344" t="s">
        <v>926</v>
      </c>
      <c r="H87" s="257"/>
      <c r="I87" s="257"/>
      <c r="J87" s="124">
        <v>3.94</v>
      </c>
      <c r="K87" s="124">
        <f t="shared" ref="K87:K106" si="71">E87*J87</f>
        <v>7.88</v>
      </c>
      <c r="L87" s="80"/>
      <c r="M87" s="40">
        <f t="shared" ref="M87:M106" si="72">IF(E87=0,IF(E87="",0,1),0)</f>
        <v>0</v>
      </c>
      <c r="N87" s="64">
        <f t="shared" ref="N87:N106" si="73">AS$4*AS87+AT$4*AT87+AU$4*AU87+AV$4*AV87+AW$4*AW87+AX$4*AX87+AY$4*AY87+AZ$4*AZ87+BA$4*BA87</f>
        <v>0</v>
      </c>
      <c r="O87" s="64">
        <f t="shared" ref="O87:O106" si="74">BG$4*BG87+BH$4*BH87+BI$4*BI87+BJ$4*BJ87+BK$4*BK87+BL$4*BL87+BM$4*BM87+BN$4*BN87+BO$4*BO87+BP$4*BP87+BQ$4*BQ87+BR$4*BR87</f>
        <v>0</v>
      </c>
      <c r="P87" s="64">
        <f t="shared" ref="P87:P106" si="75">BS$4*BS87+BT$4*BT87+BU$4*BU87+BV$4*BV87+BW$4*BW87+BX$4*BX87+BY$4*BY87+BZ$4*BZ87+CA$4*CA87+CB$4*CB87+CC$4*CC87+CD$4*CD87+CE$4*CE87+CF$4*CF87+CG$4*CG87+CH$4*CH87</f>
        <v>2</v>
      </c>
      <c r="Q87" s="64">
        <f t="shared" ref="Q87:Q106" si="76">BB$4*BB87+BC$4*BC87+BD$4*BD87</f>
        <v>0</v>
      </c>
      <c r="R87" s="64">
        <f t="shared" si="47"/>
        <v>0</v>
      </c>
      <c r="S87" s="64">
        <f t="shared" ref="S87:S106" si="77">FU$4*FU87+FV$4*FV87+FW$4*FW87+FX$4*FX87+FY$4*FY87+FZ$4*FZ87+GA$4*GA87+GB$4*GB87+GC$4*GC87+GD$4*GD87+GE$4*GE87</f>
        <v>0</v>
      </c>
      <c r="T87" s="64">
        <f t="shared" ref="T87:T106" si="78">BF$4*BF87</f>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68"/>
        <v>0</v>
      </c>
      <c r="AT87" s="82">
        <f t="shared" si="69"/>
        <v>0</v>
      </c>
      <c r="AU87" s="82">
        <f t="shared" si="41"/>
        <v>0</v>
      </c>
      <c r="AV87" s="82">
        <f t="shared" si="42"/>
        <v>0</v>
      </c>
      <c r="AW87" s="82">
        <f t="shared" si="43"/>
        <v>0</v>
      </c>
      <c r="AX87" s="82">
        <f t="shared" si="44"/>
        <v>0</v>
      </c>
      <c r="AY87" s="82">
        <f t="shared" si="45"/>
        <v>0</v>
      </c>
      <c r="AZ87" s="82">
        <f t="shared" si="46"/>
        <v>0</v>
      </c>
      <c r="BA87" s="84"/>
      <c r="BB87" s="85"/>
      <c r="BC87" s="86"/>
      <c r="BD87" s="87"/>
      <c r="BE87" s="81"/>
      <c r="BF87" s="84"/>
      <c r="BG87" s="85"/>
      <c r="BH87" s="86"/>
      <c r="BI87" s="86"/>
      <c r="BJ87" s="86"/>
      <c r="BK87" s="86"/>
      <c r="BL87" s="86"/>
      <c r="BM87" s="86"/>
      <c r="BN87" s="86"/>
      <c r="BO87" s="86"/>
      <c r="BP87" s="86"/>
      <c r="BQ87" s="86"/>
      <c r="BR87" s="87"/>
      <c r="BS87" s="81">
        <v>2</v>
      </c>
      <c r="BT87" s="82"/>
      <c r="BU87" s="82"/>
      <c r="BV87" s="82"/>
      <c r="BW87" s="82"/>
      <c r="BX87" s="82"/>
      <c r="BY87" s="82"/>
      <c r="BZ87" s="82"/>
      <c r="CA87" s="82"/>
      <c r="CB87" s="82"/>
      <c r="CC87" s="82"/>
      <c r="CD87" s="82"/>
      <c r="CE87" s="82"/>
      <c r="CF87" s="82"/>
      <c r="CG87" s="82"/>
      <c r="CH87" s="84"/>
      <c r="CI87" s="94"/>
      <c r="CJ87" s="83"/>
      <c r="CK87" s="83"/>
      <c r="CL87" s="83"/>
      <c r="CM87" s="83"/>
      <c r="CN87" s="83"/>
      <c r="CO87" s="95"/>
      <c r="CP87" s="95"/>
      <c r="CQ87" s="95"/>
      <c r="CR87" s="83"/>
      <c r="CS87" s="83"/>
      <c r="CT87" s="83"/>
      <c r="CU87" s="95"/>
      <c r="CV87" s="95"/>
      <c r="CW87" s="83"/>
      <c r="CX87" s="83"/>
      <c r="CY87" s="83"/>
      <c r="CZ87" s="83"/>
      <c r="DA87" s="95"/>
      <c r="DB87" s="95"/>
      <c r="DC87" s="95"/>
      <c r="DD87" s="83"/>
      <c r="DE87" s="83"/>
      <c r="DF87" s="83"/>
      <c r="DG87" s="95"/>
      <c r="DH87" s="95"/>
      <c r="DI87" s="83"/>
      <c r="DJ87" s="96"/>
      <c r="DK87" s="85"/>
      <c r="DL87" s="86"/>
      <c r="DM87" s="86"/>
      <c r="DN87" s="86"/>
      <c r="DO87" s="86"/>
      <c r="DP87" s="86"/>
      <c r="DQ87" s="86"/>
      <c r="DR87" s="86"/>
      <c r="DS87" s="86"/>
      <c r="DT87" s="86"/>
      <c r="DU87" s="86"/>
      <c r="DV87" s="86"/>
      <c r="DW87" s="86"/>
      <c r="DX87" s="86"/>
      <c r="DY87" s="86"/>
      <c r="DZ87" s="86"/>
      <c r="EA87" s="86"/>
      <c r="EB87" s="86"/>
      <c r="EC87" s="86"/>
      <c r="ED87" s="86"/>
      <c r="EE87" s="87"/>
      <c r="EF87" s="81"/>
      <c r="EG87" s="82"/>
      <c r="EH87" s="82"/>
      <c r="EI87" s="82"/>
      <c r="EJ87" s="82"/>
      <c r="EK87" s="82"/>
      <c r="EL87" s="82"/>
      <c r="EM87" s="82"/>
      <c r="EN87" s="82"/>
      <c r="EO87" s="82"/>
      <c r="EP87" s="82"/>
      <c r="EQ87" s="82"/>
      <c r="ER87" s="82"/>
      <c r="ES87" s="82"/>
      <c r="ET87" s="82"/>
      <c r="EU87" s="82"/>
      <c r="EV87" s="82"/>
      <c r="EW87" s="82"/>
      <c r="EX87" s="82"/>
      <c r="EY87" s="84"/>
      <c r="EZ87" s="85"/>
      <c r="FA87" s="86"/>
      <c r="FB87" s="86"/>
      <c r="FC87" s="86"/>
      <c r="FD87" s="87"/>
      <c r="FE87" s="81"/>
      <c r="FF87" s="82"/>
      <c r="FG87" s="82"/>
      <c r="FH87" s="82"/>
      <c r="FI87" s="82"/>
      <c r="FJ87" s="82"/>
      <c r="FK87" s="82"/>
      <c r="FL87" s="82"/>
      <c r="FM87" s="82"/>
      <c r="FN87" s="84"/>
      <c r="FO87" s="137"/>
      <c r="FP87" s="138"/>
      <c r="FQ87" s="138"/>
      <c r="FR87" s="138"/>
      <c r="FS87" s="138"/>
      <c r="FT87" s="139"/>
      <c r="FU87" s="107"/>
      <c r="FV87" s="98"/>
      <c r="FW87" s="108"/>
      <c r="FX87" s="81"/>
      <c r="FY87" s="82"/>
      <c r="FZ87" s="84"/>
      <c r="GA87" s="108"/>
      <c r="GB87" s="98"/>
      <c r="GC87" s="107"/>
      <c r="GD87" s="98"/>
      <c r="GE87" s="108"/>
      <c r="GG87" s="79"/>
      <c r="GH87" s="125"/>
      <c r="GI87" s="100"/>
    </row>
    <row r="88" spans="2:191" x14ac:dyDescent="0.2">
      <c r="B88" s="79"/>
      <c r="C88" s="132"/>
      <c r="D88" s="132" t="s">
        <v>260</v>
      </c>
      <c r="E88" s="133">
        <f t="shared" si="70"/>
        <v>1</v>
      </c>
      <c r="F88" s="134"/>
      <c r="G88" s="345" t="s">
        <v>926</v>
      </c>
      <c r="H88" s="348"/>
      <c r="I88" s="348"/>
      <c r="J88" s="136">
        <v>3.5</v>
      </c>
      <c r="K88" s="136">
        <f t="shared" si="71"/>
        <v>3.5</v>
      </c>
      <c r="L88" s="80"/>
      <c r="M88" s="40">
        <f t="shared" si="72"/>
        <v>0</v>
      </c>
      <c r="N88" s="64">
        <f t="shared" si="73"/>
        <v>0</v>
      </c>
      <c r="O88" s="64">
        <f t="shared" si="74"/>
        <v>0</v>
      </c>
      <c r="P88" s="64">
        <f t="shared" si="75"/>
        <v>1</v>
      </c>
      <c r="Q88" s="64">
        <f t="shared" si="76"/>
        <v>0</v>
      </c>
      <c r="R88" s="64">
        <f t="shared" si="47"/>
        <v>0</v>
      </c>
      <c r="S88" s="64">
        <f t="shared" si="77"/>
        <v>0</v>
      </c>
      <c r="T88" s="64">
        <f t="shared" si="78"/>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68"/>
        <v>0</v>
      </c>
      <c r="AT88" s="82">
        <f t="shared" si="69"/>
        <v>0</v>
      </c>
      <c r="AU88" s="82">
        <f t="shared" si="41"/>
        <v>0</v>
      </c>
      <c r="AV88" s="82">
        <f t="shared" si="42"/>
        <v>0</v>
      </c>
      <c r="AW88" s="82">
        <f t="shared" si="43"/>
        <v>0</v>
      </c>
      <c r="AX88" s="82">
        <f t="shared" si="44"/>
        <v>0</v>
      </c>
      <c r="AY88" s="82">
        <f t="shared" si="45"/>
        <v>0</v>
      </c>
      <c r="AZ88" s="82">
        <f t="shared" si="46"/>
        <v>0</v>
      </c>
      <c r="BA88" s="84"/>
      <c r="BB88" s="85"/>
      <c r="BC88" s="86"/>
      <c r="BD88" s="87"/>
      <c r="BE88" s="81"/>
      <c r="BF88" s="84"/>
      <c r="BG88" s="85"/>
      <c r="BH88" s="86"/>
      <c r="BI88" s="86"/>
      <c r="BJ88" s="86"/>
      <c r="BK88" s="86"/>
      <c r="BL88" s="86"/>
      <c r="BM88" s="86"/>
      <c r="BN88" s="86"/>
      <c r="BO88" s="86"/>
      <c r="BP88" s="86"/>
      <c r="BQ88" s="86"/>
      <c r="BR88" s="87"/>
      <c r="BS88" s="81">
        <v>1</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40"/>
      <c r="GI88" s="100"/>
    </row>
    <row r="89" spans="2:191" x14ac:dyDescent="0.2">
      <c r="B89" s="79"/>
      <c r="C89" s="132"/>
      <c r="D89" s="132" t="s">
        <v>261</v>
      </c>
      <c r="E89" s="133">
        <f t="shared" si="70"/>
        <v>1</v>
      </c>
      <c r="F89" s="134" t="s">
        <v>262</v>
      </c>
      <c r="G89" s="345" t="s">
        <v>926</v>
      </c>
      <c r="H89" s="348"/>
      <c r="I89" s="348"/>
      <c r="J89" s="136">
        <f>14.83/2</f>
        <v>7.415</v>
      </c>
      <c r="K89" s="136">
        <f t="shared" si="71"/>
        <v>7.415</v>
      </c>
      <c r="L89" s="80"/>
      <c r="M89" s="40">
        <f t="shared" si="72"/>
        <v>0</v>
      </c>
      <c r="N89" s="64">
        <f t="shared" si="73"/>
        <v>0</v>
      </c>
      <c r="O89" s="64">
        <f t="shared" si="74"/>
        <v>0</v>
      </c>
      <c r="P89" s="64">
        <f t="shared" si="75"/>
        <v>0</v>
      </c>
      <c r="Q89" s="64">
        <f t="shared" si="76"/>
        <v>0</v>
      </c>
      <c r="R89" s="64">
        <f t="shared" si="47"/>
        <v>1</v>
      </c>
      <c r="S89" s="64">
        <f t="shared" si="77"/>
        <v>0</v>
      </c>
      <c r="T89" s="64">
        <f t="shared" si="78"/>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68"/>
        <v>0</v>
      </c>
      <c r="AT89" s="82">
        <f t="shared" si="69"/>
        <v>0</v>
      </c>
      <c r="AU89" s="82">
        <f t="shared" si="41"/>
        <v>0</v>
      </c>
      <c r="AV89" s="82">
        <f t="shared" si="42"/>
        <v>0</v>
      </c>
      <c r="AW89" s="82">
        <f t="shared" si="43"/>
        <v>0</v>
      </c>
      <c r="AX89" s="82">
        <f t="shared" si="44"/>
        <v>0</v>
      </c>
      <c r="AY89" s="82">
        <f t="shared" si="45"/>
        <v>0</v>
      </c>
      <c r="AZ89" s="82">
        <f t="shared" si="46"/>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v>1</v>
      </c>
      <c r="FA89" s="86">
        <v>1</v>
      </c>
      <c r="FB89" s="86">
        <v>1</v>
      </c>
      <c r="FC89" s="86">
        <v>1</v>
      </c>
      <c r="FD89" s="87">
        <v>1</v>
      </c>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320" t="s">
        <v>263</v>
      </c>
      <c r="E90" s="133">
        <f t="shared" si="70"/>
        <v>0</v>
      </c>
      <c r="F90" s="321" t="s">
        <v>264</v>
      </c>
      <c r="G90" s="345" t="s">
        <v>926</v>
      </c>
      <c r="H90" s="236"/>
      <c r="I90" s="236"/>
      <c r="J90" s="136">
        <f>15.22/2</f>
        <v>7.61</v>
      </c>
      <c r="K90" s="136">
        <f t="shared" si="71"/>
        <v>0</v>
      </c>
      <c r="L90" s="80"/>
      <c r="M90" s="40">
        <f t="shared" si="72"/>
        <v>1</v>
      </c>
      <c r="N90" s="64">
        <f t="shared" si="73"/>
        <v>0</v>
      </c>
      <c r="O90" s="64">
        <f t="shared" si="74"/>
        <v>0</v>
      </c>
      <c r="P90" s="64">
        <f t="shared" si="75"/>
        <v>0</v>
      </c>
      <c r="Q90" s="64">
        <f t="shared" si="76"/>
        <v>0</v>
      </c>
      <c r="R90" s="64">
        <f t="shared" si="47"/>
        <v>0</v>
      </c>
      <c r="S90" s="64">
        <f t="shared" si="77"/>
        <v>0</v>
      </c>
      <c r="T90" s="64">
        <f t="shared" si="78"/>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68"/>
        <v>0</v>
      </c>
      <c r="AT90" s="82">
        <f t="shared" si="69"/>
        <v>0</v>
      </c>
      <c r="AU90" s="82">
        <f t="shared" si="41"/>
        <v>0</v>
      </c>
      <c r="AV90" s="82">
        <f t="shared" si="42"/>
        <v>0</v>
      </c>
      <c r="AW90" s="82">
        <f t="shared" si="43"/>
        <v>0</v>
      </c>
      <c r="AX90" s="82">
        <f t="shared" si="44"/>
        <v>0</v>
      </c>
      <c r="AY90" s="82">
        <f t="shared" si="45"/>
        <v>0</v>
      </c>
      <c r="AZ90" s="82">
        <f t="shared" si="46"/>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v>1</v>
      </c>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c r="FA90" s="86"/>
      <c r="FB90" s="86"/>
      <c r="FC90" s="86"/>
      <c r="FD90" s="87"/>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132" t="s">
        <v>265</v>
      </c>
      <c r="E91" s="133">
        <f t="shared" si="70"/>
        <v>2</v>
      </c>
      <c r="F91" s="134" t="s">
        <v>266</v>
      </c>
      <c r="G91" s="345" t="s">
        <v>926</v>
      </c>
      <c r="H91" s="345" t="s">
        <v>929</v>
      </c>
      <c r="I91" s="348"/>
      <c r="J91" s="136">
        <f>(11.12+5.11)/4</f>
        <v>4.0575000000000001</v>
      </c>
      <c r="K91" s="136">
        <f t="shared" si="71"/>
        <v>8.1150000000000002</v>
      </c>
      <c r="L91" s="80"/>
      <c r="M91" s="40">
        <f t="shared" si="72"/>
        <v>0</v>
      </c>
      <c r="N91" s="64">
        <f t="shared" si="73"/>
        <v>0</v>
      </c>
      <c r="O91" s="64">
        <f t="shared" si="74"/>
        <v>0</v>
      </c>
      <c r="P91" s="64">
        <f t="shared" si="75"/>
        <v>2</v>
      </c>
      <c r="Q91" s="64">
        <f t="shared" si="76"/>
        <v>0</v>
      </c>
      <c r="R91" s="64">
        <f t="shared" si="47"/>
        <v>0</v>
      </c>
      <c r="S91" s="64">
        <f t="shared" si="77"/>
        <v>0</v>
      </c>
      <c r="T91" s="64">
        <f t="shared" si="78"/>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68"/>
        <v>0</v>
      </c>
      <c r="AT91" s="82">
        <f t="shared" si="69"/>
        <v>0</v>
      </c>
      <c r="AU91" s="82">
        <f t="shared" si="41"/>
        <v>0</v>
      </c>
      <c r="AV91" s="82">
        <f t="shared" si="42"/>
        <v>0</v>
      </c>
      <c r="AW91" s="82">
        <f t="shared" si="43"/>
        <v>0</v>
      </c>
      <c r="AX91" s="82">
        <f t="shared" si="44"/>
        <v>0</v>
      </c>
      <c r="AY91" s="82">
        <f t="shared" si="45"/>
        <v>0</v>
      </c>
      <c r="AZ91" s="82">
        <f t="shared" si="46"/>
        <v>0</v>
      </c>
      <c r="BA91" s="84"/>
      <c r="BB91" s="85"/>
      <c r="BC91" s="86"/>
      <c r="BD91" s="87"/>
      <c r="BE91" s="81"/>
      <c r="BF91" s="84"/>
      <c r="BG91" s="85"/>
      <c r="BH91" s="86"/>
      <c r="BI91" s="86"/>
      <c r="BJ91" s="86"/>
      <c r="BK91" s="86"/>
      <c r="BL91" s="86"/>
      <c r="BM91" s="86"/>
      <c r="BN91" s="86"/>
      <c r="BO91" s="86"/>
      <c r="BP91" s="86"/>
      <c r="BQ91" s="86"/>
      <c r="BR91" s="87"/>
      <c r="BS91" s="81"/>
      <c r="BT91" s="82">
        <v>2</v>
      </c>
      <c r="BU91" s="82"/>
      <c r="BV91" s="82"/>
      <c r="BW91" s="82"/>
      <c r="BX91" s="82"/>
      <c r="BY91" s="82"/>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267</v>
      </c>
      <c r="E92" s="133">
        <f t="shared" si="70"/>
        <v>2</v>
      </c>
      <c r="F92" s="134" t="s">
        <v>268</v>
      </c>
      <c r="G92" s="345" t="s">
        <v>926</v>
      </c>
      <c r="H92" s="348"/>
      <c r="I92" s="348"/>
      <c r="J92" s="136">
        <f>(10.76+5.46)/4</f>
        <v>4.0549999999999997</v>
      </c>
      <c r="K92" s="136">
        <f t="shared" si="71"/>
        <v>8.11</v>
      </c>
      <c r="L92" s="80"/>
      <c r="M92" s="40">
        <f t="shared" si="72"/>
        <v>0</v>
      </c>
      <c r="N92" s="64">
        <f t="shared" si="73"/>
        <v>0</v>
      </c>
      <c r="O92" s="64">
        <f t="shared" si="74"/>
        <v>0</v>
      </c>
      <c r="P92" s="64">
        <f t="shared" si="75"/>
        <v>2</v>
      </c>
      <c r="Q92" s="64">
        <f t="shared" si="76"/>
        <v>0</v>
      </c>
      <c r="R92" s="64">
        <f t="shared" si="47"/>
        <v>0</v>
      </c>
      <c r="S92" s="64">
        <f t="shared" si="77"/>
        <v>0</v>
      </c>
      <c r="T92" s="64">
        <f t="shared" si="78"/>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68"/>
        <v>0</v>
      </c>
      <c r="AT92" s="82">
        <f t="shared" si="69"/>
        <v>0</v>
      </c>
      <c r="AU92" s="82">
        <f t="shared" si="41"/>
        <v>0</v>
      </c>
      <c r="AV92" s="82">
        <f t="shared" si="42"/>
        <v>0</v>
      </c>
      <c r="AW92" s="82">
        <f t="shared" si="43"/>
        <v>0</v>
      </c>
      <c r="AX92" s="82">
        <f t="shared" si="44"/>
        <v>0</v>
      </c>
      <c r="AY92" s="82">
        <f t="shared" si="45"/>
        <v>0</v>
      </c>
      <c r="AZ92" s="82">
        <f t="shared" si="46"/>
        <v>0</v>
      </c>
      <c r="BA92" s="84"/>
      <c r="BB92" s="85"/>
      <c r="BC92" s="86"/>
      <c r="BD92" s="87"/>
      <c r="BE92" s="81"/>
      <c r="BF92" s="84"/>
      <c r="BG92" s="85"/>
      <c r="BH92" s="86">
        <v>1</v>
      </c>
      <c r="BI92" s="86"/>
      <c r="BJ92" s="86"/>
      <c r="BK92" s="86"/>
      <c r="BL92" s="86">
        <v>1</v>
      </c>
      <c r="BM92" s="86"/>
      <c r="BN92" s="86">
        <v>1</v>
      </c>
      <c r="BO92" s="86"/>
      <c r="BP92" s="86"/>
      <c r="BQ92" s="86"/>
      <c r="BR92" s="87"/>
      <c r="BS92" s="81"/>
      <c r="BT92" s="82"/>
      <c r="BU92" s="82"/>
      <c r="BV92" s="82"/>
      <c r="BW92" s="82"/>
      <c r="BX92" s="82"/>
      <c r="BY92" s="82"/>
      <c r="BZ92" s="82">
        <v>2</v>
      </c>
      <c r="CA92" s="82"/>
      <c r="CB92" s="82">
        <v>2</v>
      </c>
      <c r="CC92" s="82">
        <v>2</v>
      </c>
      <c r="CD92" s="82"/>
      <c r="CE92" s="82"/>
      <c r="CF92" s="82"/>
      <c r="CG92" s="82"/>
      <c r="CH92" s="84">
        <v>2</v>
      </c>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269</v>
      </c>
      <c r="E93" s="133">
        <f t="shared" si="70"/>
        <v>2</v>
      </c>
      <c r="F93" s="134" t="s">
        <v>270</v>
      </c>
      <c r="G93" s="345" t="s">
        <v>926</v>
      </c>
      <c r="H93" s="348"/>
      <c r="I93" s="348"/>
      <c r="J93" s="136">
        <f>16.68/2</f>
        <v>8.34</v>
      </c>
      <c r="K93" s="136">
        <f t="shared" si="71"/>
        <v>16.68</v>
      </c>
      <c r="L93" s="80"/>
      <c r="M93" s="40">
        <f t="shared" si="72"/>
        <v>0</v>
      </c>
      <c r="N93" s="64">
        <f t="shared" si="73"/>
        <v>0</v>
      </c>
      <c r="O93" s="64">
        <f t="shared" si="74"/>
        <v>0</v>
      </c>
      <c r="P93" s="64">
        <f t="shared" si="75"/>
        <v>0</v>
      </c>
      <c r="Q93" s="64">
        <f t="shared" si="76"/>
        <v>0</v>
      </c>
      <c r="R93" s="64">
        <f t="shared" si="47"/>
        <v>2</v>
      </c>
      <c r="S93" s="64">
        <f t="shared" si="77"/>
        <v>0</v>
      </c>
      <c r="T93" s="64">
        <f t="shared" si="78"/>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68"/>
        <v>0</v>
      </c>
      <c r="AT93" s="82">
        <f t="shared" si="69"/>
        <v>0</v>
      </c>
      <c r="AU93" s="82">
        <f t="shared" si="41"/>
        <v>0</v>
      </c>
      <c r="AV93" s="82">
        <f t="shared" si="42"/>
        <v>0</v>
      </c>
      <c r="AW93" s="82">
        <f t="shared" si="43"/>
        <v>0</v>
      </c>
      <c r="AX93" s="82">
        <f t="shared" si="44"/>
        <v>0</v>
      </c>
      <c r="AY93" s="82">
        <f t="shared" si="45"/>
        <v>0</v>
      </c>
      <c r="AZ93" s="82">
        <f t="shared" si="46"/>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v>2</v>
      </c>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271</v>
      </c>
      <c r="E94" s="133">
        <f t="shared" si="70"/>
        <v>0</v>
      </c>
      <c r="F94" s="134" t="s">
        <v>272</v>
      </c>
      <c r="G94" s="345" t="s">
        <v>926</v>
      </c>
      <c r="H94" s="348"/>
      <c r="I94" s="348"/>
      <c r="J94" s="136">
        <v>11.25</v>
      </c>
      <c r="K94" s="136">
        <f t="shared" si="71"/>
        <v>0</v>
      </c>
      <c r="L94" s="80"/>
      <c r="M94" s="40">
        <f t="shared" si="72"/>
        <v>1</v>
      </c>
      <c r="N94" s="64">
        <f t="shared" si="73"/>
        <v>0</v>
      </c>
      <c r="O94" s="64">
        <f t="shared" si="74"/>
        <v>0</v>
      </c>
      <c r="P94" s="64">
        <f t="shared" si="75"/>
        <v>0</v>
      </c>
      <c r="Q94" s="64">
        <f t="shared" si="76"/>
        <v>0</v>
      </c>
      <c r="R94" s="64">
        <f t="shared" si="47"/>
        <v>0</v>
      </c>
      <c r="S94" s="64">
        <f t="shared" si="77"/>
        <v>0</v>
      </c>
      <c r="T94" s="64">
        <f t="shared" si="78"/>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68"/>
        <v>0</v>
      </c>
      <c r="AT94" s="82">
        <f t="shared" si="69"/>
        <v>0</v>
      </c>
      <c r="AU94" s="82">
        <f t="shared" si="41"/>
        <v>0</v>
      </c>
      <c r="AV94" s="82">
        <f t="shared" si="42"/>
        <v>0</v>
      </c>
      <c r="AW94" s="82">
        <f t="shared" si="43"/>
        <v>0</v>
      </c>
      <c r="AX94" s="82">
        <f t="shared" si="44"/>
        <v>0</v>
      </c>
      <c r="AY94" s="82">
        <f t="shared" si="45"/>
        <v>0</v>
      </c>
      <c r="AZ94" s="82">
        <f t="shared" si="46"/>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c r="FA94" s="86">
        <v>2</v>
      </c>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273</v>
      </c>
      <c r="E95" s="133">
        <f t="shared" si="70"/>
        <v>0</v>
      </c>
      <c r="F95" s="134" t="s">
        <v>274</v>
      </c>
      <c r="G95" s="345" t="s">
        <v>926</v>
      </c>
      <c r="H95" s="345" t="s">
        <v>929</v>
      </c>
      <c r="I95" s="348"/>
      <c r="J95" s="136">
        <f>15.08/2</f>
        <v>7.54</v>
      </c>
      <c r="K95" s="136">
        <f t="shared" si="71"/>
        <v>0</v>
      </c>
      <c r="L95" s="80"/>
      <c r="M95" s="40">
        <f t="shared" si="72"/>
        <v>1</v>
      </c>
      <c r="N95" s="64">
        <f t="shared" si="73"/>
        <v>0</v>
      </c>
      <c r="O95" s="64">
        <f t="shared" si="74"/>
        <v>0</v>
      </c>
      <c r="P95" s="64">
        <f t="shared" si="75"/>
        <v>0</v>
      </c>
      <c r="Q95" s="64">
        <f t="shared" si="76"/>
        <v>0</v>
      </c>
      <c r="R95" s="64">
        <f t="shared" si="47"/>
        <v>0</v>
      </c>
      <c r="S95" s="64">
        <f t="shared" si="77"/>
        <v>0</v>
      </c>
      <c r="T95" s="64">
        <f t="shared" si="78"/>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68"/>
        <v>0</v>
      </c>
      <c r="AT95" s="82">
        <f t="shared" si="69"/>
        <v>0</v>
      </c>
      <c r="AU95" s="82">
        <f t="shared" si="41"/>
        <v>0</v>
      </c>
      <c r="AV95" s="82">
        <f t="shared" si="42"/>
        <v>0</v>
      </c>
      <c r="AW95" s="82">
        <f t="shared" si="43"/>
        <v>0</v>
      </c>
      <c r="AX95" s="82">
        <f t="shared" si="44"/>
        <v>0</v>
      </c>
      <c r="AY95" s="82">
        <f t="shared" si="45"/>
        <v>0</v>
      </c>
      <c r="AZ95" s="82">
        <f t="shared" si="46"/>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c r="FB95" s="86">
        <v>2</v>
      </c>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275</v>
      </c>
      <c r="E96" s="133">
        <f t="shared" si="70"/>
        <v>0</v>
      </c>
      <c r="F96" s="134" t="s">
        <v>276</v>
      </c>
      <c r="G96" s="345" t="s">
        <v>926</v>
      </c>
      <c r="H96" s="345" t="s">
        <v>929</v>
      </c>
      <c r="I96" s="345" t="s">
        <v>926</v>
      </c>
      <c r="J96" s="136">
        <f>22.01/2</f>
        <v>11.005000000000001</v>
      </c>
      <c r="K96" s="136">
        <f t="shared" si="71"/>
        <v>0</v>
      </c>
      <c r="L96" s="80"/>
      <c r="M96" s="40">
        <f t="shared" si="72"/>
        <v>1</v>
      </c>
      <c r="N96" s="64">
        <f t="shared" si="73"/>
        <v>0</v>
      </c>
      <c r="O96" s="64">
        <f t="shared" si="74"/>
        <v>0</v>
      </c>
      <c r="P96" s="64">
        <f t="shared" si="75"/>
        <v>0</v>
      </c>
      <c r="Q96" s="64">
        <f t="shared" si="76"/>
        <v>0</v>
      </c>
      <c r="R96" s="64">
        <f t="shared" si="47"/>
        <v>0</v>
      </c>
      <c r="S96" s="64">
        <f t="shared" si="77"/>
        <v>0</v>
      </c>
      <c r="T96" s="64">
        <f t="shared" si="78"/>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68"/>
        <v>0</v>
      </c>
      <c r="AT96" s="82">
        <f t="shared" si="69"/>
        <v>0</v>
      </c>
      <c r="AU96" s="82">
        <f t="shared" si="41"/>
        <v>0</v>
      </c>
      <c r="AV96" s="82">
        <f t="shared" si="42"/>
        <v>0</v>
      </c>
      <c r="AW96" s="82">
        <f t="shared" si="43"/>
        <v>0</v>
      </c>
      <c r="AX96" s="82">
        <f t="shared" si="44"/>
        <v>0</v>
      </c>
      <c r="AY96" s="82">
        <f t="shared" si="45"/>
        <v>0</v>
      </c>
      <c r="AZ96" s="82">
        <f t="shared" si="46"/>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v>2</v>
      </c>
      <c r="GG96" s="79"/>
      <c r="GH96" s="140"/>
      <c r="GI96" s="100"/>
    </row>
    <row r="97" spans="2:191" x14ac:dyDescent="0.2">
      <c r="B97" s="79"/>
      <c r="C97" s="132"/>
      <c r="D97" s="132" t="s">
        <v>185</v>
      </c>
      <c r="E97" s="133">
        <f t="shared" si="70"/>
        <v>0</v>
      </c>
      <c r="F97" s="134"/>
      <c r="G97" s="345" t="s">
        <v>926</v>
      </c>
      <c r="H97" s="345" t="s">
        <v>929</v>
      </c>
      <c r="I97" s="345" t="s">
        <v>926</v>
      </c>
      <c r="J97" s="136">
        <v>49.39</v>
      </c>
      <c r="K97" s="136">
        <f t="shared" si="71"/>
        <v>0</v>
      </c>
      <c r="L97" s="80"/>
      <c r="M97" s="40">
        <f t="shared" si="72"/>
        <v>1</v>
      </c>
      <c r="N97" s="64">
        <f t="shared" si="73"/>
        <v>0</v>
      </c>
      <c r="O97" s="64">
        <f t="shared" si="74"/>
        <v>0</v>
      </c>
      <c r="P97" s="64">
        <f t="shared" si="75"/>
        <v>0</v>
      </c>
      <c r="Q97" s="64">
        <f t="shared" si="76"/>
        <v>0</v>
      </c>
      <c r="R97" s="64">
        <f t="shared" si="47"/>
        <v>0</v>
      </c>
      <c r="S97" s="64">
        <f t="shared" si="77"/>
        <v>0</v>
      </c>
      <c r="T97" s="64">
        <f t="shared" si="78"/>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68"/>
        <v>0</v>
      </c>
      <c r="AT97" s="82">
        <f t="shared" si="69"/>
        <v>0</v>
      </c>
      <c r="AU97" s="82">
        <f t="shared" si="41"/>
        <v>0</v>
      </c>
      <c r="AV97" s="82">
        <f t="shared" si="42"/>
        <v>0</v>
      </c>
      <c r="AW97" s="82">
        <f t="shared" si="43"/>
        <v>0</v>
      </c>
      <c r="AX97" s="82">
        <f t="shared" si="44"/>
        <v>0</v>
      </c>
      <c r="AY97" s="82">
        <f t="shared" si="45"/>
        <v>0</v>
      </c>
      <c r="AZ97" s="82">
        <f t="shared" si="46"/>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v>1</v>
      </c>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c r="GG97" s="79"/>
      <c r="GH97" s="140"/>
      <c r="GI97" s="100"/>
    </row>
    <row r="98" spans="2:191" x14ac:dyDescent="0.2">
      <c r="B98" s="79"/>
      <c r="C98" s="132"/>
      <c r="D98" s="132" t="s">
        <v>277</v>
      </c>
      <c r="E98" s="133">
        <f t="shared" si="70"/>
        <v>0</v>
      </c>
      <c r="F98" s="134"/>
      <c r="G98" s="345" t="s">
        <v>926</v>
      </c>
      <c r="H98" s="345" t="s">
        <v>929</v>
      </c>
      <c r="I98" s="345" t="s">
        <v>926</v>
      </c>
      <c r="J98" s="136">
        <v>15.74</v>
      </c>
      <c r="K98" s="136">
        <f t="shared" si="71"/>
        <v>0</v>
      </c>
      <c r="L98" s="80"/>
      <c r="M98" s="40">
        <f t="shared" si="72"/>
        <v>1</v>
      </c>
      <c r="N98" s="64">
        <f t="shared" si="73"/>
        <v>0</v>
      </c>
      <c r="O98" s="64">
        <f t="shared" si="74"/>
        <v>0</v>
      </c>
      <c r="P98" s="64">
        <f t="shared" si="75"/>
        <v>0</v>
      </c>
      <c r="Q98" s="64">
        <f t="shared" si="76"/>
        <v>0</v>
      </c>
      <c r="R98" s="64">
        <f t="shared" si="47"/>
        <v>0</v>
      </c>
      <c r="S98" s="64">
        <f t="shared" si="77"/>
        <v>0</v>
      </c>
      <c r="T98" s="64">
        <f t="shared" si="78"/>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c r="AT98" s="82"/>
      <c r="AU98" s="82"/>
      <c r="AV98" s="82"/>
      <c r="AW98" s="82"/>
      <c r="AX98" s="82"/>
      <c r="AY98" s="82"/>
      <c r="AZ98" s="82"/>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278</v>
      </c>
      <c r="E99" s="133">
        <f t="shared" si="70"/>
        <v>2</v>
      </c>
      <c r="F99" s="134" t="s">
        <v>279</v>
      </c>
      <c r="G99" s="345" t="s">
        <v>926</v>
      </c>
      <c r="H99" s="348"/>
      <c r="I99" s="348"/>
      <c r="J99" s="136">
        <f>(0.6*3+1.49)/3</f>
        <v>1.0966666666666667</v>
      </c>
      <c r="K99" s="136">
        <f t="shared" si="71"/>
        <v>2.1933333333333334</v>
      </c>
      <c r="L99" s="80"/>
      <c r="M99" s="40">
        <f t="shared" si="72"/>
        <v>0</v>
      </c>
      <c r="N99" s="64">
        <f t="shared" si="73"/>
        <v>0</v>
      </c>
      <c r="O99" s="64">
        <f t="shared" si="74"/>
        <v>0</v>
      </c>
      <c r="P99" s="64">
        <f t="shared" si="75"/>
        <v>2</v>
      </c>
      <c r="Q99" s="64">
        <f t="shared" si="76"/>
        <v>0</v>
      </c>
      <c r="R99" s="64">
        <f t="shared" si="47"/>
        <v>0</v>
      </c>
      <c r="S99" s="64">
        <f t="shared" si="77"/>
        <v>0</v>
      </c>
      <c r="T99" s="64">
        <f t="shared" si="78"/>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ref="AS99:AS111" si="79">U99+V99+W99+AD99+AH99+AI99+AM99+AN99+AO99+AP99+AQ99</f>
        <v>0</v>
      </c>
      <c r="AT99" s="82">
        <f t="shared" ref="AT99:AT111" si="80">X99+Y99</f>
        <v>0</v>
      </c>
      <c r="AU99" s="82">
        <f t="shared" ref="AU99:AU111" si="81">Z99+AA99</f>
        <v>0</v>
      </c>
      <c r="AV99" s="82">
        <f t="shared" ref="AV99:AV111" si="82">AB99+AC99</f>
        <v>0</v>
      </c>
      <c r="AW99" s="82">
        <f t="shared" ref="AW99:AW111" si="83">AK99</f>
        <v>0</v>
      </c>
      <c r="AX99" s="82">
        <f t="shared" ref="AX99:AX111" si="84">AL99</f>
        <v>0</v>
      </c>
      <c r="AY99" s="82">
        <f t="shared" ref="AY99:AY111" si="85">AF99+AR99</f>
        <v>0</v>
      </c>
      <c r="AZ99" s="82">
        <f t="shared" ref="AZ99:AZ111" si="86">AJ99</f>
        <v>0</v>
      </c>
      <c r="BA99" s="84"/>
      <c r="BB99" s="85"/>
      <c r="BC99" s="86"/>
      <c r="BD99" s="87"/>
      <c r="BE99" s="81"/>
      <c r="BF99" s="84"/>
      <c r="BG99" s="85"/>
      <c r="BH99" s="86"/>
      <c r="BI99" s="86"/>
      <c r="BJ99" s="86"/>
      <c r="BK99" s="86"/>
      <c r="BL99" s="86"/>
      <c r="BM99" s="86"/>
      <c r="BN99" s="86"/>
      <c r="BO99" s="86"/>
      <c r="BP99" s="86"/>
      <c r="BQ99" s="86"/>
      <c r="BR99" s="87"/>
      <c r="BS99" s="81"/>
      <c r="BT99" s="82"/>
      <c r="BU99" s="82"/>
      <c r="BV99" s="82">
        <v>2</v>
      </c>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c r="FD99" s="87"/>
      <c r="FE99" s="81">
        <v>1</v>
      </c>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280</v>
      </c>
      <c r="E100" s="133">
        <f t="shared" si="70"/>
        <v>0</v>
      </c>
      <c r="F100" s="134"/>
      <c r="G100" s="345" t="s">
        <v>926</v>
      </c>
      <c r="H100" s="348"/>
      <c r="I100" s="348"/>
      <c r="J100" s="136"/>
      <c r="K100" s="136">
        <f t="shared" si="71"/>
        <v>0</v>
      </c>
      <c r="L100" s="80"/>
      <c r="M100" s="40">
        <f t="shared" si="72"/>
        <v>1</v>
      </c>
      <c r="N100" s="64">
        <f t="shared" si="73"/>
        <v>0</v>
      </c>
      <c r="O100" s="64">
        <f t="shared" si="74"/>
        <v>0</v>
      </c>
      <c r="P100" s="64">
        <f t="shared" si="75"/>
        <v>0</v>
      </c>
      <c r="Q100" s="64">
        <f t="shared" si="76"/>
        <v>0</v>
      </c>
      <c r="R100" s="64">
        <f t="shared" si="47"/>
        <v>0</v>
      </c>
      <c r="S100" s="64">
        <f t="shared" si="77"/>
        <v>0</v>
      </c>
      <c r="T100" s="64">
        <f t="shared" si="78"/>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79"/>
        <v>0</v>
      </c>
      <c r="AT100" s="82">
        <f t="shared" si="80"/>
        <v>0</v>
      </c>
      <c r="AU100" s="82">
        <f t="shared" si="81"/>
        <v>0</v>
      </c>
      <c r="AV100" s="82">
        <f t="shared" si="82"/>
        <v>0</v>
      </c>
      <c r="AW100" s="82">
        <f t="shared" si="83"/>
        <v>0</v>
      </c>
      <c r="AX100" s="82">
        <f t="shared" si="84"/>
        <v>0</v>
      </c>
      <c r="AY100" s="82">
        <f t="shared" si="85"/>
        <v>0</v>
      </c>
      <c r="AZ100" s="82">
        <f t="shared" si="86"/>
        <v>0</v>
      </c>
      <c r="BA100" s="84"/>
      <c r="BB100" s="85"/>
      <c r="BC100" s="86"/>
      <c r="BD100" s="87"/>
      <c r="BE100" s="81"/>
      <c r="BF100" s="84"/>
      <c r="BG100" s="85"/>
      <c r="BH100" s="86"/>
      <c r="BI100" s="86"/>
      <c r="BJ100" s="86"/>
      <c r="BK100" s="86"/>
      <c r="BL100" s="86"/>
      <c r="BM100" s="86"/>
      <c r="BN100" s="86"/>
      <c r="BO100" s="86"/>
      <c r="BP100" s="86">
        <v>4</v>
      </c>
      <c r="BQ100" s="86">
        <v>2</v>
      </c>
      <c r="BR100" s="87"/>
      <c r="BS100" s="81"/>
      <c r="BT100" s="82"/>
      <c r="BU100" s="82"/>
      <c r="BV100" s="82"/>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c r="FF100" s="82"/>
      <c r="FG100" s="82"/>
      <c r="FH100" s="82"/>
      <c r="FI100" s="82"/>
      <c r="FJ100" s="82"/>
      <c r="FK100" s="82"/>
      <c r="FL100" s="82"/>
      <c r="FM100" s="82"/>
      <c r="FN100" s="84"/>
      <c r="FO100" s="137">
        <v>5</v>
      </c>
      <c r="FP100" s="138"/>
      <c r="FQ100" s="138">
        <v>5</v>
      </c>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281</v>
      </c>
      <c r="E101" s="133">
        <f t="shared" si="70"/>
        <v>0</v>
      </c>
      <c r="F101" s="134"/>
      <c r="G101" s="345" t="s">
        <v>926</v>
      </c>
      <c r="H101" s="348"/>
      <c r="I101" s="348"/>
      <c r="J101" s="136"/>
      <c r="K101" s="136">
        <f t="shared" si="71"/>
        <v>0</v>
      </c>
      <c r="L101" s="80"/>
      <c r="M101" s="40">
        <f t="shared" si="72"/>
        <v>1</v>
      </c>
      <c r="N101" s="64">
        <f t="shared" si="73"/>
        <v>0</v>
      </c>
      <c r="O101" s="64">
        <f t="shared" si="74"/>
        <v>0</v>
      </c>
      <c r="P101" s="64">
        <f t="shared" si="75"/>
        <v>0</v>
      </c>
      <c r="Q101" s="64">
        <f t="shared" si="76"/>
        <v>0</v>
      </c>
      <c r="R101" s="64">
        <f t="shared" si="47"/>
        <v>0</v>
      </c>
      <c r="S101" s="64">
        <f t="shared" si="77"/>
        <v>0</v>
      </c>
      <c r="T101" s="64">
        <f t="shared" si="78"/>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79"/>
        <v>0</v>
      </c>
      <c r="AT101" s="82">
        <f t="shared" si="80"/>
        <v>0</v>
      </c>
      <c r="AU101" s="82">
        <f t="shared" si="81"/>
        <v>0</v>
      </c>
      <c r="AV101" s="82">
        <f t="shared" si="82"/>
        <v>0</v>
      </c>
      <c r="AW101" s="82">
        <f t="shared" si="83"/>
        <v>0</v>
      </c>
      <c r="AX101" s="82">
        <f t="shared" si="84"/>
        <v>0</v>
      </c>
      <c r="AY101" s="82">
        <f t="shared" si="85"/>
        <v>0</v>
      </c>
      <c r="AZ101" s="82">
        <f t="shared" si="86"/>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1</v>
      </c>
      <c r="FP101" s="138"/>
      <c r="FQ101" s="138">
        <v>1</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282</v>
      </c>
      <c r="E102" s="133">
        <f t="shared" si="70"/>
        <v>0</v>
      </c>
      <c r="F102" s="134"/>
      <c r="G102" s="345" t="s">
        <v>926</v>
      </c>
      <c r="H102" s="348"/>
      <c r="I102" s="348"/>
      <c r="J102" s="136">
        <f>3.29/5</f>
        <v>0.65800000000000003</v>
      </c>
      <c r="K102" s="136">
        <f t="shared" si="71"/>
        <v>0</v>
      </c>
      <c r="L102" s="80"/>
      <c r="M102" s="40">
        <f t="shared" si="72"/>
        <v>1</v>
      </c>
      <c r="N102" s="64">
        <f t="shared" si="73"/>
        <v>0</v>
      </c>
      <c r="O102" s="64">
        <f t="shared" si="74"/>
        <v>0</v>
      </c>
      <c r="P102" s="64">
        <f t="shared" si="75"/>
        <v>0</v>
      </c>
      <c r="Q102" s="64">
        <f t="shared" si="76"/>
        <v>0</v>
      </c>
      <c r="R102" s="64">
        <f t="shared" si="47"/>
        <v>0</v>
      </c>
      <c r="S102" s="64">
        <f t="shared" si="77"/>
        <v>0</v>
      </c>
      <c r="T102" s="64">
        <f t="shared" si="78"/>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79"/>
        <v>0</v>
      </c>
      <c r="AT102" s="82">
        <f t="shared" si="80"/>
        <v>0</v>
      </c>
      <c r="AU102" s="82">
        <f t="shared" si="81"/>
        <v>0</v>
      </c>
      <c r="AV102" s="82">
        <f t="shared" si="82"/>
        <v>0</v>
      </c>
      <c r="AW102" s="82">
        <f t="shared" si="83"/>
        <v>0</v>
      </c>
      <c r="AX102" s="82">
        <f t="shared" si="84"/>
        <v>0</v>
      </c>
      <c r="AY102" s="82">
        <f t="shared" si="85"/>
        <v>0</v>
      </c>
      <c r="AZ102" s="82">
        <f t="shared" si="86"/>
        <v>0</v>
      </c>
      <c r="BA102" s="84"/>
      <c r="BB102" s="85"/>
      <c r="BC102" s="86"/>
      <c r="BD102" s="87"/>
      <c r="BE102" s="81"/>
      <c r="BF102" s="84"/>
      <c r="BG102" s="85"/>
      <c r="BH102" s="86"/>
      <c r="BI102" s="86"/>
      <c r="BJ102" s="86"/>
      <c r="BK102" s="86"/>
      <c r="BL102" s="86"/>
      <c r="BM102" s="86"/>
      <c r="BN102" s="86"/>
      <c r="BO102" s="86"/>
      <c r="BP102" s="86">
        <v>2</v>
      </c>
      <c r="BQ102" s="86">
        <v>3</v>
      </c>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c r="FP102" s="138"/>
      <c r="FQ102" s="138"/>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320" t="s">
        <v>283</v>
      </c>
      <c r="E103" s="133">
        <f t="shared" si="70"/>
        <v>1</v>
      </c>
      <c r="F103" s="134" t="s">
        <v>1137</v>
      </c>
      <c r="G103" s="345" t="s">
        <v>926</v>
      </c>
      <c r="H103" s="236"/>
      <c r="I103" s="236"/>
      <c r="J103" s="136">
        <f>3.93/5</f>
        <v>0.78600000000000003</v>
      </c>
      <c r="K103" s="136">
        <f t="shared" si="71"/>
        <v>0.78600000000000003</v>
      </c>
      <c r="L103" s="80"/>
      <c r="M103" s="40">
        <f t="shared" si="72"/>
        <v>0</v>
      </c>
      <c r="N103" s="64">
        <f t="shared" si="73"/>
        <v>1</v>
      </c>
      <c r="O103" s="64">
        <f t="shared" si="74"/>
        <v>0</v>
      </c>
      <c r="P103" s="64">
        <f t="shared" si="75"/>
        <v>0</v>
      </c>
      <c r="Q103" s="64">
        <f t="shared" si="76"/>
        <v>0</v>
      </c>
      <c r="R103" s="64">
        <f t="shared" si="47"/>
        <v>0</v>
      </c>
      <c r="S103" s="64">
        <f t="shared" si="77"/>
        <v>0</v>
      </c>
      <c r="T103" s="64">
        <f t="shared" si="78"/>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v>1</v>
      </c>
      <c r="AR103" s="87">
        <f>-1+1</f>
        <v>0</v>
      </c>
      <c r="AS103" s="81">
        <f t="shared" si="79"/>
        <v>1</v>
      </c>
      <c r="AT103" s="82">
        <f t="shared" si="80"/>
        <v>0</v>
      </c>
      <c r="AU103" s="82">
        <f t="shared" si="81"/>
        <v>0</v>
      </c>
      <c r="AV103" s="82">
        <f t="shared" si="82"/>
        <v>0</v>
      </c>
      <c r="AW103" s="82">
        <f t="shared" si="83"/>
        <v>0</v>
      </c>
      <c r="AX103" s="82">
        <f t="shared" si="84"/>
        <v>0</v>
      </c>
      <c r="AY103" s="82">
        <f t="shared" si="85"/>
        <v>0</v>
      </c>
      <c r="AZ103" s="82">
        <f t="shared" si="86"/>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881</v>
      </c>
      <c r="E104" s="133">
        <f t="shared" si="70"/>
        <v>0.4</v>
      </c>
      <c r="F104" s="134" t="s">
        <v>903</v>
      </c>
      <c r="G104" s="345" t="s">
        <v>926</v>
      </c>
      <c r="H104" s="236"/>
      <c r="I104" s="236"/>
      <c r="J104" s="136">
        <f>5.33/2</f>
        <v>2.665</v>
      </c>
      <c r="K104" s="136">
        <f t="shared" si="71"/>
        <v>1.0660000000000001</v>
      </c>
      <c r="L104" s="80"/>
      <c r="M104" s="40">
        <f t="shared" si="72"/>
        <v>0</v>
      </c>
      <c r="N104" s="64">
        <f t="shared" si="73"/>
        <v>0</v>
      </c>
      <c r="O104" s="64">
        <f t="shared" si="74"/>
        <v>0</v>
      </c>
      <c r="P104" s="64">
        <f t="shared" si="75"/>
        <v>0</v>
      </c>
      <c r="Q104" s="64">
        <f t="shared" si="76"/>
        <v>0</v>
      </c>
      <c r="R104" s="64">
        <f t="shared" si="47"/>
        <v>0</v>
      </c>
      <c r="S104" s="64">
        <f t="shared" si="77"/>
        <v>0.4</v>
      </c>
      <c r="T104" s="64">
        <f t="shared" si="78"/>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79"/>
        <v>0</v>
      </c>
      <c r="AT104" s="82">
        <f t="shared" si="80"/>
        <v>0</v>
      </c>
      <c r="AU104" s="82">
        <f t="shared" si="81"/>
        <v>0</v>
      </c>
      <c r="AV104" s="82">
        <f t="shared" si="82"/>
        <v>0</v>
      </c>
      <c r="AW104" s="82">
        <f t="shared" si="83"/>
        <v>0</v>
      </c>
      <c r="AX104" s="82">
        <f t="shared" si="84"/>
        <v>0</v>
      </c>
      <c r="AY104" s="82">
        <f t="shared" si="85"/>
        <v>0</v>
      </c>
      <c r="AZ104" s="82">
        <f t="shared" si="86"/>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f>0.2*2</f>
        <v>0.4</v>
      </c>
      <c r="FY104" s="82">
        <f>0.35+0.35+0.3</f>
        <v>1</v>
      </c>
      <c r="FZ104" s="84">
        <f>FX104+FY104</f>
        <v>1.4</v>
      </c>
      <c r="GA104" s="108"/>
      <c r="GB104" s="98"/>
      <c r="GC104" s="107"/>
      <c r="GD104" s="98"/>
      <c r="GE104" s="108"/>
      <c r="GG104" s="79"/>
      <c r="GH104" s="140"/>
      <c r="GI104" s="100"/>
    </row>
    <row r="105" spans="2:191" x14ac:dyDescent="0.2">
      <c r="B105" s="79"/>
      <c r="C105" s="132"/>
      <c r="D105" s="132" t="s">
        <v>284</v>
      </c>
      <c r="E105" s="133">
        <f t="shared" si="70"/>
        <v>1</v>
      </c>
      <c r="F105" s="134" t="s">
        <v>938</v>
      </c>
      <c r="G105" s="345" t="s">
        <v>926</v>
      </c>
      <c r="H105" s="236"/>
      <c r="I105" s="236"/>
      <c r="J105" s="136">
        <f>1.35*0</f>
        <v>0</v>
      </c>
      <c r="K105" s="136">
        <f t="shared" si="71"/>
        <v>0</v>
      </c>
      <c r="L105" s="80"/>
      <c r="M105" s="40">
        <f t="shared" si="72"/>
        <v>0</v>
      </c>
      <c r="N105" s="64">
        <f t="shared" si="73"/>
        <v>0</v>
      </c>
      <c r="O105" s="64">
        <f t="shared" si="74"/>
        <v>0</v>
      </c>
      <c r="P105" s="64">
        <f t="shared" si="75"/>
        <v>1</v>
      </c>
      <c r="Q105" s="64">
        <f t="shared" si="76"/>
        <v>0</v>
      </c>
      <c r="R105" s="64">
        <f t="shared" si="47"/>
        <v>0</v>
      </c>
      <c r="S105" s="64">
        <f t="shared" si="77"/>
        <v>0</v>
      </c>
      <c r="T105" s="64">
        <f t="shared" si="78"/>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79"/>
        <v>0</v>
      </c>
      <c r="AT105" s="82">
        <f t="shared" si="80"/>
        <v>0</v>
      </c>
      <c r="AU105" s="82">
        <f t="shared" si="81"/>
        <v>0</v>
      </c>
      <c r="AV105" s="82">
        <f t="shared" si="82"/>
        <v>0</v>
      </c>
      <c r="AW105" s="82">
        <f t="shared" si="83"/>
        <v>0</v>
      </c>
      <c r="AX105" s="82">
        <f t="shared" si="84"/>
        <v>0</v>
      </c>
      <c r="AY105" s="82">
        <f t="shared" si="85"/>
        <v>0</v>
      </c>
      <c r="AZ105" s="82">
        <f t="shared" si="86"/>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v>1</v>
      </c>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c r="FY105" s="82"/>
      <c r="FZ105" s="84"/>
      <c r="GA105" s="108"/>
      <c r="GB105" s="98"/>
      <c r="GC105" s="107"/>
      <c r="GD105" s="98"/>
      <c r="GE105" s="108"/>
      <c r="GG105" s="79"/>
      <c r="GH105" s="140"/>
      <c r="GI105" s="100"/>
    </row>
    <row r="106" spans="2:191" x14ac:dyDescent="0.2">
      <c r="B106" s="79"/>
      <c r="C106" s="126"/>
      <c r="D106" s="323" t="s">
        <v>285</v>
      </c>
      <c r="E106" s="127">
        <f t="shared" si="70"/>
        <v>0</v>
      </c>
      <c r="F106" s="128" t="s">
        <v>286</v>
      </c>
      <c r="G106" s="346" t="s">
        <v>926</v>
      </c>
      <c r="H106" s="347"/>
      <c r="I106" s="347"/>
      <c r="J106" s="130">
        <f>2.07+1.01</f>
        <v>3.08</v>
      </c>
      <c r="K106" s="130">
        <f t="shared" si="71"/>
        <v>0</v>
      </c>
      <c r="L106" s="80"/>
      <c r="M106" s="40">
        <f t="shared" si="72"/>
        <v>1</v>
      </c>
      <c r="N106" s="64">
        <f t="shared" si="73"/>
        <v>0</v>
      </c>
      <c r="O106" s="64">
        <f t="shared" si="74"/>
        <v>0</v>
      </c>
      <c r="P106" s="64">
        <f t="shared" si="75"/>
        <v>0</v>
      </c>
      <c r="Q106" s="64">
        <f t="shared" si="76"/>
        <v>0</v>
      </c>
      <c r="R106" s="64">
        <f t="shared" si="47"/>
        <v>0</v>
      </c>
      <c r="S106" s="64">
        <f t="shared" si="77"/>
        <v>0</v>
      </c>
      <c r="T106" s="64">
        <f t="shared" si="78"/>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79"/>
        <v>0</v>
      </c>
      <c r="AT106" s="82">
        <f t="shared" si="80"/>
        <v>0</v>
      </c>
      <c r="AU106" s="82">
        <f t="shared" si="81"/>
        <v>0</v>
      </c>
      <c r="AV106" s="82">
        <f t="shared" si="82"/>
        <v>0</v>
      </c>
      <c r="AW106" s="82">
        <f t="shared" si="83"/>
        <v>0</v>
      </c>
      <c r="AX106" s="82">
        <f t="shared" si="84"/>
        <v>0</v>
      </c>
      <c r="AY106" s="82">
        <f t="shared" si="85"/>
        <v>0</v>
      </c>
      <c r="AZ106" s="82">
        <f t="shared" si="86"/>
        <v>0</v>
      </c>
      <c r="BA106" s="84"/>
      <c r="BB106" s="85"/>
      <c r="BC106" s="86"/>
      <c r="BD106" s="87"/>
      <c r="BE106" s="81"/>
      <c r="BF106" s="84"/>
      <c r="BG106" s="85"/>
      <c r="BH106" s="86"/>
      <c r="BI106" s="86"/>
      <c r="BJ106" s="86"/>
      <c r="BK106" s="86"/>
      <c r="BL106" s="86"/>
      <c r="BM106" s="86"/>
      <c r="BN106" s="86"/>
      <c r="BO106" s="86"/>
      <c r="BP106" s="86"/>
      <c r="BQ106" s="86"/>
      <c r="BR106" s="87">
        <v>1</v>
      </c>
      <c r="BS106" s="81"/>
      <c r="BT106" s="82"/>
      <c r="BU106" s="82"/>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31"/>
      <c r="GI106" s="100"/>
    </row>
    <row r="107" spans="2:191" ht="19.899999999999999" customHeight="1" x14ac:dyDescent="0.25">
      <c r="B107" s="101"/>
      <c r="C107" s="428" t="s">
        <v>287</v>
      </c>
      <c r="D107" s="428"/>
      <c r="E107" s="428"/>
      <c r="F107" s="102"/>
      <c r="G107" s="103"/>
      <c r="H107" s="103"/>
      <c r="I107" s="103"/>
      <c r="J107" s="104"/>
      <c r="K107" s="105">
        <f>SUM(K108:K111)</f>
        <v>2.2400000000000002</v>
      </c>
      <c r="L107" s="106"/>
      <c r="M107" s="114">
        <v>0</v>
      </c>
      <c r="N107" s="64"/>
      <c r="O107" s="64"/>
      <c r="P107" s="64"/>
      <c r="Q107" s="64"/>
      <c r="R107" s="64">
        <f t="shared" si="47"/>
        <v>0</v>
      </c>
      <c r="S107" s="64"/>
      <c r="T107" s="64"/>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79"/>
        <v>0</v>
      </c>
      <c r="AT107" s="82">
        <f t="shared" si="80"/>
        <v>0</v>
      </c>
      <c r="AU107" s="82">
        <f t="shared" si="81"/>
        <v>0</v>
      </c>
      <c r="AV107" s="82">
        <f t="shared" si="82"/>
        <v>0</v>
      </c>
      <c r="AW107" s="82">
        <f t="shared" si="83"/>
        <v>0</v>
      </c>
      <c r="AX107" s="82">
        <f t="shared" si="84"/>
        <v>0</v>
      </c>
      <c r="AY107" s="82">
        <f t="shared" si="85"/>
        <v>0</v>
      </c>
      <c r="AZ107" s="82">
        <f t="shared" si="86"/>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101"/>
      <c r="GH107" s="109" t="str">
        <f>C107</f>
        <v>OTHER HARDWARE</v>
      </c>
      <c r="GI107" s="110"/>
    </row>
    <row r="108" spans="2:191" x14ac:dyDescent="0.2">
      <c r="B108" s="79"/>
      <c r="C108" s="120"/>
      <c r="D108" s="120" t="s">
        <v>288</v>
      </c>
      <c r="E108" s="121">
        <f>SUM(N108:T108)</f>
        <v>4</v>
      </c>
      <c r="F108" s="122"/>
      <c r="G108" s="344" t="s">
        <v>926</v>
      </c>
      <c r="H108" s="257"/>
      <c r="I108" s="257"/>
      <c r="J108" s="124">
        <f>2.24/4</f>
        <v>0.56000000000000005</v>
      </c>
      <c r="K108" s="124">
        <f>E108*J108</f>
        <v>2.2400000000000002</v>
      </c>
      <c r="L108" s="80"/>
      <c r="M108" s="40">
        <f>IF(E108=0,IF(E108="",0,1),0)</f>
        <v>0</v>
      </c>
      <c r="N108" s="64">
        <f>AS$4*AS108+AT$4*AT108+AU$4*AU108+AV$4*AV108+AW$4*AW108+AX$4*AX108+AY$4*AY108+AZ$4*AZ108+BA$4*BA108</f>
        <v>0</v>
      </c>
      <c r="O108" s="64">
        <f>BG$4*BG108+BH$4*BH108+BI$4*BI108+BJ$4*BJ108+BK$4*BK108+BL$4*BL108+BM$4*BM108+BN$4*BN108+BO$4*BO108+BP$4*BP108+BQ$4*BQ108+BR$4*BR108</f>
        <v>4</v>
      </c>
      <c r="P108" s="64">
        <f>BS$4*BS108+BT$4*BT108+BU$4*BU108+BV$4*BV108+BW$4*BW108+BX$4*BX108+BY$4*BY108+BZ$4*BZ108+CA$4*CA108+CB$4*CB108+CC$4*CC108+CD$4*CD108+CE$4*CE108+CF$4*CF108+CG$4*CG108+CH$4*CH108</f>
        <v>0</v>
      </c>
      <c r="Q108" s="64">
        <f>BB$4*BB108+BC$4*BC108+BD$4*BD108</f>
        <v>0</v>
      </c>
      <c r="R108" s="64">
        <f t="shared" si="47"/>
        <v>0</v>
      </c>
      <c r="S108" s="64">
        <f>FU$4*FU108+FV$4*FV108+FW$4*FW108+FX$4*FX108+FY$4*FY108+FZ$4*FZ108+GA$4*GA108+GB$4*GB108+GC$4*GC108+GD$4*GD108+GE$4*GE108</f>
        <v>0</v>
      </c>
      <c r="T108" s="64">
        <f>BF$4*BF108</f>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79"/>
        <v>0</v>
      </c>
      <c r="AT108" s="82">
        <f t="shared" si="80"/>
        <v>0</v>
      </c>
      <c r="AU108" s="82">
        <f t="shared" si="81"/>
        <v>0</v>
      </c>
      <c r="AV108" s="82">
        <f t="shared" si="82"/>
        <v>0</v>
      </c>
      <c r="AW108" s="82">
        <f t="shared" si="83"/>
        <v>0</v>
      </c>
      <c r="AX108" s="82">
        <f t="shared" si="84"/>
        <v>0</v>
      </c>
      <c r="AY108" s="82">
        <f t="shared" si="85"/>
        <v>0</v>
      </c>
      <c r="AZ108" s="82">
        <f t="shared" si="86"/>
        <v>0</v>
      </c>
      <c r="BA108" s="84"/>
      <c r="BB108" s="85"/>
      <c r="BC108" s="86"/>
      <c r="BD108" s="87"/>
      <c r="BE108" s="81"/>
      <c r="BF108" s="84"/>
      <c r="BG108" s="85">
        <v>4</v>
      </c>
      <c r="BH108" s="86"/>
      <c r="BI108" s="86">
        <v>4</v>
      </c>
      <c r="BJ108" s="86">
        <v>4</v>
      </c>
      <c r="BK108" s="86">
        <v>4</v>
      </c>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79"/>
      <c r="GH108" s="125"/>
      <c r="GI108" s="100"/>
    </row>
    <row r="109" spans="2:191" x14ac:dyDescent="0.2">
      <c r="B109" s="79"/>
      <c r="C109" s="132"/>
      <c r="D109" s="132" t="s">
        <v>289</v>
      </c>
      <c r="E109" s="133">
        <v>1</v>
      </c>
      <c r="F109" s="134"/>
      <c r="G109" s="345" t="s">
        <v>926</v>
      </c>
      <c r="H109" s="348"/>
      <c r="I109" s="348"/>
      <c r="J109" s="136">
        <f>9.67*0</f>
        <v>0</v>
      </c>
      <c r="K109" s="136">
        <f>E109*J109</f>
        <v>0</v>
      </c>
      <c r="L109" s="80"/>
      <c r="M109" s="40">
        <f>IF(E109=0,IF(E109="",0,1),0)</f>
        <v>0</v>
      </c>
      <c r="N109" s="64"/>
      <c r="O109" s="64"/>
      <c r="P109" s="64"/>
      <c r="Q109" s="64"/>
      <c r="R109" s="64">
        <f t="shared" si="47"/>
        <v>0</v>
      </c>
      <c r="S109" s="64"/>
      <c r="T109" s="64"/>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79"/>
        <v>0</v>
      </c>
      <c r="AT109" s="82">
        <f t="shared" si="80"/>
        <v>0</v>
      </c>
      <c r="AU109" s="82">
        <f t="shared" si="81"/>
        <v>0</v>
      </c>
      <c r="AV109" s="82">
        <f t="shared" si="82"/>
        <v>0</v>
      </c>
      <c r="AW109" s="82">
        <f t="shared" si="83"/>
        <v>0</v>
      </c>
      <c r="AX109" s="82">
        <f t="shared" si="84"/>
        <v>0</v>
      </c>
      <c r="AY109" s="82">
        <f t="shared" si="85"/>
        <v>0</v>
      </c>
      <c r="AZ109" s="82">
        <f t="shared" si="86"/>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40"/>
      <c r="GI109" s="100"/>
    </row>
    <row r="110" spans="2:191" x14ac:dyDescent="0.2">
      <c r="B110" s="79"/>
      <c r="C110" s="126"/>
      <c r="D110" s="126" t="s">
        <v>941</v>
      </c>
      <c r="E110" s="121">
        <f>SUM(N110:T110)</f>
        <v>0</v>
      </c>
      <c r="F110" s="128"/>
      <c r="G110" s="346" t="s">
        <v>926</v>
      </c>
      <c r="H110" s="347"/>
      <c r="I110" s="347"/>
      <c r="J110" s="130">
        <v>20.92</v>
      </c>
      <c r="K110" s="136">
        <f>E110*J110</f>
        <v>0</v>
      </c>
      <c r="L110" s="80"/>
      <c r="M110" s="40">
        <f>IF(E110=0,IF(E110="",0,1),0)</f>
        <v>1</v>
      </c>
      <c r="N110" s="64">
        <f>AS$4*AS110+AT$4*AT110+AU$4*AU110+AV$4*AV110+AW$4*AW110+AX$4*AX110+AY$4*AY110+AZ$4*AZ110+BA$4*BA110</f>
        <v>0</v>
      </c>
      <c r="O110" s="64">
        <f>BG$4*BG110+BH$4*BH110+BI$4*BI110+BJ$4*BJ110+BK$4*BK110+BL$4*BL110+BM$4*BM110+BN$4*BN110+BO$4*BO110+BP$4*BP110+BQ$4*BQ110+BR$4*BR110</f>
        <v>0</v>
      </c>
      <c r="P110" s="64">
        <f>BS$4*BS110+BT$4*BT110+BU$4*BU110+BV$4*BV110+BW$4*BW110+BX$4*BX110+BY$4*BY110+BZ$4*BZ110+CA$4*CA110+CB$4*CB110+CC$4*CC110+CD$4*CD110+CE$4*CE110+CF$4*CF110+CG$4*CG110+CH$4*CH110</f>
        <v>0</v>
      </c>
      <c r="Q110" s="64">
        <f>BB$4*BB110+BC$4*BC110+BD$4*BD110</f>
        <v>0</v>
      </c>
      <c r="R110" s="64">
        <f t="shared" ref="R110" si="87">DK$4*DK110+DL$4*DL110+DM$4*DM110+DN$4*DN110+DO$4*DO110+DP$4*DP110+DQ$4*DQ110+DR$4*DR110+DS$4*DS110+DT$4*DT110+DU$4*DU110+DV$4*DV110+DW$4*DW110+DX$4*DX110+DY$4*DY110+DZ$4*DZ110+EA$4*EA110+EB$4*EB110+EC$4*EC110+ED$4*ED110+EE$4*EE110+EF$4*EF110+EG$4*EG110+EH$4*EH110+EI$4*EI110+EJ$4*EJ110+EK$4*EK110+EL$4*EL110+EM$4*EM110+EN$4*EN110+EO$4*EO110+EP$4*EP110+EQ$4*EQ110+ER$4*ER110+ES$4*ES110+ET$4*ET110+EU$4*EU110+EV$4*EV110+EW$4*EW110+EX$4*EX110+EY$4*EY110+EZ$4*EZ110+FA$4*FA110+FB$4*FB110+FC$4*FC110+FD$4*FD110+FE$4*FE110+FF$4*FF110+FG$4*FG110+FH$4*FH110+FI$4*FI110+FJ$4*FJ110+FK$4*FK110+FL$4*FL110+FM$4*FM110+FN$4*FN110+FO$4*FO110+FP$4*FP110+FQ$4*FQ110+FR$4*FR110+FS$4*FS110+FT$4*FT110</f>
        <v>0</v>
      </c>
      <c r="S110" s="64">
        <f>FU$4*FU110+FV$4*FV110+FW$4*FW110+FX$4*FX110+FY$4*FY110+FZ$4*FZ110+GA$4*GA110+GB$4*GB110+GC$4*GC110+GD$4*GD110+GE$4*GE110</f>
        <v>0</v>
      </c>
      <c r="T110" s="64">
        <f>BF$4*BF110</f>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c r="AT110" s="82"/>
      <c r="AU110" s="82"/>
      <c r="AV110" s="82"/>
      <c r="AW110" s="82"/>
      <c r="AX110" s="82"/>
      <c r="AY110" s="82"/>
      <c r="AZ110" s="82"/>
      <c r="BA110" s="84"/>
      <c r="BB110" s="85"/>
      <c r="BC110" s="86"/>
      <c r="BD110" s="87"/>
      <c r="BE110" s="81"/>
      <c r="BF110" s="84"/>
      <c r="BG110" s="85"/>
      <c r="BH110" s="86"/>
      <c r="BI110" s="86"/>
      <c r="BJ110" s="86">
        <v>3</v>
      </c>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31"/>
      <c r="GI110" s="100"/>
    </row>
    <row r="111" spans="2:191" x14ac:dyDescent="0.2">
      <c r="B111" s="79"/>
      <c r="C111" s="126"/>
      <c r="D111" s="126" t="s">
        <v>290</v>
      </c>
      <c r="E111" s="127">
        <f>SUM(N111:T111)</f>
        <v>1</v>
      </c>
      <c r="F111" s="128"/>
      <c r="G111" s="437" t="s">
        <v>905</v>
      </c>
      <c r="H111" s="437"/>
      <c r="I111" s="237"/>
      <c r="J111" s="130"/>
      <c r="K111" s="130">
        <f>E111*J111</f>
        <v>0</v>
      </c>
      <c r="L111" s="80"/>
      <c r="M111" s="40">
        <f>IF(E111=0,IF(E111="",0,1),0)</f>
        <v>0</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si="47"/>
        <v>1</v>
      </c>
      <c r="S111" s="64">
        <f>FU$4*FU111+FV$4*FV111+FW$4*FW111+FX$4*FX111+FY$4*FY111+FZ$4*FZ111+GA$4*GA111+GB$4*GB111+GC$4*GC111+GD$4*GD111+GE$4*GE111</f>
        <v>0</v>
      </c>
      <c r="T111" s="64">
        <f>BF$4*BF111</f>
        <v>0</v>
      </c>
      <c r="U111" s="149"/>
      <c r="V111" s="150"/>
      <c r="W111" s="150"/>
      <c r="X111" s="150"/>
      <c r="Y111" s="150"/>
      <c r="Z111" s="150"/>
      <c r="AA111" s="150"/>
      <c r="AB111" s="150"/>
      <c r="AC111" s="150"/>
      <c r="AD111" s="150"/>
      <c r="AE111" s="151"/>
      <c r="AF111" s="150"/>
      <c r="AG111" s="151"/>
      <c r="AH111" s="150"/>
      <c r="AI111" s="150"/>
      <c r="AJ111" s="150"/>
      <c r="AK111" s="150"/>
      <c r="AL111" s="152"/>
      <c r="AM111" s="153"/>
      <c r="AN111" s="154"/>
      <c r="AO111" s="154"/>
      <c r="AP111" s="154"/>
      <c r="AQ111" s="154"/>
      <c r="AR111" s="155"/>
      <c r="AS111" s="149">
        <f t="shared" si="79"/>
        <v>0</v>
      </c>
      <c r="AT111" s="150">
        <f t="shared" si="80"/>
        <v>0</v>
      </c>
      <c r="AU111" s="150">
        <f t="shared" si="81"/>
        <v>0</v>
      </c>
      <c r="AV111" s="150">
        <f t="shared" si="82"/>
        <v>0</v>
      </c>
      <c r="AW111" s="150">
        <f t="shared" si="83"/>
        <v>0</v>
      </c>
      <c r="AX111" s="150">
        <f t="shared" si="84"/>
        <v>0</v>
      </c>
      <c r="AY111" s="150">
        <f t="shared" si="85"/>
        <v>0</v>
      </c>
      <c r="AZ111" s="150">
        <f t="shared" si="86"/>
        <v>0</v>
      </c>
      <c r="BA111" s="152"/>
      <c r="BB111" s="153"/>
      <c r="BC111" s="154"/>
      <c r="BD111" s="155"/>
      <c r="BE111" s="149"/>
      <c r="BF111" s="152"/>
      <c r="BG111" s="153"/>
      <c r="BH111" s="154"/>
      <c r="BI111" s="154"/>
      <c r="BJ111" s="154"/>
      <c r="BK111" s="154"/>
      <c r="BL111" s="154"/>
      <c r="BM111" s="154"/>
      <c r="BN111" s="154"/>
      <c r="BO111" s="154"/>
      <c r="BP111" s="154"/>
      <c r="BQ111" s="154"/>
      <c r="BR111" s="155"/>
      <c r="BS111" s="149"/>
      <c r="BT111" s="150"/>
      <c r="BU111" s="150"/>
      <c r="BV111" s="150"/>
      <c r="BW111" s="150"/>
      <c r="BX111" s="150"/>
      <c r="BY111" s="150"/>
      <c r="BZ111" s="150"/>
      <c r="CA111" s="150"/>
      <c r="CB111" s="150"/>
      <c r="CC111" s="150"/>
      <c r="CD111" s="150"/>
      <c r="CE111" s="150"/>
      <c r="CF111" s="150"/>
      <c r="CG111" s="150"/>
      <c r="CH111" s="152"/>
      <c r="CI111" s="156"/>
      <c r="CJ111" s="151"/>
      <c r="CK111" s="151"/>
      <c r="CL111" s="151"/>
      <c r="CM111" s="151"/>
      <c r="CN111" s="151"/>
      <c r="CO111" s="157"/>
      <c r="CP111" s="157"/>
      <c r="CQ111" s="157"/>
      <c r="CR111" s="151"/>
      <c r="CS111" s="151"/>
      <c r="CT111" s="151"/>
      <c r="CU111" s="157"/>
      <c r="CV111" s="157"/>
      <c r="CW111" s="151"/>
      <c r="CX111" s="151"/>
      <c r="CY111" s="151"/>
      <c r="CZ111" s="151"/>
      <c r="DA111" s="157"/>
      <c r="DB111" s="157"/>
      <c r="DC111" s="157"/>
      <c r="DD111" s="151"/>
      <c r="DE111" s="151"/>
      <c r="DF111" s="151"/>
      <c r="DG111" s="157"/>
      <c r="DH111" s="157"/>
      <c r="DI111" s="151"/>
      <c r="DJ111" s="158"/>
      <c r="DK111" s="153"/>
      <c r="DL111" s="154"/>
      <c r="DM111" s="154"/>
      <c r="DN111" s="154"/>
      <c r="DO111" s="154"/>
      <c r="DP111" s="154"/>
      <c r="DQ111" s="154"/>
      <c r="DR111" s="154"/>
      <c r="DS111" s="154"/>
      <c r="DT111" s="154"/>
      <c r="DU111" s="154"/>
      <c r="DV111" s="154"/>
      <c r="DW111" s="154"/>
      <c r="DX111" s="154"/>
      <c r="DY111" s="154"/>
      <c r="DZ111" s="154"/>
      <c r="EA111" s="154"/>
      <c r="EB111" s="154"/>
      <c r="EC111" s="154"/>
      <c r="ED111" s="154"/>
      <c r="EE111" s="155"/>
      <c r="EF111" s="149">
        <v>1</v>
      </c>
      <c r="EG111" s="150">
        <v>1</v>
      </c>
      <c r="EH111" s="150">
        <v>1</v>
      </c>
      <c r="EI111" s="150">
        <v>1</v>
      </c>
      <c r="EJ111" s="150"/>
      <c r="EK111" s="150"/>
      <c r="EL111" s="150"/>
      <c r="EM111" s="150"/>
      <c r="EN111" s="150"/>
      <c r="EO111" s="150">
        <v>1</v>
      </c>
      <c r="EP111" s="150">
        <v>1</v>
      </c>
      <c r="EQ111" s="150"/>
      <c r="ER111" s="150">
        <v>1</v>
      </c>
      <c r="ES111" s="150">
        <v>1</v>
      </c>
      <c r="ET111" s="150">
        <v>1</v>
      </c>
      <c r="EU111" s="150">
        <v>1</v>
      </c>
      <c r="EV111" s="150">
        <v>1</v>
      </c>
      <c r="EW111" s="150">
        <v>1</v>
      </c>
      <c r="EX111" s="150"/>
      <c r="EY111" s="152"/>
      <c r="EZ111" s="153"/>
      <c r="FA111" s="154"/>
      <c r="FB111" s="154"/>
      <c r="FC111" s="154"/>
      <c r="FD111" s="155"/>
      <c r="FE111" s="149"/>
      <c r="FF111" s="150">
        <v>1</v>
      </c>
      <c r="FG111" s="150"/>
      <c r="FH111" s="150"/>
      <c r="FI111" s="150"/>
      <c r="FJ111" s="150"/>
      <c r="FK111" s="150"/>
      <c r="FL111" s="150"/>
      <c r="FM111" s="150"/>
      <c r="FN111" s="152"/>
      <c r="FO111" s="159"/>
      <c r="FP111" s="160"/>
      <c r="FQ111" s="160"/>
      <c r="FR111" s="160"/>
      <c r="FS111" s="160"/>
      <c r="FT111" s="161"/>
      <c r="FU111" s="162"/>
      <c r="FV111" s="163"/>
      <c r="FW111" s="164"/>
      <c r="FX111" s="149"/>
      <c r="FY111" s="150"/>
      <c r="FZ111" s="152"/>
      <c r="GA111" s="164"/>
      <c r="GB111" s="163"/>
      <c r="GC111" s="162">
        <v>1</v>
      </c>
      <c r="GD111" s="163"/>
      <c r="GE111" s="164"/>
      <c r="GG111" s="79"/>
      <c r="GH111" s="131"/>
      <c r="GI111" s="100"/>
    </row>
    <row r="112" spans="2:191" ht="5.65" customHeight="1" x14ac:dyDescent="0.2">
      <c r="B112" s="165"/>
      <c r="C112" s="14"/>
      <c r="D112" s="14"/>
      <c r="E112" s="166"/>
      <c r="F112" s="111"/>
      <c r="G112" s="112"/>
      <c r="H112" s="112"/>
      <c r="I112" s="112"/>
      <c r="J112" s="113"/>
      <c r="K112" s="113"/>
      <c r="L112" s="167"/>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3"/>
      <c r="FP112" s="3"/>
      <c r="FQ112" s="3"/>
      <c r="FR112" s="3"/>
      <c r="FS112" s="3"/>
      <c r="FT112" s="3"/>
      <c r="FU112" s="64"/>
      <c r="FV112" s="64"/>
      <c r="FW112" s="64"/>
      <c r="FX112" s="64"/>
      <c r="FY112" s="64"/>
      <c r="FZ112" s="64"/>
      <c r="GA112" s="64"/>
      <c r="GB112" s="64"/>
      <c r="GC112" s="64"/>
      <c r="GD112" s="64"/>
      <c r="GE112" s="64"/>
      <c r="GG112" s="165"/>
      <c r="GH112" s="168"/>
      <c r="GI112" s="169"/>
    </row>
    <row r="113" spans="2:191" ht="19.5" x14ac:dyDescent="0.25">
      <c r="C113" s="434"/>
      <c r="D113" s="434"/>
      <c r="E113" s="434"/>
      <c r="F113" s="170"/>
      <c r="G113" s="171"/>
      <c r="H113" s="171"/>
      <c r="I113" s="171"/>
      <c r="J113" s="172"/>
      <c r="K113" s="172"/>
      <c r="L113" s="172"/>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row>
    <row r="114" spans="2:191" ht="19.5" x14ac:dyDescent="0.25">
      <c r="C114" s="435" t="s">
        <v>291</v>
      </c>
      <c r="D114" s="435"/>
      <c r="E114" s="435"/>
      <c r="F114" s="435"/>
      <c r="G114" s="435"/>
      <c r="H114" s="435"/>
      <c r="I114" s="435"/>
      <c r="J114" s="435"/>
      <c r="K114" s="435"/>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x14ac:dyDescent="0.2">
      <c r="C115" s="436" t="s">
        <v>292</v>
      </c>
      <c r="D115" s="436"/>
      <c r="E115" s="436"/>
      <c r="F115" s="436"/>
      <c r="G115" s="436"/>
      <c r="H115" s="436"/>
      <c r="I115" s="436"/>
      <c r="J115" s="436"/>
      <c r="K115" s="436"/>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36" t="s">
        <v>882</v>
      </c>
      <c r="D116" s="436"/>
      <c r="E116" s="436"/>
      <c r="F116" s="436"/>
      <c r="G116" s="436"/>
      <c r="H116" s="436"/>
      <c r="I116" s="436"/>
      <c r="J116" s="436"/>
      <c r="K116" s="436"/>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ht="19.5" x14ac:dyDescent="0.25">
      <c r="C117" s="53"/>
      <c r="D117" s="3"/>
      <c r="E117" s="173"/>
      <c r="F117" s="170"/>
      <c r="G117" s="171"/>
      <c r="H117" s="171"/>
      <c r="I117" s="171"/>
      <c r="J117" s="172"/>
      <c r="K117" s="172"/>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899999999999999" customHeight="1" x14ac:dyDescent="0.25">
      <c r="B118" s="174"/>
      <c r="C118" s="439" t="s">
        <v>293</v>
      </c>
      <c r="D118" s="439"/>
      <c r="E118" s="439"/>
      <c r="F118" s="176"/>
      <c r="G118" s="177"/>
      <c r="H118" s="177"/>
      <c r="I118" s="177"/>
      <c r="J118" s="178"/>
      <c r="K118" s="178"/>
      <c r="L118" s="179"/>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c r="GG118" s="180"/>
      <c r="GH118" s="175" t="str">
        <f>C118</f>
        <v>MOTHERBOARDS, SBC</v>
      </c>
      <c r="GI118" s="181"/>
    </row>
    <row r="119" spans="2:191" x14ac:dyDescent="0.2">
      <c r="B119" s="79"/>
      <c r="C119" s="14" t="s">
        <v>294</v>
      </c>
      <c r="D119" s="14"/>
      <c r="E119" s="166"/>
      <c r="F119" s="111"/>
      <c r="G119" s="151"/>
      <c r="H119" s="151"/>
      <c r="I119" s="151"/>
      <c r="J119" s="113"/>
      <c r="K119" s="113"/>
      <c r="L119" s="80"/>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79"/>
      <c r="GH119" s="14" t="str">
        <f>C119</f>
        <v>DIRECTLY SUPPORTED BOARDS</v>
      </c>
      <c r="GI119" s="100"/>
    </row>
    <row r="120" spans="2:191" x14ac:dyDescent="0.2">
      <c r="B120" s="79"/>
      <c r="C120" s="120"/>
      <c r="D120" s="120" t="s">
        <v>295</v>
      </c>
      <c r="E120" s="121"/>
      <c r="F120" s="122"/>
      <c r="G120" s="344" t="s">
        <v>926</v>
      </c>
      <c r="H120" s="344" t="s">
        <v>929</v>
      </c>
      <c r="I120" s="257"/>
      <c r="J120" s="124"/>
      <c r="K120" s="124"/>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25"/>
      <c r="GI120" s="100"/>
    </row>
    <row r="121" spans="2:191" x14ac:dyDescent="0.2">
      <c r="B121" s="79"/>
      <c r="C121" s="132"/>
      <c r="D121" s="132" t="s">
        <v>13</v>
      </c>
      <c r="E121" s="133"/>
      <c r="F121" s="134"/>
      <c r="G121" s="345" t="s">
        <v>926</v>
      </c>
      <c r="H121" s="344" t="s">
        <v>929</v>
      </c>
      <c r="I121" s="348"/>
      <c r="J121" s="136"/>
      <c r="K121" s="136"/>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40"/>
      <c r="GI121" s="100"/>
    </row>
    <row r="122" spans="2:191" x14ac:dyDescent="0.2">
      <c r="B122" s="79"/>
      <c r="C122" s="132"/>
      <c r="D122" s="132" t="s">
        <v>296</v>
      </c>
      <c r="E122" s="133"/>
      <c r="F122" s="134"/>
      <c r="G122" s="345" t="s">
        <v>926</v>
      </c>
      <c r="H122" s="344" t="s">
        <v>929</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26"/>
      <c r="D123" s="126" t="s">
        <v>297</v>
      </c>
      <c r="E123" s="127"/>
      <c r="F123" s="128"/>
      <c r="G123" s="346" t="s">
        <v>926</v>
      </c>
      <c r="H123" s="347"/>
      <c r="I123" s="347"/>
      <c r="J123" s="130"/>
      <c r="K123" s="130"/>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31"/>
      <c r="GI123" s="100"/>
    </row>
    <row r="124" spans="2:191" x14ac:dyDescent="0.2">
      <c r="B124" s="79"/>
      <c r="C124" s="14" t="s">
        <v>298</v>
      </c>
      <c r="D124" s="14"/>
      <c r="E124" s="166"/>
      <c r="F124" s="111"/>
      <c r="G124" s="151"/>
      <c r="H124" s="151"/>
      <c r="I124" s="151"/>
      <c r="J124" s="113"/>
      <c r="K124" s="113"/>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4" t="str">
        <f>C124</f>
        <v>OTHER BOARDS</v>
      </c>
      <c r="GI124" s="100"/>
    </row>
    <row r="125" spans="2:191" x14ac:dyDescent="0.2">
      <c r="B125" s="79"/>
      <c r="C125" s="120"/>
      <c r="D125" s="132" t="s">
        <v>303</v>
      </c>
      <c r="E125" s="121"/>
      <c r="F125" s="122"/>
      <c r="G125" s="346" t="s">
        <v>926</v>
      </c>
      <c r="H125" s="257"/>
      <c r="I125" s="257"/>
      <c r="J125" s="124"/>
      <c r="K125" s="124"/>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25"/>
      <c r="GI125" s="100"/>
    </row>
    <row r="126" spans="2:191" x14ac:dyDescent="0.2">
      <c r="B126" s="79"/>
      <c r="C126" s="120"/>
      <c r="D126" s="132" t="s">
        <v>761</v>
      </c>
      <c r="E126" s="121"/>
      <c r="F126" s="122"/>
      <c r="G126" s="347"/>
      <c r="H126" s="344" t="s">
        <v>929</v>
      </c>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299</v>
      </c>
      <c r="E127" s="121"/>
      <c r="F127" s="122"/>
      <c r="G127" s="346" t="s">
        <v>926</v>
      </c>
      <c r="H127" s="344" t="s">
        <v>929</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300</v>
      </c>
      <c r="E128" s="121"/>
      <c r="F128" s="122"/>
      <c r="G128" s="344" t="s">
        <v>926</v>
      </c>
      <c r="H128" s="344" t="s">
        <v>929</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40"/>
      <c r="GI128" s="100"/>
    </row>
    <row r="129" spans="2:191" x14ac:dyDescent="0.2">
      <c r="B129" s="79"/>
      <c r="C129" s="126"/>
      <c r="D129" s="126" t="s">
        <v>740</v>
      </c>
      <c r="E129" s="127"/>
      <c r="F129" s="128"/>
      <c r="G129" s="345" t="s">
        <v>926</v>
      </c>
      <c r="H129" s="344" t="s">
        <v>929</v>
      </c>
      <c r="I129" s="347"/>
      <c r="J129" s="130"/>
      <c r="K129" s="130"/>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739</v>
      </c>
      <c r="E130" s="127"/>
      <c r="F130" s="128"/>
      <c r="G130" s="346" t="s">
        <v>926</v>
      </c>
      <c r="H130" s="344" t="s">
        <v>929</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301</v>
      </c>
      <c r="E131" s="127"/>
      <c r="F131" s="128"/>
      <c r="G131" s="346" t="s">
        <v>926</v>
      </c>
      <c r="H131" s="344" t="s">
        <v>929</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302</v>
      </c>
      <c r="E132" s="127"/>
      <c r="F132" s="128"/>
      <c r="G132" s="346" t="s">
        <v>926</v>
      </c>
      <c r="H132" s="344" t="s">
        <v>929</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736</v>
      </c>
      <c r="E133" s="127"/>
      <c r="F133" s="128"/>
      <c r="G133" s="346" t="s">
        <v>926</v>
      </c>
      <c r="H133" s="344" t="s">
        <v>929</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31"/>
      <c r="GI133" s="100"/>
    </row>
    <row r="134" spans="2:191" x14ac:dyDescent="0.2">
      <c r="B134" s="79"/>
      <c r="C134" s="126"/>
      <c r="D134" s="126" t="s">
        <v>734</v>
      </c>
      <c r="E134" s="127"/>
      <c r="F134" s="128"/>
      <c r="G134" s="346" t="s">
        <v>926</v>
      </c>
      <c r="H134" s="344" t="s">
        <v>929</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738</v>
      </c>
      <c r="E135" s="127"/>
      <c r="F135" s="128"/>
      <c r="G135" s="346" t="s">
        <v>926</v>
      </c>
      <c r="H135" s="344" t="s">
        <v>929</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735</v>
      </c>
      <c r="E136" s="127"/>
      <c r="F136" s="128"/>
      <c r="G136" s="346" t="s">
        <v>926</v>
      </c>
      <c r="H136" s="344" t="s">
        <v>929</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737</v>
      </c>
      <c r="E137" s="127"/>
      <c r="F137" s="128"/>
      <c r="G137" s="346" t="s">
        <v>926</v>
      </c>
      <c r="H137" s="344" t="s">
        <v>929</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741</v>
      </c>
      <c r="E138" s="127"/>
      <c r="F138" s="128"/>
      <c r="G138" s="346" t="s">
        <v>926</v>
      </c>
      <c r="H138" s="347"/>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4" t="s">
        <v>304</v>
      </c>
      <c r="D139" s="14"/>
      <c r="E139" s="166"/>
      <c r="F139" s="111"/>
      <c r="G139" s="151"/>
      <c r="H139" s="151"/>
      <c r="I139" s="151"/>
      <c r="J139" s="113"/>
      <c r="K139" s="113"/>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4" t="str">
        <f>C139</f>
        <v>SBC</v>
      </c>
      <c r="GI139" s="100"/>
    </row>
    <row r="140" spans="2:191" x14ac:dyDescent="0.2">
      <c r="B140" s="79"/>
      <c r="C140" s="120"/>
      <c r="D140" s="120" t="s">
        <v>305</v>
      </c>
      <c r="E140" s="121"/>
      <c r="F140" s="122"/>
      <c r="G140" s="344" t="s">
        <v>926</v>
      </c>
      <c r="H140" s="344" t="s">
        <v>929</v>
      </c>
      <c r="I140" s="257"/>
      <c r="J140" s="124"/>
      <c r="K140" s="124"/>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25"/>
      <c r="GI140" s="100"/>
    </row>
    <row r="141" spans="2:191" x14ac:dyDescent="0.2">
      <c r="B141" s="79"/>
      <c r="C141" s="126"/>
      <c r="D141" s="126" t="s">
        <v>306</v>
      </c>
      <c r="E141" s="127"/>
      <c r="F141" s="128"/>
      <c r="G141" s="346" t="s">
        <v>926</v>
      </c>
      <c r="H141" s="257"/>
      <c r="I141" s="347"/>
      <c r="J141" s="130"/>
      <c r="K141" s="130"/>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40"/>
      <c r="GI141" s="100"/>
    </row>
    <row r="142" spans="2:191" x14ac:dyDescent="0.2">
      <c r="B142" s="79"/>
      <c r="C142" s="126"/>
      <c r="D142" s="126" t="s">
        <v>307</v>
      </c>
      <c r="E142" s="127"/>
      <c r="F142" s="128"/>
      <c r="G142" s="346" t="s">
        <v>926</v>
      </c>
      <c r="H142" s="344" t="s">
        <v>929</v>
      </c>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308</v>
      </c>
      <c r="E143" s="127"/>
      <c r="F143" s="128"/>
      <c r="G143" s="346" t="s">
        <v>926</v>
      </c>
      <c r="H143" s="344" t="s">
        <v>929</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309</v>
      </c>
      <c r="E144" s="127"/>
      <c r="F144" s="128"/>
      <c r="G144" s="346" t="s">
        <v>926</v>
      </c>
      <c r="H144" s="347"/>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310</v>
      </c>
      <c r="E145" s="127"/>
      <c r="F145" s="128"/>
      <c r="G145" s="237"/>
      <c r="H145" s="346" t="s">
        <v>929</v>
      </c>
      <c r="I145" s="23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31"/>
      <c r="GI145" s="100"/>
    </row>
    <row r="146" spans="2:191" x14ac:dyDescent="0.2">
      <c r="B146" s="79"/>
      <c r="C146" s="440" t="s">
        <v>311</v>
      </c>
      <c r="D146" s="440"/>
      <c r="E146" s="440"/>
      <c r="F146" s="111"/>
      <c r="G146" s="151"/>
      <c r="H146" s="151"/>
      <c r="I146" s="151"/>
      <c r="J146" s="113"/>
      <c r="K146" s="113"/>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4" t="str">
        <f>C146</f>
        <v>DRIVERS</v>
      </c>
      <c r="GI146" s="100"/>
    </row>
    <row r="147" spans="2:191" x14ac:dyDescent="0.2">
      <c r="B147" s="79"/>
      <c r="C147" s="120"/>
      <c r="D147" s="120" t="s">
        <v>312</v>
      </c>
      <c r="E147" s="121"/>
      <c r="F147" s="122"/>
      <c r="G147" s="344" t="s">
        <v>926</v>
      </c>
      <c r="H147" s="344" t="s">
        <v>929</v>
      </c>
      <c r="I147" s="257"/>
      <c r="J147" s="124"/>
      <c r="K147" s="124"/>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25"/>
      <c r="GI147" s="100"/>
    </row>
    <row r="148" spans="2:191" x14ac:dyDescent="0.2">
      <c r="B148" s="79"/>
      <c r="C148" s="132"/>
      <c r="D148" s="132" t="s">
        <v>313</v>
      </c>
      <c r="E148" s="133"/>
      <c r="F148" s="134"/>
      <c r="G148" s="345" t="s">
        <v>926</v>
      </c>
      <c r="H148" s="345" t="s">
        <v>929</v>
      </c>
      <c r="I148" s="348"/>
      <c r="J148" s="136"/>
      <c r="K148" s="136"/>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40"/>
      <c r="GI148" s="100"/>
    </row>
    <row r="149" spans="2:191" x14ac:dyDescent="0.2">
      <c r="B149" s="79"/>
      <c r="C149" s="132"/>
      <c r="D149" s="132" t="s">
        <v>314</v>
      </c>
      <c r="E149" s="133"/>
      <c r="F149" s="134"/>
      <c r="G149" s="345" t="s">
        <v>926</v>
      </c>
      <c r="H149" s="345" t="s">
        <v>929</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26"/>
      <c r="D150" s="126" t="s">
        <v>315</v>
      </c>
      <c r="E150" s="127"/>
      <c r="F150" s="128"/>
      <c r="G150" s="346" t="s">
        <v>926</v>
      </c>
      <c r="H150" s="346" t="s">
        <v>929</v>
      </c>
      <c r="I150" s="347"/>
      <c r="J150" s="130"/>
      <c r="K150" s="130"/>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31"/>
      <c r="GI150" s="100"/>
    </row>
    <row r="151" spans="2:191" x14ac:dyDescent="0.2">
      <c r="B151" s="79"/>
      <c r="C151" s="440" t="s">
        <v>742</v>
      </c>
      <c r="D151" s="440"/>
      <c r="E151" s="440"/>
      <c r="F151" s="14"/>
      <c r="G151" s="151"/>
      <c r="H151" s="151"/>
      <c r="I151" s="441"/>
      <c r="J151" s="440"/>
      <c r="K151" s="440"/>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132"/>
      <c r="D152" s="132" t="s">
        <v>743</v>
      </c>
      <c r="E152" s="133"/>
      <c r="F152" s="134"/>
      <c r="G152" s="346" t="s">
        <v>926</v>
      </c>
      <c r="H152" s="344" t="s">
        <v>929</v>
      </c>
      <c r="I152" s="348"/>
      <c r="J152" s="136"/>
      <c r="K152" s="136"/>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744</v>
      </c>
      <c r="E153" s="133"/>
      <c r="F153" s="134"/>
      <c r="G153" s="346" t="s">
        <v>926</v>
      </c>
      <c r="H153" s="344" t="s">
        <v>929</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745</v>
      </c>
      <c r="E154" s="133"/>
      <c r="F154" s="134"/>
      <c r="G154" s="346" t="s">
        <v>926</v>
      </c>
      <c r="H154" s="348"/>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754</v>
      </c>
      <c r="E155" s="133"/>
      <c r="F155" s="134"/>
      <c r="G155" s="345" t="s">
        <v>926</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746</v>
      </c>
      <c r="E156" s="133"/>
      <c r="F156" s="134"/>
      <c r="G156" s="346" t="s">
        <v>926</v>
      </c>
      <c r="H156" s="344" t="s">
        <v>929</v>
      </c>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ht="19.899999999999999" customHeight="1" x14ac:dyDescent="0.25">
      <c r="B157" s="180"/>
      <c r="C157" s="439" t="s">
        <v>316</v>
      </c>
      <c r="D157" s="439"/>
      <c r="E157" s="439"/>
      <c r="F157" s="182"/>
      <c r="G157" s="177"/>
      <c r="H157" s="177"/>
      <c r="I157" s="177"/>
      <c r="J157" s="183"/>
      <c r="K157" s="178"/>
      <c r="L157" s="179"/>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G157" s="180"/>
      <c r="GH157" s="175" t="str">
        <f>C157</f>
        <v>HOTENDS</v>
      </c>
      <c r="GI157" s="181"/>
    </row>
    <row r="158" spans="2:191" x14ac:dyDescent="0.2">
      <c r="B158" s="79"/>
      <c r="C158" s="14" t="s">
        <v>317</v>
      </c>
      <c r="D158" s="14"/>
      <c r="E158" s="166"/>
      <c r="F158" s="111"/>
      <c r="G158" s="151"/>
      <c r="H158" s="151"/>
      <c r="I158" s="151"/>
      <c r="J158" s="113"/>
      <c r="K158" s="113"/>
      <c r="L158" s="80"/>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c r="DI158" s="64"/>
      <c r="DJ158" s="64"/>
      <c r="DK158" s="64"/>
      <c r="DL158" s="64"/>
      <c r="DM158" s="64"/>
      <c r="DN158" s="64"/>
      <c r="DO158" s="64"/>
      <c r="DP158" s="64"/>
      <c r="DQ158" s="64"/>
      <c r="DR158" s="64"/>
      <c r="DS158" s="64"/>
      <c r="DT158" s="64"/>
      <c r="DU158" s="64"/>
      <c r="DV158" s="64"/>
      <c r="DW158" s="64"/>
      <c r="DX158" s="64"/>
      <c r="DY158" s="64"/>
      <c r="DZ158" s="64"/>
      <c r="EA158" s="64"/>
      <c r="EB158" s="64"/>
      <c r="EC158" s="64"/>
      <c r="ED158" s="64"/>
      <c r="EE158" s="64"/>
      <c r="EF158" s="64"/>
      <c r="EG158" s="64"/>
      <c r="EH158" s="64"/>
      <c r="EI158" s="64"/>
      <c r="EJ158" s="64"/>
      <c r="EK158" s="64"/>
      <c r="EL158" s="64"/>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64"/>
      <c r="FJ158" s="64"/>
      <c r="FK158" s="64"/>
      <c r="FL158" s="64"/>
      <c r="FM158" s="64"/>
      <c r="FN158" s="64"/>
      <c r="FO158" s="3"/>
      <c r="FP158" s="3"/>
      <c r="FQ158" s="3"/>
      <c r="FR158" s="3"/>
      <c r="FS158" s="3"/>
      <c r="FT158" s="3"/>
      <c r="FU158" s="64"/>
      <c r="FV158" s="64"/>
      <c r="FW158" s="64"/>
      <c r="FX158" s="64"/>
      <c r="FY158" s="64"/>
      <c r="FZ158" s="64"/>
      <c r="GA158" s="64"/>
      <c r="GB158" s="64"/>
      <c r="GC158" s="64"/>
      <c r="GD158" s="64"/>
      <c r="GE158" s="64"/>
      <c r="GG158" s="79"/>
      <c r="GH158" s="14" t="str">
        <f>C158</f>
        <v>DIRECTLY SUPPORTED HOTENDS</v>
      </c>
      <c r="GI158" s="100"/>
    </row>
    <row r="159" spans="2:191" x14ac:dyDescent="0.2">
      <c r="B159" s="79"/>
      <c r="C159" s="120"/>
      <c r="D159" s="120" t="s">
        <v>318</v>
      </c>
      <c r="E159" s="121"/>
      <c r="F159" s="122"/>
      <c r="G159" s="345" t="s">
        <v>926</v>
      </c>
      <c r="H159" s="238"/>
      <c r="I159" s="238"/>
      <c r="J159" s="124">
        <v>16.96</v>
      </c>
      <c r="K159" s="124"/>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25"/>
      <c r="GI159" s="100"/>
    </row>
    <row r="160" spans="2:191" x14ac:dyDescent="0.2">
      <c r="B160" s="79"/>
      <c r="C160" s="132"/>
      <c r="D160" s="132" t="s">
        <v>320</v>
      </c>
      <c r="E160" s="133"/>
      <c r="F160" s="134"/>
      <c r="G160" s="345" t="s">
        <v>926</v>
      </c>
      <c r="H160" s="236"/>
      <c r="I160" s="236"/>
      <c r="J160" s="136">
        <v>6.58</v>
      </c>
      <c r="K160" s="136"/>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40"/>
      <c r="GI160" s="100"/>
    </row>
    <row r="161" spans="2:191" x14ac:dyDescent="0.2">
      <c r="B161" s="79"/>
      <c r="C161" s="132"/>
      <c r="D161" s="132" t="s">
        <v>323</v>
      </c>
      <c r="E161" s="133"/>
      <c r="F161" s="134"/>
      <c r="G161" s="345"/>
      <c r="H161" s="344" t="s">
        <v>929</v>
      </c>
      <c r="I161" s="236"/>
      <c r="J161" s="136">
        <v>34.71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509</v>
      </c>
      <c r="E162" s="133"/>
      <c r="F162" s="134"/>
      <c r="G162" s="345" t="s">
        <v>926</v>
      </c>
      <c r="H162" s="236"/>
      <c r="I162" s="236"/>
      <c r="J162" s="136">
        <v>4.6900000000000004</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516</v>
      </c>
      <c r="E163" s="133"/>
      <c r="F163" s="134"/>
      <c r="G163" s="345" t="s">
        <v>926</v>
      </c>
      <c r="H163" s="236"/>
      <c r="I163" s="236"/>
      <c r="J163" s="136">
        <v>6.84</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855</v>
      </c>
      <c r="E164" s="133"/>
      <c r="F164" s="134"/>
      <c r="G164" s="345" t="s">
        <v>926</v>
      </c>
      <c r="H164" s="238"/>
      <c r="I164" s="236"/>
      <c r="J164" s="136">
        <v>126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319</v>
      </c>
      <c r="E165" s="133"/>
      <c r="F165" s="134"/>
      <c r="G165" s="345" t="s">
        <v>926</v>
      </c>
      <c r="H165" s="344" t="s">
        <v>929</v>
      </c>
      <c r="I165" s="236"/>
      <c r="J165" s="136">
        <v>65.23</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321</v>
      </c>
      <c r="E166" s="133"/>
      <c r="F166" s="134"/>
      <c r="G166" s="236"/>
      <c r="H166" s="236"/>
      <c r="I166" s="236"/>
      <c r="J166" s="136"/>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322</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325</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326</v>
      </c>
      <c r="E169" s="133"/>
      <c r="F169" s="134"/>
      <c r="G169" s="345" t="s">
        <v>926</v>
      </c>
      <c r="H169" s="344" t="s">
        <v>929</v>
      </c>
      <c r="I169" s="236"/>
      <c r="J169" s="136">
        <v>95.83</v>
      </c>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725</v>
      </c>
      <c r="E170" s="133"/>
      <c r="F170" s="134"/>
      <c r="G170" s="345" t="s">
        <v>926</v>
      </c>
      <c r="H170" s="348"/>
      <c r="I170" s="348"/>
      <c r="J170" s="136">
        <v>95.46</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328</v>
      </c>
      <c r="E171" s="133"/>
      <c r="F171" s="134"/>
      <c r="G171" s="236"/>
      <c r="H171" s="344" t="s">
        <v>929</v>
      </c>
      <c r="I171" s="236"/>
      <c r="J171" s="136"/>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329</v>
      </c>
      <c r="E172" s="133"/>
      <c r="F172" s="134"/>
      <c r="G172" s="345" t="s">
        <v>926</v>
      </c>
      <c r="H172" s="344" t="s">
        <v>929</v>
      </c>
      <c r="I172" s="236"/>
      <c r="J172" s="136">
        <v>105.51</v>
      </c>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726</v>
      </c>
      <c r="E173" s="133"/>
      <c r="F173" s="134"/>
      <c r="G173" s="345" t="s">
        <v>926</v>
      </c>
      <c r="H173" s="348"/>
      <c r="I173" s="348"/>
      <c r="J173" s="136">
        <v>106.14</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1143</v>
      </c>
      <c r="E174" s="133"/>
      <c r="F174" s="134"/>
      <c r="G174" s="345" t="s">
        <v>926</v>
      </c>
      <c r="H174" s="348"/>
      <c r="I174" s="348"/>
      <c r="J174" s="136"/>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730</v>
      </c>
      <c r="E175" s="133"/>
      <c r="F175" s="134"/>
      <c r="G175" s="345" t="s">
        <v>926</v>
      </c>
      <c r="H175" s="236"/>
      <c r="I175" s="236"/>
      <c r="J175" s="136">
        <v>30.23</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731</v>
      </c>
      <c r="E176" s="133"/>
      <c r="F176" s="134"/>
      <c r="G176" s="345" t="s">
        <v>926</v>
      </c>
      <c r="H176" s="236"/>
      <c r="I176" s="236"/>
      <c r="J176" s="136">
        <v>35.14</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733</v>
      </c>
      <c r="E177" s="133"/>
      <c r="F177" s="134"/>
      <c r="G177" s="345" t="s">
        <v>926</v>
      </c>
      <c r="H177" s="236"/>
      <c r="I177" s="236"/>
      <c r="J177" s="136">
        <v>47.43</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727</v>
      </c>
      <c r="E178" s="133"/>
      <c r="F178" s="134"/>
      <c r="G178" s="345" t="s">
        <v>926</v>
      </c>
      <c r="H178" s="236"/>
      <c r="I178" s="236"/>
      <c r="J178" s="136">
        <v>53.45</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728</v>
      </c>
      <c r="E179" s="133"/>
      <c r="F179" s="134"/>
      <c r="G179" s="345" t="s">
        <v>927</v>
      </c>
      <c r="H179" s="236"/>
      <c r="I179" s="236"/>
      <c r="J179" s="136"/>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729</v>
      </c>
      <c r="E180" s="133"/>
      <c r="F180" s="134"/>
      <c r="G180" s="236"/>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26"/>
      <c r="D181" s="126" t="s">
        <v>939</v>
      </c>
      <c r="E181" s="127"/>
      <c r="F181" s="128"/>
      <c r="G181" s="346" t="s">
        <v>926</v>
      </c>
      <c r="H181" s="237"/>
      <c r="I181" s="237"/>
      <c r="J181" s="130"/>
      <c r="K181" s="130"/>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31"/>
      <c r="GI181" s="100"/>
    </row>
    <row r="182" spans="2:191" x14ac:dyDescent="0.2">
      <c r="B182" s="79"/>
      <c r="C182" s="126"/>
      <c r="D182" s="126" t="s">
        <v>732</v>
      </c>
      <c r="E182" s="127"/>
      <c r="F182" s="128"/>
      <c r="G182" s="346" t="s">
        <v>926</v>
      </c>
      <c r="H182" s="347"/>
      <c r="I182" s="347"/>
      <c r="J182" s="130">
        <v>147.01</v>
      </c>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4" t="s">
        <v>331</v>
      </c>
      <c r="D183" s="14"/>
      <c r="E183" s="166"/>
      <c r="F183" s="111"/>
      <c r="G183" s="151"/>
      <c r="H183" s="151"/>
      <c r="I183" s="151"/>
      <c r="J183" s="113"/>
      <c r="K183" s="113"/>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4" t="str">
        <f>C183</f>
        <v>OTHER HOTENDS</v>
      </c>
      <c r="GI183" s="100"/>
    </row>
    <row r="184" spans="2:191" x14ac:dyDescent="0.2">
      <c r="B184" s="79"/>
      <c r="C184" s="120"/>
      <c r="D184" s="120"/>
      <c r="E184" s="121"/>
      <c r="F184" s="122"/>
      <c r="G184" s="238"/>
      <c r="H184" s="238"/>
      <c r="I184" s="238"/>
      <c r="J184" s="124"/>
      <c r="K184" s="124"/>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25"/>
      <c r="GI184" s="100"/>
    </row>
    <row r="185" spans="2:191" x14ac:dyDescent="0.2">
      <c r="B185" s="79"/>
      <c r="C185" s="132"/>
      <c r="D185" s="132"/>
      <c r="E185" s="133"/>
      <c r="F185" s="134"/>
      <c r="G185" s="236"/>
      <c r="H185" s="236"/>
      <c r="I185" s="236"/>
      <c r="J185" s="136"/>
      <c r="K185" s="136"/>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40"/>
      <c r="GI185" s="100"/>
    </row>
    <row r="186" spans="2:191" x14ac:dyDescent="0.2">
      <c r="B186" s="79"/>
      <c r="C186" s="126"/>
      <c r="D186" s="126"/>
      <c r="E186" s="127"/>
      <c r="F186" s="128"/>
      <c r="G186" s="237"/>
      <c r="H186" s="237"/>
      <c r="I186" s="237"/>
      <c r="J186" s="130"/>
      <c r="K186" s="130"/>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31"/>
      <c r="GI186" s="100"/>
    </row>
    <row r="187" spans="2:191" x14ac:dyDescent="0.2">
      <c r="B187" s="79"/>
      <c r="C187" s="14" t="s">
        <v>25</v>
      </c>
      <c r="D187" s="14"/>
      <c r="E187" s="166"/>
      <c r="F187" s="111"/>
      <c r="G187" s="151"/>
      <c r="H187" s="151"/>
      <c r="I187" s="151"/>
      <c r="J187" s="113"/>
      <c r="K187" s="113"/>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4" t="str">
        <f>C187</f>
        <v>ACCESSORIES</v>
      </c>
      <c r="GI187" s="100"/>
    </row>
    <row r="188" spans="2:191" x14ac:dyDescent="0.2">
      <c r="B188" s="79"/>
      <c r="C188" s="120"/>
      <c r="D188" s="120" t="s">
        <v>332</v>
      </c>
      <c r="E188" s="121"/>
      <c r="F188" s="122"/>
      <c r="G188" s="344" t="s">
        <v>926</v>
      </c>
      <c r="H188" s="257"/>
      <c r="I188" s="257"/>
      <c r="J188" s="124"/>
      <c r="K188" s="124"/>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25"/>
      <c r="GI188" s="100"/>
    </row>
    <row r="189" spans="2:191" x14ac:dyDescent="0.2">
      <c r="B189" s="79"/>
      <c r="C189" s="120"/>
      <c r="D189" s="120" t="s">
        <v>749</v>
      </c>
      <c r="E189" s="121"/>
      <c r="F189" s="122"/>
      <c r="G189" s="344" t="s">
        <v>926</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747</v>
      </c>
      <c r="E190" s="121"/>
      <c r="F190" s="122"/>
      <c r="G190" s="344" t="s">
        <v>926</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748</v>
      </c>
      <c r="E191" s="121"/>
      <c r="F191" s="122"/>
      <c r="G191" s="344" t="s">
        <v>926</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ht="19.899999999999999" customHeight="1" x14ac:dyDescent="0.25">
      <c r="B192" s="180"/>
      <c r="C192" s="439" t="s">
        <v>333</v>
      </c>
      <c r="D192" s="439"/>
      <c r="E192" s="439"/>
      <c r="F192" s="176"/>
      <c r="G192" s="177"/>
      <c r="H192" s="177"/>
      <c r="I192" s="177"/>
      <c r="J192" s="178"/>
      <c r="K192" s="178"/>
      <c r="L192" s="179"/>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180"/>
      <c r="GH192" s="175" t="str">
        <f>C192</f>
        <v>FILAMENT EXTRUDERS</v>
      </c>
      <c r="GI192" s="181"/>
    </row>
    <row r="193" spans="2:191" x14ac:dyDescent="0.2">
      <c r="B193" s="79"/>
      <c r="C193" s="120"/>
      <c r="D193" s="120" t="s">
        <v>755</v>
      </c>
      <c r="E193" s="121"/>
      <c r="F193" s="122" t="s">
        <v>940</v>
      </c>
      <c r="G193" s="345" t="s">
        <v>926</v>
      </c>
      <c r="H193" s="238"/>
      <c r="I193" s="238"/>
      <c r="J193" s="124"/>
      <c r="K193" s="124"/>
      <c r="L193" s="80"/>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79"/>
      <c r="GH193" s="125"/>
      <c r="GI193" s="100"/>
    </row>
    <row r="194" spans="2:191" x14ac:dyDescent="0.2">
      <c r="B194" s="79"/>
      <c r="C194" s="120"/>
      <c r="D194" s="120" t="s">
        <v>755</v>
      </c>
      <c r="E194" s="121"/>
      <c r="F194" s="122"/>
      <c r="G194" s="345" t="s">
        <v>926</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756</v>
      </c>
      <c r="E195" s="121"/>
      <c r="F195" s="122"/>
      <c r="G195" s="345" t="s">
        <v>926</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32"/>
      <c r="D196" s="132" t="s">
        <v>756</v>
      </c>
      <c r="E196" s="133"/>
      <c r="F196" s="134"/>
      <c r="G196" s="345" t="s">
        <v>926</v>
      </c>
      <c r="H196" s="236"/>
      <c r="I196" s="236"/>
      <c r="J196" s="136"/>
      <c r="K196" s="136"/>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40"/>
      <c r="GI196" s="100"/>
    </row>
    <row r="197" spans="2:191" x14ac:dyDescent="0.2">
      <c r="B197" s="79"/>
      <c r="C197" s="132"/>
      <c r="D197" s="132" t="s">
        <v>334</v>
      </c>
      <c r="E197" s="133"/>
      <c r="F197" s="134"/>
      <c r="G197" s="345" t="s">
        <v>926</v>
      </c>
      <c r="H197" s="348"/>
      <c r="I197" s="348"/>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757</v>
      </c>
      <c r="E198" s="133"/>
      <c r="F198" s="134"/>
      <c r="G198" s="345" t="s">
        <v>926</v>
      </c>
      <c r="H198" s="236"/>
      <c r="I198" s="236"/>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758</v>
      </c>
      <c r="E199" s="133"/>
      <c r="F199" s="134"/>
      <c r="G199" s="345" t="s">
        <v>926</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753</v>
      </c>
      <c r="E200" s="133"/>
      <c r="F200" s="134"/>
      <c r="G200" s="345" t="s">
        <v>926</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752</v>
      </c>
      <c r="E201" s="133"/>
      <c r="F201" s="134"/>
      <c r="G201" s="345" t="s">
        <v>926</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750</v>
      </c>
      <c r="E202" s="133"/>
      <c r="F202" s="134"/>
      <c r="G202" s="345" t="s">
        <v>926</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26"/>
      <c r="D203" s="126" t="s">
        <v>751</v>
      </c>
      <c r="E203" s="127"/>
      <c r="F203" s="128"/>
      <c r="G203" s="345" t="s">
        <v>926</v>
      </c>
      <c r="H203" s="237"/>
      <c r="I203" s="237"/>
      <c r="J203" s="130"/>
      <c r="K203" s="130"/>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31"/>
      <c r="GI203" s="100"/>
    </row>
    <row r="204" spans="2:191" x14ac:dyDescent="0.2">
      <c r="B204" s="79"/>
      <c r="C204" s="126"/>
      <c r="D204" s="126" t="s">
        <v>335</v>
      </c>
      <c r="E204" s="127"/>
      <c r="F204" s="128"/>
      <c r="G204" s="345" t="s">
        <v>926</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ht="19.899999999999999" customHeight="1" x14ac:dyDescent="0.25">
      <c r="B205" s="180"/>
      <c r="C205" s="439" t="s">
        <v>336</v>
      </c>
      <c r="D205" s="439"/>
      <c r="E205" s="439"/>
      <c r="F205" s="176"/>
      <c r="G205" s="177"/>
      <c r="H205" s="177"/>
      <c r="I205" s="177"/>
      <c r="J205" s="178"/>
      <c r="K205" s="178"/>
      <c r="L205" s="179"/>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180"/>
      <c r="GH205" s="175" t="str">
        <f>C205</f>
        <v>BED PROBES</v>
      </c>
      <c r="GI205" s="181"/>
    </row>
    <row r="206" spans="2:191" x14ac:dyDescent="0.2">
      <c r="B206" s="79"/>
      <c r="C206" s="14" t="s">
        <v>337</v>
      </c>
      <c r="D206" s="14"/>
      <c r="E206" s="166"/>
      <c r="F206" s="111"/>
      <c r="G206" s="151"/>
      <c r="H206" s="151"/>
      <c r="I206" s="151"/>
      <c r="J206" s="113"/>
      <c r="K206" s="113"/>
      <c r="L206" s="80"/>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79"/>
      <c r="GH206" s="14" t="str">
        <f>C206</f>
        <v>DIRECTLY SUPPORTED PROBES</v>
      </c>
      <c r="GI206" s="100"/>
    </row>
    <row r="207" spans="2:191" x14ac:dyDescent="0.2">
      <c r="B207" s="79"/>
      <c r="C207" s="120"/>
      <c r="D207" s="120" t="s">
        <v>338</v>
      </c>
      <c r="E207" s="121"/>
      <c r="F207" s="122"/>
      <c r="G207" s="238"/>
      <c r="H207" s="238"/>
      <c r="I207" s="238"/>
      <c r="J207" s="124"/>
      <c r="K207" s="124"/>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25"/>
      <c r="GI207" s="100"/>
    </row>
    <row r="208" spans="2:191" x14ac:dyDescent="0.2">
      <c r="B208" s="79"/>
      <c r="C208" s="132"/>
      <c r="D208" s="132" t="s">
        <v>339</v>
      </c>
      <c r="E208" s="133"/>
      <c r="F208" s="134"/>
      <c r="G208" s="345" t="s">
        <v>926</v>
      </c>
      <c r="H208" s="348"/>
      <c r="I208" s="348"/>
      <c r="J208" s="136"/>
      <c r="K208" s="136"/>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40"/>
      <c r="GI208" s="100"/>
    </row>
    <row r="209" spans="2:191" x14ac:dyDescent="0.2">
      <c r="B209" s="79"/>
      <c r="C209" s="132"/>
      <c r="D209" s="132" t="s">
        <v>340</v>
      </c>
      <c r="E209" s="133"/>
      <c r="F209" s="134"/>
      <c r="G209" s="345" t="s">
        <v>926</v>
      </c>
      <c r="H209" s="236"/>
      <c r="I209" s="236"/>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341</v>
      </c>
      <c r="E210" s="133"/>
      <c r="F210" s="134"/>
      <c r="G210" s="345" t="s">
        <v>926</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342</v>
      </c>
      <c r="E211" s="133"/>
      <c r="F211" s="134"/>
      <c r="G211" s="345" t="s">
        <v>926</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343</v>
      </c>
      <c r="E212" s="133"/>
      <c r="F212" s="134"/>
      <c r="G212" s="345" t="s">
        <v>926</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344</v>
      </c>
      <c r="E213" s="133"/>
      <c r="F213" s="134"/>
      <c r="G213" s="344" t="s">
        <v>926</v>
      </c>
      <c r="H213" s="236"/>
      <c r="I213" s="345" t="s">
        <v>926</v>
      </c>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601</v>
      </c>
      <c r="E214" s="133"/>
      <c r="F214" s="134"/>
      <c r="G214" s="344" t="s">
        <v>926</v>
      </c>
      <c r="H214" s="236"/>
      <c r="I214" s="236"/>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26"/>
      <c r="D215" s="126" t="s">
        <v>345</v>
      </c>
      <c r="E215" s="127"/>
      <c r="F215" s="128"/>
      <c r="G215" s="346" t="s">
        <v>928</v>
      </c>
      <c r="H215" s="346" t="s">
        <v>926</v>
      </c>
      <c r="I215" s="130"/>
      <c r="J215" s="130"/>
      <c r="K215" s="130"/>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31"/>
      <c r="GI215" s="100"/>
    </row>
    <row r="216" spans="2:191" x14ac:dyDescent="0.2">
      <c r="B216" s="79"/>
      <c r="C216" s="14" t="s">
        <v>346</v>
      </c>
      <c r="D216" s="14"/>
      <c r="E216" s="166"/>
      <c r="F216" s="111"/>
      <c r="G216" s="151"/>
      <c r="H216" s="151"/>
      <c r="I216" s="151"/>
      <c r="J216" s="113"/>
      <c r="K216" s="113"/>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4" t="str">
        <f>C216</f>
        <v>OTHER PROBES</v>
      </c>
      <c r="GI216" s="100"/>
    </row>
    <row r="217" spans="2:191" x14ac:dyDescent="0.2">
      <c r="B217" s="79"/>
      <c r="C217" s="120"/>
      <c r="D217" s="120" t="s">
        <v>347</v>
      </c>
      <c r="E217" s="121"/>
      <c r="F217" s="122"/>
      <c r="G217" s="344" t="s">
        <v>926</v>
      </c>
      <c r="H217" s="344" t="s">
        <v>929</v>
      </c>
      <c r="I217" s="257"/>
      <c r="J217" s="124"/>
      <c r="K217" s="124"/>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25"/>
      <c r="GI217" s="100"/>
    </row>
    <row r="218" spans="2:191" x14ac:dyDescent="0.2">
      <c r="B218" s="79"/>
      <c r="C218" s="26"/>
      <c r="D218" s="26" t="s">
        <v>759</v>
      </c>
      <c r="E218" s="115"/>
      <c r="F218" s="116"/>
      <c r="G218" s="344" t="s">
        <v>926</v>
      </c>
      <c r="H218" s="335"/>
      <c r="I218" s="335"/>
      <c r="J218" s="118"/>
      <c r="K218" s="118"/>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31"/>
      <c r="GI218" s="100"/>
    </row>
    <row r="219" spans="2:191" ht="19.5" x14ac:dyDescent="0.25">
      <c r="B219" s="180"/>
      <c r="C219" s="439" t="s">
        <v>348</v>
      </c>
      <c r="D219" s="439"/>
      <c r="E219" s="439"/>
      <c r="F219" s="176"/>
      <c r="G219" s="177"/>
      <c r="H219" s="177"/>
      <c r="I219" s="177"/>
      <c r="J219" s="178"/>
      <c r="K219" s="178"/>
      <c r="L219" s="179"/>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180"/>
      <c r="GH219" s="175" t="str">
        <f>C219</f>
        <v>STEPPER MOTORS</v>
      </c>
      <c r="GI219" s="181"/>
    </row>
    <row r="220" spans="2:191" x14ac:dyDescent="0.2">
      <c r="B220" s="79"/>
      <c r="C220" s="14" t="s">
        <v>349</v>
      </c>
      <c r="D220" s="14"/>
      <c r="E220" s="166"/>
      <c r="F220" s="111"/>
      <c r="G220" s="151"/>
      <c r="H220" s="151"/>
      <c r="I220" s="151"/>
      <c r="J220" s="113"/>
      <c r="K220" s="113"/>
      <c r="L220" s="80"/>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79"/>
      <c r="GH220" s="14" t="str">
        <f>C220</f>
        <v>NEMA 17</v>
      </c>
      <c r="GI220" s="100"/>
    </row>
    <row r="221" spans="2:191" x14ac:dyDescent="0.2">
      <c r="B221" s="79"/>
      <c r="C221" s="120"/>
      <c r="D221" s="120" t="s">
        <v>350</v>
      </c>
      <c r="E221" s="121"/>
      <c r="F221" s="122"/>
      <c r="G221" s="344" t="s">
        <v>926</v>
      </c>
      <c r="H221" s="257"/>
      <c r="I221" s="257"/>
      <c r="J221" s="124"/>
      <c r="K221" s="124"/>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25"/>
      <c r="GI221" s="100"/>
    </row>
    <row r="222" spans="2:191" x14ac:dyDescent="0.2">
      <c r="B222" s="79"/>
      <c r="C222" s="126"/>
      <c r="D222" s="126" t="s">
        <v>351</v>
      </c>
      <c r="E222" s="127"/>
      <c r="F222" s="128"/>
      <c r="G222" s="346" t="s">
        <v>926</v>
      </c>
      <c r="H222" s="347"/>
      <c r="I222" s="347"/>
      <c r="J222" s="130"/>
      <c r="K222" s="130"/>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40"/>
      <c r="GI222" s="100"/>
    </row>
    <row r="223" spans="2:191" x14ac:dyDescent="0.2">
      <c r="B223" s="79"/>
      <c r="C223" s="126"/>
      <c r="D223" s="126" t="s">
        <v>352</v>
      </c>
      <c r="E223" s="127"/>
      <c r="F223" s="128"/>
      <c r="G223" s="346" t="s">
        <v>926</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353</v>
      </c>
      <c r="E224" s="127"/>
      <c r="F224" s="128"/>
      <c r="G224" s="346" t="s">
        <v>926</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354</v>
      </c>
      <c r="E225" s="127"/>
      <c r="F225" s="128"/>
      <c r="G225" s="346" t="s">
        <v>926</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355</v>
      </c>
      <c r="E226" s="127"/>
      <c r="F226" s="184" t="s">
        <v>356</v>
      </c>
      <c r="G226" s="346" t="s">
        <v>926</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357</v>
      </c>
      <c r="E227" s="127"/>
      <c r="F227" s="128"/>
      <c r="G227" s="346" t="s">
        <v>926</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767</v>
      </c>
      <c r="E228" s="127"/>
      <c r="F228" s="128"/>
      <c r="G228" s="346" t="s">
        <v>926</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c r="E229" s="127"/>
      <c r="F229" s="128"/>
      <c r="G229" s="237"/>
      <c r="H229" s="237"/>
      <c r="I229" s="23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31"/>
      <c r="GI229" s="100"/>
    </row>
    <row r="230" spans="2:191" x14ac:dyDescent="0.2">
      <c r="B230" s="79"/>
      <c r="C230" s="14" t="s">
        <v>358</v>
      </c>
      <c r="D230" s="14"/>
      <c r="E230" s="166"/>
      <c r="F230" s="111"/>
      <c r="G230" s="151"/>
      <c r="H230" s="151"/>
      <c r="I230" s="151"/>
      <c r="J230" s="113"/>
      <c r="K230" s="113"/>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4" t="str">
        <f>C230</f>
        <v>NEMA 14</v>
      </c>
      <c r="GI230" s="100"/>
    </row>
    <row r="231" spans="2:191" x14ac:dyDescent="0.2">
      <c r="B231" s="79"/>
      <c r="C231" s="26"/>
      <c r="D231" s="26" t="s">
        <v>359</v>
      </c>
      <c r="E231" s="115"/>
      <c r="F231" s="116"/>
      <c r="G231" s="349" t="s">
        <v>926</v>
      </c>
      <c r="H231" s="350"/>
      <c r="I231" s="350"/>
      <c r="J231" s="118"/>
      <c r="K231" s="118"/>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25"/>
      <c r="GI231" s="100"/>
    </row>
    <row r="232" spans="2:191" x14ac:dyDescent="0.2">
      <c r="B232" s="79"/>
      <c r="C232" s="126"/>
      <c r="D232" s="126" t="s">
        <v>360</v>
      </c>
      <c r="E232" s="127"/>
      <c r="F232" s="128"/>
      <c r="G232" s="346" t="s">
        <v>926</v>
      </c>
      <c r="H232" s="347"/>
      <c r="I232" s="347"/>
      <c r="J232" s="130"/>
      <c r="K232" s="130"/>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40"/>
      <c r="GI232" s="100"/>
    </row>
    <row r="233" spans="2:191" x14ac:dyDescent="0.2">
      <c r="B233" s="79"/>
      <c r="C233" s="126"/>
      <c r="D233" s="126" t="s">
        <v>361</v>
      </c>
      <c r="E233" s="127"/>
      <c r="F233" s="128"/>
      <c r="G233" s="346" t="s">
        <v>926</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362</v>
      </c>
      <c r="E234" s="127"/>
      <c r="F234" s="128"/>
      <c r="G234" s="346" t="s">
        <v>926</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31"/>
      <c r="GI234" s="100"/>
    </row>
    <row r="235" spans="2:191" ht="5.65" customHeight="1" x14ac:dyDescent="0.2">
      <c r="B235" s="165"/>
      <c r="C235" s="168"/>
      <c r="D235" s="168"/>
      <c r="E235" s="185"/>
      <c r="F235" s="186"/>
      <c r="G235" s="187"/>
      <c r="H235" s="187"/>
      <c r="I235" s="187"/>
      <c r="J235" s="188"/>
      <c r="K235" s="189"/>
      <c r="L235" s="190"/>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c r="BZ235" s="38"/>
      <c r="CA235" s="38"/>
      <c r="CB235" s="38"/>
      <c r="CC235" s="38"/>
      <c r="CD235" s="38"/>
      <c r="CE235" s="38"/>
      <c r="CF235" s="38"/>
      <c r="CG235" s="38"/>
      <c r="CH235" s="38"/>
      <c r="CI235" s="38"/>
      <c r="CJ235" s="38"/>
      <c r="CK235" s="38"/>
      <c r="CL235" s="38"/>
      <c r="CM235" s="38"/>
      <c r="CN235" s="38"/>
      <c r="CO235" s="38"/>
      <c r="CP235" s="38"/>
      <c r="CQ235" s="38"/>
      <c r="CR235" s="38"/>
      <c r="CS235" s="38"/>
      <c r="CT235" s="38"/>
      <c r="CU235" s="38"/>
      <c r="CV235" s="38"/>
      <c r="CW235" s="38"/>
      <c r="CX235" s="38"/>
      <c r="CY235" s="38"/>
      <c r="CZ235" s="38"/>
      <c r="DA235" s="38"/>
      <c r="DB235" s="38"/>
      <c r="DC235" s="38"/>
      <c r="DD235" s="38"/>
      <c r="DE235" s="38"/>
      <c r="DF235" s="38"/>
      <c r="DG235" s="38"/>
      <c r="DH235" s="38"/>
      <c r="DI235" s="38"/>
      <c r="DJ235" s="38"/>
      <c r="DK235" s="38"/>
      <c r="DL235" s="38"/>
      <c r="DM235" s="38"/>
      <c r="DN235" s="38"/>
      <c r="DO235" s="38"/>
      <c r="DP235" s="38"/>
      <c r="DQ235" s="38"/>
      <c r="DR235" s="38"/>
      <c r="DS235" s="38"/>
      <c r="DT235" s="38"/>
      <c r="DU235" s="38"/>
      <c r="DV235" s="38"/>
      <c r="DW235" s="38"/>
      <c r="DX235" s="38"/>
      <c r="DY235" s="38"/>
      <c r="DZ235" s="38"/>
      <c r="EA235" s="38"/>
      <c r="EB235" s="38"/>
      <c r="EC235" s="38"/>
      <c r="ED235" s="38"/>
      <c r="EE235" s="38"/>
      <c r="EF235" s="38"/>
      <c r="EG235" s="38"/>
      <c r="EH235" s="38"/>
      <c r="EI235" s="38"/>
      <c r="EJ235" s="38"/>
      <c r="EK235" s="38"/>
      <c r="EL235" s="38"/>
      <c r="EM235" s="38"/>
      <c r="EN235" s="38"/>
      <c r="EO235" s="38"/>
      <c r="EP235" s="38"/>
      <c r="EQ235" s="38"/>
      <c r="ER235" s="38"/>
      <c r="ES235" s="38"/>
      <c r="ET235" s="38"/>
      <c r="EU235" s="38"/>
      <c r="EV235" s="38"/>
      <c r="EW235" s="38"/>
      <c r="EX235" s="38"/>
      <c r="EY235" s="38"/>
      <c r="EZ235" s="38"/>
      <c r="FA235" s="38"/>
      <c r="FB235" s="38"/>
      <c r="FC235" s="38"/>
      <c r="FD235" s="38"/>
      <c r="FE235" s="38"/>
      <c r="FF235" s="38"/>
      <c r="FG235" s="38"/>
      <c r="FH235" s="38"/>
      <c r="FI235" s="38"/>
      <c r="FJ235" s="38"/>
      <c r="FK235" s="38"/>
      <c r="FL235" s="38"/>
      <c r="FM235" s="38"/>
      <c r="FN235" s="38"/>
      <c r="FO235"/>
      <c r="FP235"/>
      <c r="FQ235"/>
      <c r="FR235"/>
      <c r="FS235"/>
      <c r="FT235"/>
      <c r="FU235" s="38"/>
      <c r="FV235" s="38"/>
      <c r="FW235" s="38"/>
      <c r="FX235" s="38"/>
      <c r="FY235" s="38"/>
      <c r="FZ235" s="38"/>
      <c r="GA235" s="38"/>
      <c r="GB235" s="38"/>
      <c r="GC235" s="38"/>
      <c r="GD235" s="38"/>
      <c r="GE235" s="38"/>
      <c r="GG235" s="165"/>
      <c r="GH235" s="168"/>
      <c r="GI235" s="169"/>
    </row>
    <row r="236" spans="2:191" x14ac:dyDescent="0.2">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row>
    <row r="237" spans="2:191" ht="19.5" x14ac:dyDescent="0.25">
      <c r="C237" s="435" t="s">
        <v>1140</v>
      </c>
      <c r="D237" s="435"/>
      <c r="E237" s="435"/>
      <c r="F237" s="435"/>
      <c r="G237" s="435"/>
      <c r="H237" s="435"/>
      <c r="I237" s="435"/>
      <c r="J237" s="435"/>
      <c r="K237" s="435"/>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x14ac:dyDescent="0.2">
      <c r="C238" s="436" t="s">
        <v>1141</v>
      </c>
      <c r="D238" s="436"/>
      <c r="E238" s="436"/>
      <c r="F238" s="436"/>
      <c r="G238" s="436"/>
      <c r="H238" s="436"/>
      <c r="I238" s="436"/>
      <c r="J238" s="436"/>
      <c r="K238" s="436"/>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36" t="s">
        <v>1142</v>
      </c>
      <c r="D239" s="436"/>
      <c r="E239" s="436"/>
      <c r="F239" s="436"/>
      <c r="G239" s="436"/>
      <c r="H239" s="436"/>
      <c r="I239" s="436"/>
      <c r="J239" s="436"/>
      <c r="K239" s="436"/>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ht="19.5" x14ac:dyDescent="0.25">
      <c r="B241" s="261"/>
      <c r="C241" s="438" t="s">
        <v>784</v>
      </c>
      <c r="D241" s="438"/>
      <c r="E241" s="438"/>
      <c r="F241" s="262"/>
      <c r="G241" s="263"/>
      <c r="H241" s="263"/>
      <c r="I241" s="263"/>
      <c r="J241" s="263"/>
      <c r="K241" s="264"/>
      <c r="L241" s="265"/>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x14ac:dyDescent="0.2">
      <c r="B242" s="281"/>
      <c r="C242" s="266"/>
      <c r="D242" s="266" t="s">
        <v>785</v>
      </c>
      <c r="E242" s="267"/>
      <c r="F242" s="268"/>
      <c r="G242" s="379" t="s">
        <v>926</v>
      </c>
      <c r="H242" s="269"/>
      <c r="I242" s="269"/>
      <c r="J242" s="269"/>
      <c r="K242" s="270"/>
      <c r="L242" s="282"/>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373"/>
      <c r="D243" s="373" t="s">
        <v>1125</v>
      </c>
      <c r="E243" s="374"/>
      <c r="F243" s="375"/>
      <c r="G243" s="378" t="s">
        <v>926</v>
      </c>
      <c r="H243" s="376"/>
      <c r="I243" s="376"/>
      <c r="J243" s="376"/>
      <c r="K243" s="377"/>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1126</v>
      </c>
      <c r="E244" s="374"/>
      <c r="F244" s="375"/>
      <c r="G244" s="378" t="s">
        <v>926</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271"/>
      <c r="D245" s="271" t="s">
        <v>1124</v>
      </c>
      <c r="E245" s="272"/>
      <c r="F245" s="273"/>
      <c r="G245" s="372" t="s">
        <v>926</v>
      </c>
      <c r="H245" s="274"/>
      <c r="I245" s="372" t="s">
        <v>926</v>
      </c>
      <c r="J245" s="274"/>
      <c r="K245" s="275"/>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786</v>
      </c>
      <c r="E246" s="272"/>
      <c r="F246" s="273"/>
      <c r="G246" s="372" t="s">
        <v>926</v>
      </c>
      <c r="H246" s="274"/>
      <c r="I246" s="274"/>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1121</v>
      </c>
      <c r="E247" s="272"/>
      <c r="F247" s="273" t="s">
        <v>1122</v>
      </c>
      <c r="G247" s="372" t="s">
        <v>926</v>
      </c>
      <c r="H247" s="274"/>
      <c r="I247" s="372"/>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787</v>
      </c>
      <c r="E248" s="272"/>
      <c r="F248" s="273"/>
      <c r="G248" s="372" t="s">
        <v>926</v>
      </c>
      <c r="H248" s="274"/>
      <c r="I248" s="274"/>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1123</v>
      </c>
      <c r="E249" s="272"/>
      <c r="F249" s="273"/>
      <c r="G249" s="372" t="s">
        <v>926</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6"/>
      <c r="D250" s="276"/>
      <c r="E250" s="277"/>
      <c r="F250" s="278"/>
      <c r="G250" s="279"/>
      <c r="H250" s="279"/>
      <c r="I250" s="279"/>
      <c r="J250" s="279"/>
      <c r="K250" s="280"/>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ht="5.85" customHeight="1" x14ac:dyDescent="0.2">
      <c r="B251" s="283"/>
      <c r="C251" s="284"/>
      <c r="D251" s="284"/>
      <c r="E251" s="285"/>
      <c r="F251" s="286"/>
      <c r="G251" s="287"/>
      <c r="H251" s="287"/>
      <c r="I251" s="287"/>
      <c r="J251" s="287"/>
      <c r="K251" s="288"/>
      <c r="L251" s="289"/>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x14ac:dyDescent="0.2">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sheetData>
  <sheetProtection algorithmName="SHA-512" hashValue="yYpA4oEtesPdE8yUJ2BeXpGRDQxJVxnTNqEpcW625S/6jChAW3AW4XPs7NDXVDE7nMtTt1VoRcrZ5VviQS6tng==" saltValue="XIaiNUkk8frtqxdYCjpEJQ==" spinCount="100000" sheet="1" objects="1" scenarios="1" formatRows="0"/>
  <mergeCells count="72">
    <mergeCell ref="C241:E241"/>
    <mergeCell ref="C205:E205"/>
    <mergeCell ref="C219:E219"/>
    <mergeCell ref="C116:K116"/>
    <mergeCell ref="C118:E118"/>
    <mergeCell ref="C146:E146"/>
    <mergeCell ref="C157:E157"/>
    <mergeCell ref="C192:E192"/>
    <mergeCell ref="C151:E151"/>
    <mergeCell ref="I151:K151"/>
    <mergeCell ref="C237:K237"/>
    <mergeCell ref="C238:K238"/>
    <mergeCell ref="C239:K239"/>
    <mergeCell ref="C86:E86"/>
    <mergeCell ref="C107:E107"/>
    <mergeCell ref="C113:E113"/>
    <mergeCell ref="C114:K114"/>
    <mergeCell ref="C115:K115"/>
    <mergeCell ref="G111:H111"/>
    <mergeCell ref="C46:E46"/>
    <mergeCell ref="C49:E49"/>
    <mergeCell ref="C52:E52"/>
    <mergeCell ref="C54:E54"/>
    <mergeCell ref="C71:E71"/>
    <mergeCell ref="C36:E36"/>
    <mergeCell ref="C39:E39"/>
    <mergeCell ref="C41:E41"/>
    <mergeCell ref="C44:E44"/>
    <mergeCell ref="C11:E11"/>
    <mergeCell ref="C21:E21"/>
    <mergeCell ref="C25:E25"/>
    <mergeCell ref="C27:E27"/>
    <mergeCell ref="C31:E31"/>
    <mergeCell ref="GG3:GG4"/>
    <mergeCell ref="GH3:GH4"/>
    <mergeCell ref="C5:E5"/>
    <mergeCell ref="C6:E6"/>
    <mergeCell ref="C8:E8"/>
    <mergeCell ref="I3:I4"/>
    <mergeCell ref="G3:H4"/>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70:H70"/>
    <mergeCell ref="G62:H62"/>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s>
  <hyperlinks>
    <hyperlink ref="G12" r:id="rId1" xr:uid="{00000000-0004-0000-0100-000000000000}"/>
    <hyperlink ref="G50" r:id="rId2" xr:uid="{00000000-0004-0000-0100-000001000000}"/>
    <hyperlink ref="G51" r:id="rId3" xr:uid="{00000000-0004-0000-0100-000002000000}"/>
    <hyperlink ref="G55" r:id="rId4" xr:uid="{00000000-0004-0000-0100-000003000000}"/>
    <hyperlink ref="G60" r:id="rId5" xr:uid="{00000000-0004-0000-0100-000008000000}"/>
    <hyperlink ref="G61" r:id="rId6" xr:uid="{00000000-0004-0000-0100-000009000000}"/>
    <hyperlink ref="G63" r:id="rId7" xr:uid="{00000000-0004-0000-0100-00000A000000}"/>
    <hyperlink ref="G64" r:id="rId8" xr:uid="{00000000-0004-0000-0100-00000B000000}"/>
    <hyperlink ref="G65" r:id="rId9" xr:uid="{00000000-0004-0000-0100-00000C000000}"/>
    <hyperlink ref="G66" r:id="rId10" xr:uid="{00000000-0004-0000-0100-00000D000000}"/>
    <hyperlink ref="G67" r:id="rId11" xr:uid="{00000000-0004-0000-0100-00000E000000}"/>
    <hyperlink ref="G68" r:id="rId12" xr:uid="{00000000-0004-0000-0100-00000F000000}"/>
    <hyperlink ref="G69" r:id="rId13" xr:uid="{00000000-0004-0000-0100-000010000000}"/>
    <hyperlink ref="G72" r:id="rId14" xr:uid="{00000000-0004-0000-0100-000012000000}"/>
    <hyperlink ref="G73" r:id="rId15" xr:uid="{00000000-0004-0000-0100-000013000000}"/>
    <hyperlink ref="G87" r:id="rId16" xr:uid="{00000000-0004-0000-0100-000015000000}"/>
    <hyperlink ref="G88" r:id="rId17" xr:uid="{00000000-0004-0000-0100-000016000000}"/>
    <hyperlink ref="G89" r:id="rId18" xr:uid="{00000000-0004-0000-0100-000017000000}"/>
    <hyperlink ref="G91" r:id="rId19" xr:uid="{00000000-0004-0000-0100-000018000000}"/>
    <hyperlink ref="G92" r:id="rId20" xr:uid="{00000000-0004-0000-0100-000019000000}"/>
    <hyperlink ref="G93" r:id="rId21" xr:uid="{00000000-0004-0000-0100-00001A000000}"/>
    <hyperlink ref="G94" r:id="rId22" xr:uid="{00000000-0004-0000-0100-00001B000000}"/>
    <hyperlink ref="G95" r:id="rId23" xr:uid="{00000000-0004-0000-0100-00001C000000}"/>
    <hyperlink ref="G96" r:id="rId24" xr:uid="{00000000-0004-0000-0100-00001D000000}"/>
    <hyperlink ref="G97" r:id="rId25" xr:uid="{00000000-0004-0000-0100-00001E000000}"/>
    <hyperlink ref="G98" r:id="rId26" xr:uid="{00000000-0004-0000-0100-00001F000000}"/>
    <hyperlink ref="G99" r:id="rId27" xr:uid="{00000000-0004-0000-0100-000020000000}"/>
    <hyperlink ref="G100" r:id="rId28" xr:uid="{00000000-0004-0000-0100-000021000000}"/>
    <hyperlink ref="G101" r:id="rId29" xr:uid="{00000000-0004-0000-0100-000022000000}"/>
    <hyperlink ref="G102" r:id="rId30" xr:uid="{00000000-0004-0000-0100-000023000000}"/>
    <hyperlink ref="G106" r:id="rId31" xr:uid="{00000000-0004-0000-0100-000024000000}"/>
    <hyperlink ref="G108" r:id="rId32" xr:uid="{00000000-0004-0000-0100-000025000000}"/>
    <hyperlink ref="G109" r:id="rId33" xr:uid="{00000000-0004-0000-0100-000026000000}"/>
    <hyperlink ref="G120" r:id="rId34" xr:uid="{00000000-0004-0000-0100-000027000000}"/>
    <hyperlink ref="G121" r:id="rId35" xr:uid="{00000000-0004-0000-0100-000028000000}"/>
    <hyperlink ref="G122" r:id="rId36" xr:uid="{00000000-0004-0000-0100-000029000000}"/>
    <hyperlink ref="G123" r:id="rId37" xr:uid="{00000000-0004-0000-0100-00002A000000}"/>
    <hyperlink ref="G128" r:id="rId38" xr:uid="{00000000-0004-0000-0100-00002C000000}"/>
    <hyperlink ref="G129" r:id="rId39" xr:uid="{00000000-0004-0000-0100-00002D000000}"/>
    <hyperlink ref="G131" r:id="rId40" xr:uid="{00000000-0004-0000-0100-00002E000000}"/>
    <hyperlink ref="G132" r:id="rId41" xr:uid="{00000000-0004-0000-0100-00002F000000}"/>
    <hyperlink ref="G140" r:id="rId42" xr:uid="{00000000-0004-0000-0100-000031000000}"/>
    <hyperlink ref="G141" r:id="rId43" xr:uid="{00000000-0004-0000-0100-000032000000}"/>
    <hyperlink ref="G142" r:id="rId44" xr:uid="{00000000-0004-0000-0100-000033000000}"/>
    <hyperlink ref="G143" r:id="rId45" xr:uid="{00000000-0004-0000-0100-000034000000}"/>
    <hyperlink ref="G144" r:id="rId46" xr:uid="{00000000-0004-0000-0100-000035000000}"/>
    <hyperlink ref="G147" r:id="rId47" xr:uid="{00000000-0004-0000-0100-000036000000}"/>
    <hyperlink ref="G148" r:id="rId48" xr:uid="{00000000-0004-0000-0100-000037000000}"/>
    <hyperlink ref="G149" r:id="rId49" xr:uid="{00000000-0004-0000-0100-000038000000}"/>
    <hyperlink ref="G170" r:id="rId50" xr:uid="{00000000-0004-0000-0100-00003A000000}"/>
    <hyperlink ref="G173" r:id="rId51" xr:uid="{00000000-0004-0000-0100-00003B000000}"/>
    <hyperlink ref="G182" r:id="rId52" xr:uid="{00000000-0004-0000-0100-00003C000000}"/>
    <hyperlink ref="G188" r:id="rId53" xr:uid="{00000000-0004-0000-0100-00003D000000}"/>
    <hyperlink ref="G197" r:id="rId54" xr:uid="{00000000-0004-0000-0100-00003E000000}"/>
    <hyperlink ref="G208" r:id="rId55" xr:uid="{00000000-0004-0000-0100-00003F000000}"/>
    <hyperlink ref="G217" r:id="rId56" xr:uid="{00000000-0004-0000-0100-000040000000}"/>
    <hyperlink ref="G221" r:id="rId57" xr:uid="{00000000-0004-0000-0100-000041000000}"/>
    <hyperlink ref="G222" r:id="rId58" xr:uid="{00000000-0004-0000-0100-000042000000}"/>
    <hyperlink ref="G223" r:id="rId59" xr:uid="{00000000-0004-0000-0100-000043000000}"/>
    <hyperlink ref="G224" r:id="rId60" xr:uid="{00000000-0004-0000-0100-000044000000}"/>
    <hyperlink ref="G225" r:id="rId61" xr:uid="{00000000-0004-0000-0100-000045000000}"/>
    <hyperlink ref="G226" r:id="rId62" xr:uid="{00000000-0004-0000-0100-000046000000}"/>
    <hyperlink ref="G228" r:id="rId63" xr:uid="{00000000-0004-0000-0100-000047000000}"/>
    <hyperlink ref="G231" r:id="rId64" xr:uid="{00000000-0004-0000-0100-000048000000}"/>
    <hyperlink ref="G232" r:id="rId65" xr:uid="{00000000-0004-0000-0100-000049000000}"/>
    <hyperlink ref="G233" r:id="rId66" xr:uid="{00000000-0004-0000-0100-00004A000000}"/>
    <hyperlink ref="G234" r:id="rId67" xr:uid="{00000000-0004-0000-0100-00004B000000}"/>
    <hyperlink ref="G53" r:id="rId68" xr:uid="{84534D60-6262-4859-8199-1BC4B6FDCC20}"/>
    <hyperlink ref="G48" r:id="rId69" xr:uid="{FBE74429-224C-4743-A8CF-5DF686F4DDE1}"/>
    <hyperlink ref="G47" r:id="rId70" xr:uid="{98A1B6FF-02A4-41E1-8EA7-5E0F499AAEAC}"/>
    <hyperlink ref="G103" r:id="rId71" xr:uid="{46AFAD25-8B4E-46AA-97E5-A9660810B6BF}"/>
    <hyperlink ref="G105" r:id="rId72" xr:uid="{24B7BB64-BD5C-4578-8E04-AD99D2FAB6FC}"/>
    <hyperlink ref="G159" r:id="rId73" xr:uid="{404C303B-E7E5-48E8-8341-BAB0EC6EAF39}"/>
    <hyperlink ref="G160" r:id="rId74" xr:uid="{A4A437BF-6934-4992-AA3A-F272070C3C20}"/>
    <hyperlink ref="G169" r:id="rId75" xr:uid="{633B5DB1-2B10-4C84-8B10-01215755B1B8}"/>
    <hyperlink ref="G172" r:id="rId76" xr:uid="{1838A83E-B7BA-4785-9DEB-89F087D573C8}"/>
    <hyperlink ref="G176" r:id="rId77" xr:uid="{154251E4-CCD9-4B92-8F9C-08172DB48745}"/>
    <hyperlink ref="G175" r:id="rId78" xr:uid="{E9E461C4-4C76-43F0-BAD7-4013EC426D3F}"/>
    <hyperlink ref="G177" r:id="rId79" xr:uid="{F32BF017-750F-42AA-9530-2BCE20D71886}"/>
    <hyperlink ref="G178" r:id="rId80" xr:uid="{B2CCC11F-76EE-4DD8-B419-A23B9324C271}"/>
    <hyperlink ref="G165" r:id="rId81" xr:uid="{69737B41-6984-4844-84BD-49B7EA7C166A}"/>
    <hyperlink ref="G162" r:id="rId82" xr:uid="{DB0D8A97-251B-498A-B411-0B097BF4E8C5}"/>
    <hyperlink ref="G163" r:id="rId83" xr:uid="{05962ADD-341D-4275-A693-53B2212FAF14}"/>
    <hyperlink ref="G179" r:id="rId84" xr:uid="{9DCD74CC-1CF2-4793-9718-7EB3CDEED73B}"/>
    <hyperlink ref="G127" r:id="rId85" xr:uid="{DF367715-2BCD-4359-94D8-F8FEA9FAAF6B}"/>
    <hyperlink ref="G125" r:id="rId86" xr:uid="{B596CA9D-F1DD-4165-A036-42B35270769E}"/>
    <hyperlink ref="G134" r:id="rId87" xr:uid="{542857B2-5942-4C87-AE24-F1B63ECC48D1}"/>
    <hyperlink ref="G136" r:id="rId88" xr:uid="{69DBC658-AB31-4095-B8B1-8D633B02199B}"/>
    <hyperlink ref="G133" r:id="rId89" xr:uid="{853BD65E-5A78-41B4-B4F4-2077E2831A22}"/>
    <hyperlink ref="G137" r:id="rId90" xr:uid="{BDC0FF85-E7AF-4B51-B5C5-53BD8CA652D1}"/>
    <hyperlink ref="G130" r:id="rId91" xr:uid="{8F76D922-DFD7-401A-9F2F-E5F85BC01834}"/>
    <hyperlink ref="G135" r:id="rId92" xr:uid="{EF4DF23F-AB8A-4F37-8583-1935431FDCC6}"/>
    <hyperlink ref="G138" r:id="rId93" xr:uid="{49316216-1565-447A-9049-8D8E57AD4926}"/>
    <hyperlink ref="G150" r:id="rId94" xr:uid="{F8371531-B669-4A26-8CB2-6AD8D351C180}"/>
    <hyperlink ref="G153" r:id="rId95" xr:uid="{58C8ABC6-81B5-4E2B-BEB6-F65B8EB8D53B}"/>
    <hyperlink ref="G152" r:id="rId96" xr:uid="{72BA19A5-41FB-49DA-93E9-89CC0BA495DA}"/>
    <hyperlink ref="G154" r:id="rId97" xr:uid="{AE31C33D-50A2-4428-8FA8-3AD9ACC095EC}"/>
    <hyperlink ref="G156" r:id="rId98" xr:uid="{0F2DA56C-C4FC-4D07-9837-20E175C72F07}"/>
    <hyperlink ref="G191" r:id="rId99" xr:uid="{1827DCB3-8BBB-449D-A005-25B88AF83621}"/>
    <hyperlink ref="G190" r:id="rId100" xr:uid="{3FF3AC88-34EB-4378-87F6-7C9E013EB71C}"/>
    <hyperlink ref="G189" r:id="rId101" xr:uid="{95374F53-646F-41CD-941C-F8F3FDC6B839}"/>
    <hyperlink ref="G202" r:id="rId102" xr:uid="{FB5702A9-4466-4EF5-909D-1439BB9E5529}"/>
    <hyperlink ref="G203" r:id="rId103" xr:uid="{751ED4FA-1C90-42B9-A540-EB57A95B33A9}"/>
    <hyperlink ref="G201" r:id="rId104" xr:uid="{D02254FB-6A69-4532-9496-347B0B057A36}"/>
    <hyperlink ref="G200" r:id="rId105" xr:uid="{DDD562D0-5BAB-4BB4-A113-0AF994326D18}"/>
    <hyperlink ref="G155" r:id="rId106" xr:uid="{2214949A-3FF0-4B14-B7B2-DB88A2EE323E}"/>
    <hyperlink ref="G193" r:id="rId107" xr:uid="{FE514DDC-345C-4592-A64E-336A646C9926}"/>
    <hyperlink ref="G194" r:id="rId108" xr:uid="{D2A0F746-D86D-4E95-8BE4-15470335B5E3}"/>
    <hyperlink ref="G196" r:id="rId109" xr:uid="{EBA99604-7522-4DCA-9AA8-B5D9756F5BF7}"/>
    <hyperlink ref="G195" r:id="rId110" xr:uid="{3CD22E1B-9CCE-4F47-B30D-D0DC9B678560}"/>
    <hyperlink ref="G204" r:id="rId111" xr:uid="{05547055-436D-42F7-9B7A-F65978919699}"/>
    <hyperlink ref="G198" r:id="rId112" xr:uid="{FE988A67-B80D-4DFF-A576-46A40C6E831F}"/>
    <hyperlink ref="G199" r:id="rId113" xr:uid="{DB867436-7B5E-4B15-8B61-7869F06BAAF6}"/>
    <hyperlink ref="G214" r:id="rId114" xr:uid="{4AD4AC11-EBD2-4582-B9CA-05B02C82436C}"/>
    <hyperlink ref="G213" r:id="rId115" xr:uid="{12488AEB-4EDD-4648-A2CC-4DE380B6FBFF}"/>
    <hyperlink ref="G209" r:id="rId116" xr:uid="{35B3A428-E980-40EF-A49C-7326CF3C8ADC}"/>
    <hyperlink ref="G210" r:id="rId117" xr:uid="{457988A0-6B78-423C-9AE2-602F68C6720F}"/>
    <hyperlink ref="G212" r:id="rId118" xr:uid="{7D1B975B-3CFA-4B46-935E-1D08F8F19426}"/>
    <hyperlink ref="G211" r:id="rId119" xr:uid="{AC0A6C6B-05D1-47B9-8B60-8394AB9C2283}"/>
    <hyperlink ref="G215" r:id="rId120" xr:uid="{3F44F30C-070E-473D-9269-910BA06B356D}"/>
    <hyperlink ref="H215" r:id="rId121" xr:uid="{F3754431-F07C-4A7B-A8B4-CBD1857A7201}"/>
    <hyperlink ref="G218" r:id="rId122" xr:uid="{FEF6A93A-0554-47BC-8378-A7F6D752161C}"/>
    <hyperlink ref="G104" r:id="rId123" xr:uid="{1F1AED4A-5154-41C6-A494-EF54211F4665}"/>
    <hyperlink ref="H161" r:id="rId124" xr:uid="{70FB82FB-85EF-4791-85EA-27D370432FF7}"/>
    <hyperlink ref="H171" r:id="rId125" xr:uid="{4051D3C0-695E-4805-8423-F665F99460A4}"/>
    <hyperlink ref="H165" r:id="rId126" xr:uid="{63C3F9C2-9A0D-4B48-9BDC-606E47021255}"/>
    <hyperlink ref="H169" r:id="rId127" xr:uid="{F366190C-B396-4B35-86D9-51C88E5B3D20}"/>
    <hyperlink ref="H172" r:id="rId128" xr:uid="{2A612458-86E6-4F72-B7ED-87A043E1A25E}"/>
    <hyperlink ref="H217" r:id="rId129" xr:uid="{A9284E72-8565-4C6A-B38D-72EA5B5142FE}"/>
    <hyperlink ref="H120" r:id="rId130" xr:uid="{81462AF4-39BF-44B1-A537-ECF8740E688D}"/>
    <hyperlink ref="H135" r:id="rId131" xr:uid="{B86AA4C7-4662-4829-AE4B-6A07524C08A5}"/>
    <hyperlink ref="H121" r:id="rId132" xr:uid="{EE5244FF-EDCC-44AC-AD8A-D53736190050}"/>
    <hyperlink ref="H126" r:id="rId133" xr:uid="{34705160-D2BA-4486-B994-8B04B2EB9FCF}"/>
    <hyperlink ref="H140" r:id="rId134" xr:uid="{B0AC8FF7-3D4D-4605-A067-2EDA7F6AAEA6}"/>
    <hyperlink ref="H134" r:id="rId135" xr:uid="{7E6BB95D-86F1-40A7-BE36-10880D72DDA1}"/>
    <hyperlink ref="H136" r:id="rId136" xr:uid="{87B83DF9-C651-46E6-AEE2-8B6CF4926812}"/>
    <hyperlink ref="H122" r:id="rId137" xr:uid="{6D406BDC-58F0-4612-A589-EE4D6AE5869D}"/>
    <hyperlink ref="H156" r:id="rId138" xr:uid="{C892F5B7-D2B4-4E7B-BCFC-57F6E96B664B}"/>
    <hyperlink ref="H133" r:id="rId139" xr:uid="{8E7D7AF9-417E-4D11-BCDA-78B025F1CEDF}"/>
    <hyperlink ref="H129" r:id="rId140" xr:uid="{27F51314-7935-47BB-BA82-68358226AFB3}"/>
    <hyperlink ref="H130" r:id="rId141" xr:uid="{2B05C039-2C4E-4902-A148-4F49906243A0}"/>
    <hyperlink ref="H142" r:id="rId142" xr:uid="{A09C9E54-55EC-453B-9541-20632BA82CA1}"/>
    <hyperlink ref="H131" r:id="rId143" xr:uid="{88A893B8-F753-4B9B-9AEE-AE7796E67006}"/>
    <hyperlink ref="H143" r:id="rId144" xr:uid="{02FC5573-AE96-42A0-A825-172F40755CB8}"/>
    <hyperlink ref="H137" r:id="rId145" xr:uid="{4B833BE9-B78B-40AD-94E4-DC399505EFE3}"/>
    <hyperlink ref="H153" r:id="rId146" xr:uid="{54B92D9C-FF49-4CCE-9C97-A53F9BF925AC}"/>
    <hyperlink ref="H152" r:id="rId147" xr:uid="{24957CA9-F893-45E4-9769-36074833F29D}"/>
    <hyperlink ref="H127" r:id="rId148" xr:uid="{63353B8D-10CE-4C9A-B721-0A577159DD20}"/>
    <hyperlink ref="H128" r:id="rId149" xr:uid="{5A643DD3-7A24-493D-BCF3-66E90653B3E8}"/>
    <hyperlink ref="H132" r:id="rId150" xr:uid="{A919C492-C840-461B-BC04-7FC5157DEC2C}"/>
    <hyperlink ref="G227" r:id="rId151" xr:uid="{855F8EFC-63D5-4441-B42D-B75ACBF513A5}"/>
    <hyperlink ref="I47" r:id="rId152" xr:uid="{DF88A4FD-F6CC-4435-8F07-D47181109682}"/>
    <hyperlink ref="I48"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5"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2" r:id="rId178" xr:uid="{1B1CFEBA-D3C3-414B-8076-B1C89C3562A2}"/>
    <hyperlink ref="G43" r:id="rId179" xr:uid="{7A41BCE6-C2B3-482E-BB17-A1EEBC83E95E}"/>
    <hyperlink ref="G40" r:id="rId180" xr:uid="{9A5EECAE-F421-4F3F-A0FC-C00C4CA6C3FE}"/>
    <hyperlink ref="G26" r:id="rId181" xr:uid="{FFE34704-451A-4E64-A233-D42AB22209F6}"/>
    <hyperlink ref="I42" r:id="rId182" xr:uid="{FB9B887D-C651-4024-B6DF-B3BAA55D0D43}"/>
    <hyperlink ref="I43" r:id="rId183" xr:uid="{97A4CC87-78D6-4DAC-8AAA-5245D1F2D0E8}"/>
    <hyperlink ref="I58" r:id="rId184" xr:uid="{003AA3BF-60A7-45FA-9CE2-8E2C912477E8}"/>
    <hyperlink ref="G90" r:id="rId185" xr:uid="{FCD5124A-8BF9-44E2-91E9-004DF5FF18A9}"/>
    <hyperlink ref="I96" r:id="rId186" xr:uid="{0F14605F-CE59-46FE-934E-36A5F0ACCAE0}"/>
    <hyperlink ref="I97" r:id="rId187" xr:uid="{B292C595-4D77-4A64-BAA4-6E2690C5AB98}"/>
    <hyperlink ref="I98" r:id="rId188" xr:uid="{3C694E99-A9ED-45D9-8933-95FF72516778}"/>
    <hyperlink ref="G164" r:id="rId189" xr:uid="{AD23ADE6-0385-4B96-9064-881443E02C7C}"/>
    <hyperlink ref="G181" r:id="rId190" xr:uid="{45E59802-4EC2-4136-88B8-AB837D4F39BF}"/>
    <hyperlink ref="I213" r:id="rId191" xr:uid="{11140A5D-1380-48D7-A0CA-278B0CCC91B8}"/>
    <hyperlink ref="G110" r:id="rId192" xr:uid="{7AD657E4-05EF-46E2-A4C9-A5CE3DF4552D}"/>
    <hyperlink ref="G80" r:id="rId193" xr:uid="{B5C9B082-1425-4CFB-B209-A58C944444DB}"/>
    <hyperlink ref="H96" r:id="rId194" xr:uid="{E9EB73E4-5997-44A0-8D78-E36045FC98D6}"/>
    <hyperlink ref="H95" r:id="rId195" xr:uid="{4ACF2D37-4FBE-46FB-A988-E8FACA0C66E3}"/>
    <hyperlink ref="H91" r:id="rId196" xr:uid="{7D097A6C-04F0-4EA0-84D8-90BC86EFE7A9}"/>
    <hyperlink ref="H97" r:id="rId197" xr:uid="{EEE7F75A-34F4-4FFF-A7FC-EF089B9BB938}"/>
    <hyperlink ref="H98" r:id="rId198" xr:uid="{992A2A1C-3517-4BA1-9D66-FE448F3CA8C8}"/>
    <hyperlink ref="H147" r:id="rId199" xr:uid="{B3C13818-AD2C-4411-8FB7-06F34F8AF178}"/>
    <hyperlink ref="H148" r:id="rId200" xr:uid="{2429C169-1EF6-404B-BA79-A2E796A048B8}"/>
    <hyperlink ref="H149" r:id="rId201" xr:uid="{E3F2BB8D-A295-4EE4-88B5-431A25E4C17F}"/>
    <hyperlink ref="H150" r:id="rId202" xr:uid="{2EAAFB8E-A4C5-4896-9832-F29DBD6D7039}"/>
    <hyperlink ref="H145" r:id="rId203" xr:uid="{1B6F1927-F6F8-41ED-BD65-0AE5199A76E3}"/>
    <hyperlink ref="G246" r:id="rId204" xr:uid="{E5F178DE-F20C-4CC4-B06D-C0C285357E18}"/>
    <hyperlink ref="G247" r:id="rId205" xr:uid="{460934F5-0A2C-41F1-BE1A-266E70802DCC}"/>
    <hyperlink ref="G249" r:id="rId206" xr:uid="{537A63B1-0D39-4BC1-A4E0-D3E49D2A279A}"/>
    <hyperlink ref="I245" r:id="rId207" xr:uid="{B9A982D6-8D34-4C6C-B27C-D80E488BD3A9}"/>
    <hyperlink ref="G245" r:id="rId208" xr:uid="{26BF8751-E346-4CE9-B587-3012921BB28B}"/>
    <hyperlink ref="G243" r:id="rId209" xr:uid="{07D3AFE2-A2E2-4261-8F76-1358F3D7CCA7}"/>
    <hyperlink ref="G242" r:id="rId210" xr:uid="{D9B1D1F0-5BD2-4628-BAC1-731F8761705B}"/>
    <hyperlink ref="G248" r:id="rId211" xr:uid="{6F39A7C5-29C5-47FB-81D7-AE8B583837B2}"/>
    <hyperlink ref="G244" r:id="rId212" xr:uid="{3D6B61DF-1483-4F50-8F8E-D6ABA2A66207}"/>
    <hyperlink ref="G174" r:id="rId213" xr:uid="{29BBF443-F859-408A-8BCC-60A99BBBC065}"/>
    <hyperlink ref="I55" r:id="rId214" xr:uid="{61A951B7-36A3-4604-9793-7212B762F8DC}"/>
    <hyperlink ref="I56" r:id="rId215" xr:uid="{94F902AB-0815-489E-B0E5-01A8C3D3A2F3}"/>
    <hyperlink ref="I57" r:id="rId216" xr:uid="{221103B4-ED00-4D64-90F6-0EFAE368F1B1}"/>
    <hyperlink ref="H58" r:id="rId217" xr:uid="{94C5D9FC-25A6-4226-B3E8-7DA5402E7D1E}"/>
    <hyperlink ref="I59" r:id="rId218" xr:uid="{CCB809CE-059F-41D0-AD08-834258A74414}"/>
    <hyperlink ref="G56" r:id="rId219" xr:uid="{00000000-0004-0000-0100-000004000000}"/>
    <hyperlink ref="G57" r:id="rId220" xr:uid="{00000000-0004-0000-0100-000005000000}"/>
    <hyperlink ref="G58" r:id="rId221" xr:uid="{00000000-0004-0000-0100-000006000000}"/>
    <hyperlink ref="G59" r:id="rId222" xr:uid="{00000000-0004-0000-0100-000007000000}"/>
  </hyperlinks>
  <pageMargins left="0.78749999999999998" right="0.78749999999999998" top="1.0249999999999999" bottom="1.0249999999999999" header="0.78749999999999998" footer="0.78749999999999998"/>
  <pageSetup paperSize="9" scale="85" orientation="portrait" horizontalDpi="300" verticalDpi="300" r:id="rId223"/>
  <headerFooter>
    <oddHeader>&amp;C&amp;"Arial,obyčejné"&amp;A</oddHeader>
    <oddFooter>&amp;C&amp;"Arial,obyčejné"Stránka &amp;P</oddFooter>
  </headerFooter>
  <drawing r:id="rId22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8" activePane="bottomLeft" state="frozen"/>
      <selection pane="bottomLeft" activeCell="E28" sqref="E28"/>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08" t="s">
        <v>1138</v>
      </c>
      <c r="FG1" s="408"/>
      <c r="FH1" s="408"/>
      <c r="FI1" s="408"/>
      <c r="FJ1" s="408"/>
      <c r="XEM1"/>
      <c r="XEN1"/>
      <c r="XEO1"/>
      <c r="XEP1"/>
      <c r="XEQ1"/>
      <c r="XER1"/>
      <c r="XES1"/>
      <c r="XET1"/>
      <c r="XEU1"/>
      <c r="XEV1"/>
      <c r="XEW1"/>
      <c r="XEX1"/>
      <c r="XEY1"/>
      <c r="XEZ1"/>
      <c r="XFA1"/>
      <c r="XFB1"/>
      <c r="XFC1"/>
      <c r="XFD1"/>
    </row>
    <row r="2" spans="1:166 16367:16384" s="2" customFormat="1" ht="42.6" customHeight="1" x14ac:dyDescent="0.35">
      <c r="A2"/>
      <c r="B2" s="442"/>
      <c r="C2" s="442"/>
      <c r="D2" s="442"/>
      <c r="E2" s="442"/>
      <c r="F2" s="442"/>
      <c r="G2" s="442"/>
      <c r="H2" s="442"/>
      <c r="I2" s="442"/>
      <c r="J2" s="442"/>
      <c r="K2" s="442"/>
      <c r="L2" s="442"/>
      <c r="M2" s="40"/>
      <c r="N2" s="51"/>
      <c r="O2" s="51"/>
      <c r="P2" s="51"/>
      <c r="Q2" s="51"/>
      <c r="R2" s="51"/>
      <c r="S2" s="51"/>
      <c r="T2" s="51"/>
      <c r="U2" s="452" t="s">
        <v>52</v>
      </c>
      <c r="V2" s="452"/>
      <c r="W2" s="452"/>
      <c r="X2" s="452"/>
      <c r="Y2" s="452"/>
      <c r="Z2" s="452"/>
      <c r="AA2" s="452"/>
      <c r="AB2" s="452"/>
      <c r="AC2" s="452"/>
      <c r="AD2" s="452"/>
      <c r="AE2" s="452"/>
      <c r="AF2" s="452"/>
      <c r="AG2" s="452"/>
      <c r="AH2" s="452"/>
      <c r="AI2" s="452"/>
      <c r="AJ2" s="452"/>
      <c r="AK2" s="452"/>
      <c r="AL2" s="452"/>
      <c r="AM2" s="453" t="s">
        <v>53</v>
      </c>
      <c r="AN2" s="453"/>
      <c r="AO2" s="453"/>
      <c r="AP2" s="453"/>
      <c r="AQ2" s="453"/>
      <c r="AR2" s="453"/>
      <c r="AS2" s="452" t="s">
        <v>54</v>
      </c>
      <c r="AT2" s="452"/>
      <c r="AU2" s="452"/>
      <c r="AV2" s="452"/>
      <c r="AW2" s="452"/>
      <c r="AX2" s="452"/>
      <c r="AY2" s="452"/>
      <c r="AZ2" s="452"/>
      <c r="BA2" s="452"/>
      <c r="BB2" s="453" t="s">
        <v>55</v>
      </c>
      <c r="BC2" s="453"/>
      <c r="BD2" s="453"/>
      <c r="BE2" s="452" t="s">
        <v>3</v>
      </c>
      <c r="BF2" s="452"/>
      <c r="BG2" s="453" t="s">
        <v>56</v>
      </c>
      <c r="BH2" s="453"/>
      <c r="BI2" s="453"/>
      <c r="BJ2" s="453"/>
      <c r="BK2" s="453"/>
      <c r="BL2" s="453"/>
      <c r="BM2" s="453"/>
      <c r="BN2" s="453"/>
      <c r="BO2" s="453"/>
      <c r="BP2" s="453"/>
      <c r="BQ2" s="453"/>
      <c r="BR2" s="453"/>
      <c r="BS2" s="452" t="s">
        <v>57</v>
      </c>
      <c r="BT2" s="452"/>
      <c r="BU2" s="452"/>
      <c r="BV2" s="452"/>
      <c r="BW2" s="452"/>
      <c r="BX2" s="452"/>
      <c r="BY2" s="452"/>
      <c r="BZ2" s="452"/>
      <c r="CA2" s="452"/>
      <c r="CB2" s="452"/>
      <c r="CC2" s="452"/>
      <c r="CD2" s="452"/>
      <c r="CE2" s="452"/>
      <c r="CF2" s="452"/>
      <c r="CG2" s="452"/>
      <c r="CH2" s="452"/>
      <c r="CI2" s="454" t="s">
        <v>15</v>
      </c>
      <c r="CJ2" s="454"/>
      <c r="CK2" s="454"/>
      <c r="CL2" s="454"/>
      <c r="CM2" s="454"/>
      <c r="CN2" s="454"/>
      <c r="CO2" s="454"/>
      <c r="CP2" s="454"/>
      <c r="CQ2" s="454"/>
      <c r="CR2" s="454"/>
      <c r="CS2" s="454"/>
      <c r="CT2" s="454"/>
      <c r="CU2" s="454"/>
      <c r="CV2" s="454"/>
      <c r="CW2" s="454"/>
      <c r="CX2" s="454"/>
      <c r="CY2" s="454"/>
      <c r="CZ2" s="454"/>
      <c r="DA2" s="454"/>
      <c r="DB2" s="454"/>
      <c r="DC2" s="454"/>
      <c r="DD2" s="455" t="s">
        <v>17</v>
      </c>
      <c r="DE2" s="455"/>
      <c r="DF2" s="455"/>
      <c r="DG2" s="455"/>
      <c r="DH2" s="455"/>
      <c r="DI2" s="455"/>
      <c r="DJ2" s="455"/>
      <c r="DK2" s="455"/>
      <c r="DL2" s="455"/>
      <c r="DM2" s="455"/>
      <c r="DN2" s="455"/>
      <c r="DO2" s="455"/>
      <c r="DP2" s="455"/>
      <c r="DQ2" s="455"/>
      <c r="DR2" s="455"/>
      <c r="DS2" s="455"/>
      <c r="DT2" s="455"/>
      <c r="DU2" s="455"/>
      <c r="DV2" s="455"/>
      <c r="DW2" s="455"/>
      <c r="DX2" s="454" t="s">
        <v>21</v>
      </c>
      <c r="DY2" s="454"/>
      <c r="DZ2" s="454"/>
      <c r="EA2" s="454"/>
      <c r="EB2" s="454"/>
      <c r="EC2" s="455" t="s">
        <v>23</v>
      </c>
      <c r="ED2" s="455"/>
      <c r="EE2" s="455"/>
      <c r="EF2" s="455"/>
      <c r="EG2" s="455"/>
      <c r="EH2" s="455"/>
      <c r="EI2" s="455"/>
      <c r="EJ2" s="455"/>
      <c r="EK2" s="455"/>
      <c r="EL2" s="455"/>
      <c r="EM2" s="454" t="s">
        <v>64</v>
      </c>
      <c r="EN2" s="454"/>
      <c r="EO2" s="454"/>
      <c r="EP2" s="454"/>
      <c r="EQ2" s="454"/>
      <c r="ER2" s="454"/>
      <c r="ES2" s="201" t="s">
        <v>65</v>
      </c>
      <c r="ET2" s="202" t="s">
        <v>66</v>
      </c>
      <c r="EU2" s="200" t="s">
        <v>67</v>
      </c>
      <c r="EV2" s="455" t="s">
        <v>68</v>
      </c>
      <c r="EW2" s="455"/>
      <c r="EX2" s="455"/>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18" t="s">
        <v>74</v>
      </c>
      <c r="D3" s="421"/>
      <c r="E3" s="420" t="s">
        <v>364</v>
      </c>
      <c r="F3" s="419" t="s">
        <v>75</v>
      </c>
      <c r="G3" s="420" t="s">
        <v>365</v>
      </c>
      <c r="H3" s="431" t="s">
        <v>76</v>
      </c>
      <c r="I3" s="418" t="s">
        <v>367</v>
      </c>
      <c r="J3" s="418" t="s">
        <v>724</v>
      </c>
      <c r="K3" s="450" t="s">
        <v>366</v>
      </c>
      <c r="L3" s="445"/>
      <c r="M3" s="449"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809</v>
      </c>
      <c r="CN3" s="76" t="s">
        <v>808</v>
      </c>
      <c r="CO3" s="204" t="s">
        <v>158</v>
      </c>
      <c r="CP3" s="204" t="s">
        <v>159</v>
      </c>
      <c r="CQ3" s="76" t="s">
        <v>160</v>
      </c>
      <c r="CR3" s="76" t="s">
        <v>161</v>
      </c>
      <c r="CS3" s="76" t="s">
        <v>162</v>
      </c>
      <c r="CT3" s="204" t="s">
        <v>854</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822</v>
      </c>
      <c r="EO3" s="66" t="s">
        <v>823</v>
      </c>
      <c r="EP3" s="66" t="s">
        <v>824</v>
      </c>
      <c r="EQ3" s="66" t="s">
        <v>196</v>
      </c>
      <c r="ER3" s="68" t="s">
        <v>825</v>
      </c>
      <c r="ES3" s="76" t="s">
        <v>30</v>
      </c>
      <c r="ET3" s="205" t="s">
        <v>30</v>
      </c>
      <c r="EU3" s="76" t="s">
        <v>30</v>
      </c>
      <c r="EV3" s="76" t="s">
        <v>197</v>
      </c>
      <c r="EW3" s="76" t="s">
        <v>198</v>
      </c>
      <c r="EX3" s="76" t="s">
        <v>199</v>
      </c>
      <c r="EY3" s="76" t="s">
        <v>30</v>
      </c>
      <c r="EZ3" s="205" t="s">
        <v>30</v>
      </c>
      <c r="FA3" s="76" t="s">
        <v>30</v>
      </c>
      <c r="FB3" s="205" t="s">
        <v>200</v>
      </c>
      <c r="FC3" s="76" t="s">
        <v>30</v>
      </c>
      <c r="FD3" s="3"/>
      <c r="FE3" s="206"/>
      <c r="FF3" s="427" t="s">
        <v>201</v>
      </c>
      <c r="FG3" s="78"/>
    </row>
    <row r="4" spans="1:166 16367:16384" x14ac:dyDescent="0.2">
      <c r="B4" s="79"/>
      <c r="C4" s="444"/>
      <c r="D4" s="433"/>
      <c r="E4" s="430"/>
      <c r="F4" s="443"/>
      <c r="G4" s="430"/>
      <c r="H4" s="432"/>
      <c r="I4" s="444"/>
      <c r="J4" s="444"/>
      <c r="K4" s="451"/>
      <c r="L4" s="446"/>
      <c r="M4" s="449"/>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1</v>
      </c>
      <c r="AV4" s="82">
        <f>IF(CONFIGURATOR!$E$8="Ultimate frame",1,0)</f>
        <v>0</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1</v>
      </c>
      <c r="BU4" s="82">
        <v>1</v>
      </c>
      <c r="BV4" s="82">
        <v>1</v>
      </c>
      <c r="BW4" s="82">
        <f>IF(CONFIGURATOR!$E$14="30 mm",1,0)</f>
        <v>1</v>
      </c>
      <c r="BX4" s="82">
        <f>IF(CONFIGURATOR!$E$14="50 mm",1,0)</f>
        <v>0</v>
      </c>
      <c r="BY4" s="82">
        <v>0</v>
      </c>
      <c r="BZ4" s="82">
        <f>IF(CONFIGURATOR!$E$15="BTT SKR3EZ",1,0)</f>
        <v>0</v>
      </c>
      <c r="CA4" s="82">
        <v>0</v>
      </c>
      <c r="CB4" s="82">
        <f>IF(CONFIGURATOR!$E$15="BTT Octopus v1.1",1,0)</f>
        <v>1</v>
      </c>
      <c r="CC4" s="82">
        <f>IF(CONFIGURATOR!$E$15="BTT SKR mini E3 v2",1,0)</f>
        <v>0</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0</v>
      </c>
      <c r="DG4" s="82">
        <f>IF(CONFIGURATOR!$E$19="Integrated Sherpa micro",1,0)</f>
        <v>1</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0</v>
      </c>
      <c r="ED4" s="82">
        <f>IF(CONFIGURATOR!$E$22="KlickyPCB",1,0)</f>
        <v>0</v>
      </c>
      <c r="EE4" s="82">
        <f>IF(CONFIGURATOR!$E$22="Beacon scanner",1,0)</f>
        <v>0</v>
      </c>
      <c r="EF4" s="82">
        <f>IF(CONFIGURATOR!$E$22="BDsensor",1,0)</f>
        <v>1</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1</v>
      </c>
      <c r="EV4" s="81">
        <f>IF(CONFIGURATOR!$E$30="Frame LED",1,0)</f>
        <v>1</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27"/>
      <c r="FG4" s="100"/>
    </row>
    <row r="5" spans="1:166 16367:16384" ht="19.899999999999999" customHeight="1" x14ac:dyDescent="0.25">
      <c r="B5" s="101"/>
      <c r="C5" s="428" t="s">
        <v>371</v>
      </c>
      <c r="D5" s="428"/>
      <c r="E5" s="210"/>
      <c r="F5" s="211"/>
      <c r="G5" s="212"/>
      <c r="H5" s="213"/>
      <c r="I5" s="244">
        <f>SUM(I6:I32)</f>
        <v>322.4500000000001</v>
      </c>
      <c r="J5" s="244">
        <f>SUM(J6:J32)</f>
        <v>13.81</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1095</v>
      </c>
      <c r="E10" s="366" t="s">
        <v>1094</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1037</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0</v>
      </c>
      <c r="G26" s="220" t="s">
        <v>381</v>
      </c>
      <c r="H26" s="221"/>
      <c r="I26" s="246">
        <f t="shared" si="16"/>
        <v>0</v>
      </c>
      <c r="J26" s="246">
        <f t="shared" si="17"/>
        <v>0</v>
      </c>
      <c r="K26" s="251">
        <v>2.62</v>
      </c>
      <c r="L26" s="80"/>
      <c r="M26" s="40">
        <f t="shared" si="18"/>
        <v>1</v>
      </c>
      <c r="N26" s="207">
        <f t="shared" si="0"/>
        <v>0</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1038</v>
      </c>
      <c r="E31" s="367" t="s">
        <v>1041</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1039</v>
      </c>
      <c r="E32" s="367" t="s">
        <v>1040</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28" t="s">
        <v>421</v>
      </c>
      <c r="D33" s="428"/>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28" t="s">
        <v>444</v>
      </c>
      <c r="D46" s="428"/>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1042</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28" t="s">
        <v>55</v>
      </c>
      <c r="D72" s="428"/>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28" t="s">
        <v>14</v>
      </c>
      <c r="D77" s="428"/>
      <c r="E77" s="210"/>
      <c r="F77" s="211"/>
      <c r="G77" s="212"/>
      <c r="H77" s="213"/>
      <c r="I77" s="244">
        <f>SUM(I78:I156)</f>
        <v>3.22</v>
      </c>
      <c r="J77" s="244">
        <f>SUM(J78:J156)</f>
        <v>42.43</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47"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48"/>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47"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48"/>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855</v>
      </c>
      <c r="E93" s="366" t="s">
        <v>856</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0</v>
      </c>
      <c r="G98" s="217" t="s">
        <v>381</v>
      </c>
      <c r="H98" s="218"/>
      <c r="I98" s="245">
        <f t="shared" si="90"/>
        <v>0</v>
      </c>
      <c r="J98" s="245">
        <f t="shared" si="91"/>
        <v>0</v>
      </c>
      <c r="K98" s="250">
        <v>4.57</v>
      </c>
      <c r="L98" s="80"/>
      <c r="M98" s="40">
        <f t="shared" ref="M98:M122" si="107">IF(F98=0,IF(F98="",0,1),0)</f>
        <v>1</v>
      </c>
      <c r="N98" s="207">
        <f t="shared" si="76"/>
        <v>0</v>
      </c>
      <c r="O98" s="64">
        <f t="shared" si="77"/>
        <v>0</v>
      </c>
      <c r="P98" s="64">
        <f t="shared" si="78"/>
        <v>0</v>
      </c>
      <c r="Q98" s="64">
        <f t="shared" si="79"/>
        <v>0</v>
      </c>
      <c r="R98" s="64">
        <f t="shared" si="83"/>
        <v>0</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47"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48"/>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47"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48"/>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47"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48"/>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47" t="s">
        <v>537</v>
      </c>
      <c r="E108" s="366" t="s">
        <v>538</v>
      </c>
      <c r="F108" s="121">
        <f t="shared" si="106"/>
        <v>1</v>
      </c>
      <c r="G108" s="220" t="s">
        <v>381</v>
      </c>
      <c r="H108" s="221"/>
      <c r="I108" s="246">
        <f t="shared" si="90"/>
        <v>0</v>
      </c>
      <c r="J108" s="246">
        <f t="shared" si="91"/>
        <v>8.44</v>
      </c>
      <c r="K108" s="251">
        <v>8.44</v>
      </c>
      <c r="L108" s="80"/>
      <c r="M108" s="40">
        <f t="shared" si="107"/>
        <v>0</v>
      </c>
      <c r="N108" s="207">
        <f t="shared" si="76"/>
        <v>0</v>
      </c>
      <c r="O108" s="64">
        <f t="shared" si="77"/>
        <v>0</v>
      </c>
      <c r="P108" s="64">
        <f t="shared" si="78"/>
        <v>0</v>
      </c>
      <c r="Q108" s="64">
        <f t="shared" si="79"/>
        <v>0</v>
      </c>
      <c r="R108" s="64">
        <f t="shared" si="83"/>
        <v>1</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48"/>
      <c r="E109" s="366" t="s">
        <v>539</v>
      </c>
      <c r="F109" s="121">
        <f t="shared" si="106"/>
        <v>1</v>
      </c>
      <c r="G109" s="220" t="s">
        <v>381</v>
      </c>
      <c r="H109" s="221"/>
      <c r="I109" s="246">
        <f t="shared" si="90"/>
        <v>0</v>
      </c>
      <c r="J109" s="246">
        <f t="shared" si="91"/>
        <v>1.05</v>
      </c>
      <c r="K109" s="251">
        <v>1.05</v>
      </c>
      <c r="L109" s="80"/>
      <c r="M109" s="40">
        <f t="shared" si="107"/>
        <v>0</v>
      </c>
      <c r="N109" s="207">
        <f t="shared" si="76"/>
        <v>0</v>
      </c>
      <c r="O109" s="64">
        <f t="shared" si="77"/>
        <v>0</v>
      </c>
      <c r="P109" s="64">
        <f t="shared" si="78"/>
        <v>0</v>
      </c>
      <c r="Q109" s="64">
        <f t="shared" si="79"/>
        <v>0</v>
      </c>
      <c r="R109" s="64">
        <f t="shared" si="83"/>
        <v>1</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47"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48"/>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47"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48"/>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47"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48"/>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0</v>
      </c>
      <c r="G138" s="217" t="s">
        <v>381</v>
      </c>
      <c r="H138" s="218"/>
      <c r="I138" s="245">
        <f t="shared" si="116"/>
        <v>0</v>
      </c>
      <c r="J138" s="245">
        <f t="shared" si="117"/>
        <v>0</v>
      </c>
      <c r="K138" s="250">
        <v>2.77</v>
      </c>
      <c r="L138" s="80"/>
      <c r="M138" s="40">
        <f t="shared" ref="M138:M152" si="135">IF(F138=0,IF(F138="",0,1),0)</f>
        <v>1</v>
      </c>
      <c r="N138" s="207">
        <f t="shared" si="128"/>
        <v>0</v>
      </c>
      <c r="O138" s="64">
        <f t="shared" si="129"/>
        <v>0</v>
      </c>
      <c r="P138" s="64">
        <f t="shared" si="130"/>
        <v>0</v>
      </c>
      <c r="Q138" s="64">
        <f t="shared" si="131"/>
        <v>0</v>
      </c>
      <c r="R138" s="64">
        <f t="shared" si="83"/>
        <v>0</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1103</v>
      </c>
      <c r="E139" s="366" t="s">
        <v>1105</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1104</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1</v>
      </c>
      <c r="G146" s="220" t="s">
        <v>381</v>
      </c>
      <c r="H146" s="221"/>
      <c r="I146" s="246">
        <f t="shared" si="145"/>
        <v>0</v>
      </c>
      <c r="J146" s="246">
        <f t="shared" si="146"/>
        <v>2.81</v>
      </c>
      <c r="K146" s="251">
        <v>2.81</v>
      </c>
      <c r="L146" s="80"/>
      <c r="M146" s="40">
        <f t="shared" si="135"/>
        <v>0</v>
      </c>
      <c r="N146" s="207">
        <f t="shared" si="128"/>
        <v>0</v>
      </c>
      <c r="O146" s="64">
        <f t="shared" si="129"/>
        <v>0</v>
      </c>
      <c r="P146" s="64">
        <f t="shared" si="130"/>
        <v>0</v>
      </c>
      <c r="Q146" s="64">
        <f t="shared" si="131"/>
        <v>0</v>
      </c>
      <c r="R146" s="64">
        <f t="shared" si="144"/>
        <v>1</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827</v>
      </c>
      <c r="E147" s="366" t="s">
        <v>826</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828</v>
      </c>
      <c r="E148" s="366" t="s">
        <v>839</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819</v>
      </c>
      <c r="E155" s="366" t="s">
        <v>829</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28" t="s">
        <v>614</v>
      </c>
      <c r="D157" s="428"/>
      <c r="E157" s="210"/>
      <c r="F157" s="211"/>
      <c r="G157" s="212"/>
      <c r="H157" s="213"/>
      <c r="I157" s="244">
        <f>SUM(I158:I202)</f>
        <v>288.18</v>
      </c>
      <c r="J157" s="244">
        <f>SUM(J158:J202)</f>
        <v>413.05</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1030</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1031</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1032</v>
      </c>
      <c r="E174" s="366" t="s">
        <v>645</v>
      </c>
      <c r="F174" s="121">
        <f t="shared" si="155"/>
        <v>0</v>
      </c>
      <c r="G174" s="220" t="s">
        <v>374</v>
      </c>
      <c r="H174" s="221"/>
      <c r="I174" s="246">
        <f t="shared" si="156"/>
        <v>0</v>
      </c>
      <c r="J174" s="246">
        <f t="shared" si="157"/>
        <v>0</v>
      </c>
      <c r="K174" s="251">
        <v>10.55</v>
      </c>
      <c r="L174" s="80"/>
      <c r="M174" s="40">
        <f t="shared" si="158"/>
        <v>1</v>
      </c>
      <c r="N174" s="207">
        <f t="shared" si="128"/>
        <v>0</v>
      </c>
      <c r="O174" s="64">
        <f t="shared" si="129"/>
        <v>0</v>
      </c>
      <c r="P174" s="64">
        <f t="shared" si="130"/>
        <v>0</v>
      </c>
      <c r="Q174" s="64">
        <f t="shared" si="131"/>
        <v>0</v>
      </c>
      <c r="R174" s="64">
        <f t="shared" si="144"/>
        <v>0</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1033</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1101</v>
      </c>
      <c r="E185" s="366" t="s">
        <v>1099</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1102</v>
      </c>
      <c r="E186" s="366" t="s">
        <v>1100</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1</v>
      </c>
      <c r="G187" s="220" t="s">
        <v>381</v>
      </c>
      <c r="H187" s="221"/>
      <c r="I187" s="246">
        <f t="shared" si="156"/>
        <v>0</v>
      </c>
      <c r="J187" s="246">
        <f t="shared" si="157"/>
        <v>14.22</v>
      </c>
      <c r="K187" s="251">
        <v>14.22</v>
      </c>
      <c r="L187" s="80"/>
      <c r="M187" s="40">
        <f t="shared" si="158"/>
        <v>0</v>
      </c>
      <c r="N187" s="207">
        <f t="shared" si="128"/>
        <v>0</v>
      </c>
      <c r="O187" s="64">
        <f t="shared" si="129"/>
        <v>0</v>
      </c>
      <c r="P187" s="64">
        <f t="shared" si="130"/>
        <v>1</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1</v>
      </c>
      <c r="G188" s="220" t="s">
        <v>381</v>
      </c>
      <c r="H188" s="221"/>
      <c r="I188" s="246">
        <f t="shared" si="156"/>
        <v>0</v>
      </c>
      <c r="J188" s="246">
        <f t="shared" si="157"/>
        <v>14.37</v>
      </c>
      <c r="K188" s="251">
        <v>14.37</v>
      </c>
      <c r="L188" s="80"/>
      <c r="M188" s="40">
        <f t="shared" si="158"/>
        <v>0</v>
      </c>
      <c r="N188" s="207">
        <f t="shared" si="128"/>
        <v>0</v>
      </c>
      <c r="O188" s="64">
        <f t="shared" si="129"/>
        <v>0</v>
      </c>
      <c r="P188" s="64">
        <f t="shared" si="130"/>
        <v>1</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2</v>
      </c>
      <c r="G189" s="220" t="s">
        <v>381</v>
      </c>
      <c r="H189" s="221"/>
      <c r="I189" s="246">
        <f t="shared" si="156"/>
        <v>0</v>
      </c>
      <c r="J189" s="246">
        <f t="shared" si="157"/>
        <v>15.66</v>
      </c>
      <c r="K189" s="251">
        <v>7.83</v>
      </c>
      <c r="L189" s="80"/>
      <c r="M189" s="40">
        <f t="shared" si="158"/>
        <v>0</v>
      </c>
      <c r="N189" s="207">
        <f t="shared" si="128"/>
        <v>0</v>
      </c>
      <c r="O189" s="64">
        <f t="shared" si="129"/>
        <v>0</v>
      </c>
      <c r="P189" s="64">
        <f t="shared" si="130"/>
        <v>2</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2</v>
      </c>
      <c r="G190" s="220" t="s">
        <v>381</v>
      </c>
      <c r="H190" s="221"/>
      <c r="I190" s="246">
        <f t="shared" si="156"/>
        <v>0</v>
      </c>
      <c r="J190" s="246">
        <f t="shared" si="157"/>
        <v>38.06</v>
      </c>
      <c r="K190" s="251">
        <v>19.03</v>
      </c>
      <c r="L190" s="80"/>
      <c r="M190" s="40">
        <f t="shared" si="158"/>
        <v>0</v>
      </c>
      <c r="N190" s="207">
        <f t="shared" si="128"/>
        <v>0</v>
      </c>
      <c r="O190" s="64">
        <f t="shared" si="129"/>
        <v>0</v>
      </c>
      <c r="P190" s="64">
        <f t="shared" si="130"/>
        <v>2</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1097</v>
      </c>
      <c r="E191" s="366" t="s">
        <v>1098</v>
      </c>
      <c r="F191" s="121">
        <f t="shared" si="155"/>
        <v>2</v>
      </c>
      <c r="G191" s="220" t="s">
        <v>381</v>
      </c>
      <c r="H191" s="221"/>
      <c r="I191" s="246">
        <f t="shared" si="156"/>
        <v>0</v>
      </c>
      <c r="J191" s="246">
        <f t="shared" si="157"/>
        <v>1.36</v>
      </c>
      <c r="K191" s="251">
        <v>0.68</v>
      </c>
      <c r="L191" s="80"/>
      <c r="M191" s="40">
        <f t="shared" si="158"/>
        <v>0</v>
      </c>
      <c r="N191" s="207">
        <f t="shared" si="128"/>
        <v>0</v>
      </c>
      <c r="O191" s="64">
        <f t="shared" si="129"/>
        <v>0</v>
      </c>
      <c r="P191" s="64">
        <f t="shared" si="130"/>
        <v>2</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837</v>
      </c>
      <c r="E193" s="366" t="s">
        <v>838</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1034</v>
      </c>
      <c r="E194" s="366" t="s">
        <v>836</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3</v>
      </c>
      <c r="G195" s="220" t="s">
        <v>381</v>
      </c>
      <c r="H195" s="221"/>
      <c r="I195" s="246">
        <f t="shared" si="156"/>
        <v>0</v>
      </c>
      <c r="J195" s="246">
        <f t="shared" si="157"/>
        <v>6.93</v>
      </c>
      <c r="K195" s="251">
        <v>2.31</v>
      </c>
      <c r="L195" s="80"/>
      <c r="M195" s="40">
        <f t="shared" si="158"/>
        <v>0</v>
      </c>
      <c r="N195" s="207">
        <f t="shared" si="128"/>
        <v>0</v>
      </c>
      <c r="O195" s="64">
        <f t="shared" si="129"/>
        <v>0</v>
      </c>
      <c r="P195" s="64">
        <f t="shared" si="130"/>
        <v>3</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834</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835</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830</v>
      </c>
      <c r="E198" s="366" t="s">
        <v>833</v>
      </c>
      <c r="F198" s="121">
        <f t="shared" si="155"/>
        <v>0</v>
      </c>
      <c r="G198" s="220" t="s">
        <v>381</v>
      </c>
      <c r="H198" s="221"/>
      <c r="I198" s="246">
        <f t="shared" si="156"/>
        <v>0</v>
      </c>
      <c r="J198" s="246">
        <f t="shared" si="157"/>
        <v>0</v>
      </c>
      <c r="K198" s="251">
        <v>16.39</v>
      </c>
      <c r="L198" s="80"/>
      <c r="M198" s="40">
        <f t="shared" ref="M198:M199" si="184">IF(F198=0,IF(F198="",0,1),0)</f>
        <v>1</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0</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832</v>
      </c>
      <c r="E199" s="366" t="s">
        <v>1035</v>
      </c>
      <c r="F199" s="121">
        <f t="shared" si="155"/>
        <v>1</v>
      </c>
      <c r="G199" s="220" t="s">
        <v>381</v>
      </c>
      <c r="H199" s="221"/>
      <c r="I199" s="246">
        <f t="shared" si="156"/>
        <v>0</v>
      </c>
      <c r="J199" s="246">
        <f t="shared" si="157"/>
        <v>23.68</v>
      </c>
      <c r="K199" s="251">
        <v>23.68</v>
      </c>
      <c r="L199" s="80"/>
      <c r="M199" s="40">
        <f t="shared" si="184"/>
        <v>0</v>
      </c>
      <c r="N199" s="207">
        <f t="shared" si="185"/>
        <v>0</v>
      </c>
      <c r="O199" s="64">
        <f t="shared" si="186"/>
        <v>0</v>
      </c>
      <c r="P199" s="64">
        <f t="shared" si="187"/>
        <v>1</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831</v>
      </c>
      <c r="E200" s="366" t="s">
        <v>1036</v>
      </c>
      <c r="F200" s="121">
        <f t="shared" si="155"/>
        <v>1</v>
      </c>
      <c r="G200" s="220" t="s">
        <v>381</v>
      </c>
      <c r="H200" s="221"/>
      <c r="I200" s="246">
        <f t="shared" si="156"/>
        <v>0</v>
      </c>
      <c r="J200" s="246">
        <f t="shared" si="157"/>
        <v>16.3</v>
      </c>
      <c r="K200" s="251">
        <v>16.3</v>
      </c>
      <c r="L200" s="80"/>
      <c r="M200" s="40">
        <f t="shared" si="158"/>
        <v>0</v>
      </c>
      <c r="N200" s="207">
        <f t="shared" si="128"/>
        <v>0</v>
      </c>
      <c r="O200" s="64">
        <f t="shared" si="129"/>
        <v>0</v>
      </c>
      <c r="P200" s="64">
        <f t="shared" si="130"/>
        <v>1</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1052</v>
      </c>
      <c r="E201" s="367" t="s">
        <v>1092</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1053</v>
      </c>
      <c r="E202" s="367" t="s">
        <v>1091</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57" t="s">
        <v>679</v>
      </c>
      <c r="D203" s="457"/>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1071</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1072</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1073</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1074</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1075</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1055</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1056</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1057</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1058</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1059</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1060</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1061</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1062</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1063</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1064</v>
      </c>
      <c r="E218" s="366" t="s">
        <v>1054</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1065</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1066</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1067</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1068</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1069</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1070</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1076</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1077</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1078</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1079</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1080</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1081</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1082</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1083</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1084</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1085</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57" t="s">
        <v>710</v>
      </c>
      <c r="D235" s="457"/>
      <c r="E235" s="210"/>
      <c r="F235" s="211"/>
      <c r="G235" s="212"/>
      <c r="H235" s="212"/>
      <c r="I235" s="244">
        <f>SUM(I236:I245)</f>
        <v>111.96000000000001</v>
      </c>
      <c r="J235" s="244">
        <f>SUM(J236:J245)</f>
        <v>0</v>
      </c>
      <c r="K235" s="253"/>
      <c r="L235" s="226"/>
      <c r="M235" s="114">
        <f>M236*M237*M238*M239*M240*M241*M242*M243*M244*M245</f>
        <v>0</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1044</v>
      </c>
      <c r="E240" s="366" t="s">
        <v>1043</v>
      </c>
      <c r="F240" s="121">
        <f t="shared" si="225"/>
        <v>2</v>
      </c>
      <c r="G240" s="220" t="s">
        <v>374</v>
      </c>
      <c r="H240" s="236"/>
      <c r="I240" s="246">
        <f t="shared" si="226"/>
        <v>67.22</v>
      </c>
      <c r="J240" s="246">
        <f t="shared" si="227"/>
        <v>0</v>
      </c>
      <c r="K240" s="251">
        <v>33.61</v>
      </c>
      <c r="L240" s="80"/>
      <c r="M240" s="40">
        <f t="shared" si="228"/>
        <v>0</v>
      </c>
      <c r="N240" s="207">
        <f t="shared" si="210"/>
        <v>0</v>
      </c>
      <c r="O240" s="64">
        <f t="shared" si="211"/>
        <v>0</v>
      </c>
      <c r="P240" s="64">
        <f t="shared" si="212"/>
        <v>0</v>
      </c>
      <c r="Q240" s="64">
        <f t="shared" si="213"/>
        <v>0</v>
      </c>
      <c r="R240" s="64">
        <f t="shared" si="214"/>
        <v>0</v>
      </c>
      <c r="S240" s="64">
        <f t="shared" si="215"/>
        <v>2</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0</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1045</v>
      </c>
      <c r="E241" s="366" t="s">
        <v>1046</v>
      </c>
      <c r="F241" s="121">
        <f t="shared" ref="F241" si="237">SUM(N241:T241)</f>
        <v>4</v>
      </c>
      <c r="G241" s="220" t="s">
        <v>374</v>
      </c>
      <c r="H241" s="236"/>
      <c r="I241" s="246"/>
      <c r="J241" s="246">
        <f t="shared" si="227"/>
        <v>0</v>
      </c>
      <c r="K241" s="251">
        <v>1.53</v>
      </c>
      <c r="L241" s="80"/>
      <c r="M241" s="40">
        <f t="shared" ref="M241" si="238">IF(F241=0,IF(F241="",0,1),0)</f>
        <v>0</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4</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0</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1047</v>
      </c>
      <c r="E242" s="366" t="s">
        <v>719</v>
      </c>
      <c r="F242" s="121">
        <f t="shared" si="225"/>
        <v>2</v>
      </c>
      <c r="G242" s="220" t="s">
        <v>374</v>
      </c>
      <c r="H242" s="236"/>
      <c r="I242" s="246">
        <f t="shared" si="226"/>
        <v>44.74</v>
      </c>
      <c r="J242" s="246">
        <f t="shared" si="227"/>
        <v>0</v>
      </c>
      <c r="K242" s="251">
        <v>22.37</v>
      </c>
      <c r="L242" s="80"/>
      <c r="M242" s="40">
        <f t="shared" si="228"/>
        <v>0</v>
      </c>
      <c r="N242" s="207">
        <f t="shared" si="210"/>
        <v>0</v>
      </c>
      <c r="O242" s="64">
        <f t="shared" si="211"/>
        <v>0</v>
      </c>
      <c r="P242" s="64">
        <f t="shared" si="212"/>
        <v>0</v>
      </c>
      <c r="Q242" s="64">
        <f t="shared" si="213"/>
        <v>0</v>
      </c>
      <c r="R242" s="64">
        <f t="shared" si="214"/>
        <v>0</v>
      </c>
      <c r="S242" s="64">
        <f t="shared" si="215"/>
        <v>2</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1048</v>
      </c>
      <c r="E243" s="366" t="s">
        <v>720</v>
      </c>
      <c r="F243" s="121">
        <f t="shared" si="225"/>
        <v>4</v>
      </c>
      <c r="G243" s="220"/>
      <c r="H243" s="236" t="s">
        <v>1051</v>
      </c>
      <c r="I243" s="246">
        <f t="shared" si="226"/>
        <v>0</v>
      </c>
      <c r="J243" s="246">
        <f t="shared" si="227"/>
        <v>0</v>
      </c>
      <c r="K243" s="251">
        <v>2.78</v>
      </c>
      <c r="L243" s="80"/>
      <c r="M243" s="40">
        <f t="shared" si="228"/>
        <v>0</v>
      </c>
      <c r="N243" s="207">
        <f t="shared" si="210"/>
        <v>0</v>
      </c>
      <c r="O243" s="64">
        <f t="shared" si="211"/>
        <v>0</v>
      </c>
      <c r="P243" s="64">
        <f t="shared" si="212"/>
        <v>0</v>
      </c>
      <c r="Q243" s="64">
        <f t="shared" si="213"/>
        <v>0</v>
      </c>
      <c r="R243" s="64">
        <f t="shared" si="214"/>
        <v>0</v>
      </c>
      <c r="S243" s="64">
        <f t="shared" si="215"/>
        <v>4</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1049</v>
      </c>
      <c r="E244" s="366" t="s">
        <v>721</v>
      </c>
      <c r="F244" s="121">
        <f t="shared" si="225"/>
        <v>0</v>
      </c>
      <c r="G244" s="220"/>
      <c r="H244" s="236" t="s">
        <v>1051</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1050</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56" t="s">
        <v>1086</v>
      </c>
      <c r="D249" s="456"/>
      <c r="E249" s="387"/>
      <c r="F249" s="388"/>
      <c r="G249" s="389"/>
      <c r="H249" s="389"/>
      <c r="I249" s="389"/>
      <c r="J249" s="389"/>
      <c r="K249" s="390"/>
      <c r="L249" s="391"/>
    </row>
    <row r="250" spans="2:163" x14ac:dyDescent="0.2">
      <c r="B250" s="281"/>
      <c r="C250" s="383"/>
      <c r="D250" s="383" t="s">
        <v>1087</v>
      </c>
      <c r="E250" s="383" t="s">
        <v>1144</v>
      </c>
      <c r="F250" s="384"/>
      <c r="G250" s="385"/>
      <c r="H250" s="385"/>
      <c r="I250" s="380"/>
      <c r="J250" s="380"/>
      <c r="K250" s="381">
        <v>6.26</v>
      </c>
      <c r="L250" s="282"/>
    </row>
    <row r="251" spans="2:163" x14ac:dyDescent="0.2">
      <c r="B251" s="281"/>
      <c r="C251" s="383"/>
      <c r="D251" s="383" t="s">
        <v>1106</v>
      </c>
      <c r="E251" s="383" t="s">
        <v>1145</v>
      </c>
      <c r="F251" s="384"/>
      <c r="G251" s="385"/>
      <c r="H251" s="385"/>
      <c r="I251" s="380"/>
      <c r="J251" s="380"/>
      <c r="K251" s="381">
        <v>4.3099999999999996</v>
      </c>
      <c r="L251" s="282"/>
    </row>
    <row r="252" spans="2:163" x14ac:dyDescent="0.2">
      <c r="B252" s="281"/>
      <c r="C252" s="383"/>
      <c r="D252" s="383" t="s">
        <v>1088</v>
      </c>
      <c r="E252" s="383" t="s">
        <v>1146</v>
      </c>
      <c r="F252" s="384"/>
      <c r="G252" s="385"/>
      <c r="H252" s="385"/>
      <c r="I252" s="380"/>
      <c r="J252" s="380"/>
      <c r="K252" s="381">
        <v>10.050000000000001</v>
      </c>
      <c r="L252" s="282"/>
    </row>
    <row r="253" spans="2:163" x14ac:dyDescent="0.2">
      <c r="B253" s="281"/>
      <c r="C253" s="383"/>
      <c r="D253" s="383" t="s">
        <v>1089</v>
      </c>
      <c r="E253" s="383" t="s">
        <v>1147</v>
      </c>
      <c r="F253" s="384"/>
      <c r="G253" s="385"/>
      <c r="H253" s="385"/>
      <c r="I253" s="380"/>
      <c r="J253" s="380"/>
      <c r="K253" s="381">
        <v>2.89</v>
      </c>
      <c r="L253" s="282"/>
    </row>
    <row r="254" spans="2:163" x14ac:dyDescent="0.2">
      <c r="B254" s="281"/>
      <c r="C254" s="383"/>
      <c r="D254" s="383" t="s">
        <v>1110</v>
      </c>
      <c r="E254" s="383" t="s">
        <v>1148</v>
      </c>
      <c r="F254" s="384"/>
      <c r="G254" s="385"/>
      <c r="H254" s="385"/>
      <c r="I254" s="380"/>
      <c r="J254" s="380"/>
      <c r="K254" s="381">
        <v>2.87</v>
      </c>
      <c r="L254" s="282"/>
    </row>
    <row r="255" spans="2:163" x14ac:dyDescent="0.2">
      <c r="B255" s="281"/>
      <c r="C255" s="383"/>
      <c r="D255" s="383" t="s">
        <v>1107</v>
      </c>
      <c r="E255" s="383" t="s">
        <v>1149</v>
      </c>
      <c r="F255" s="384"/>
      <c r="G255" s="385"/>
      <c r="H255" s="385"/>
      <c r="I255" s="380"/>
      <c r="J255" s="380"/>
      <c r="K255" s="381">
        <v>3.59</v>
      </c>
      <c r="L255" s="282"/>
    </row>
    <row r="256" spans="2:163" x14ac:dyDescent="0.2">
      <c r="B256" s="281"/>
      <c r="C256" s="383"/>
      <c r="D256" s="383" t="s">
        <v>1090</v>
      </c>
      <c r="E256" s="383" t="s">
        <v>1150</v>
      </c>
      <c r="F256" s="384"/>
      <c r="G256" s="385"/>
      <c r="H256" s="385"/>
      <c r="I256" s="380"/>
      <c r="J256" s="380"/>
      <c r="K256" s="381">
        <v>3.91</v>
      </c>
      <c r="L256" s="282"/>
    </row>
    <row r="257" spans="2:12" x14ac:dyDescent="0.2">
      <c r="B257" s="281"/>
      <c r="C257" s="383"/>
      <c r="D257" s="383" t="s">
        <v>1108</v>
      </c>
      <c r="E257" s="383" t="s">
        <v>1151</v>
      </c>
      <c r="F257" s="384"/>
      <c r="G257" s="385"/>
      <c r="H257" s="385"/>
      <c r="I257" s="380"/>
      <c r="J257" s="380"/>
      <c r="K257" s="381">
        <v>2.61</v>
      </c>
      <c r="L257" s="282"/>
    </row>
    <row r="258" spans="2:12" x14ac:dyDescent="0.2">
      <c r="B258" s="281"/>
      <c r="C258" s="383"/>
      <c r="D258" s="383" t="s">
        <v>1109</v>
      </c>
      <c r="E258" s="383" t="s">
        <v>1152</v>
      </c>
      <c r="F258" s="384"/>
      <c r="G258" s="385"/>
      <c r="H258" s="385"/>
      <c r="I258" s="380"/>
      <c r="J258" s="380"/>
      <c r="K258" s="381">
        <v>3.07</v>
      </c>
      <c r="L258" s="282"/>
    </row>
    <row r="259" spans="2:12" x14ac:dyDescent="0.2">
      <c r="B259" s="281"/>
      <c r="C259" s="383"/>
      <c r="D259" s="383" t="s">
        <v>1093</v>
      </c>
      <c r="E259" s="383" t="s">
        <v>1153</v>
      </c>
      <c r="F259" s="384"/>
      <c r="G259" s="385"/>
      <c r="H259" s="385"/>
      <c r="I259" s="380"/>
      <c r="J259" s="380"/>
      <c r="K259" s="381"/>
      <c r="L259" s="282"/>
    </row>
    <row r="260" spans="2:12" x14ac:dyDescent="0.2">
      <c r="B260" s="281"/>
      <c r="C260" s="383"/>
      <c r="D260" s="383" t="s">
        <v>1096</v>
      </c>
      <c r="E260" s="383" t="s">
        <v>1154</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gwe7QDA5o5t1Bpdx4behJDO3wmzrt5RpBrQXZ+QxIPrSSsRKiwOcWXGq38y8kIc2wiheK4hRFfPBu1CgB7wRqA==" saltValue="1CUQH2Xrl3zyUn9+orUjBg==" spinCount="100000" sheet="1" objects="1" scenarios="1" formatRows="0"/>
  <mergeCells count="44">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D102:D103"/>
    <mergeCell ref="D104:D105"/>
    <mergeCell ref="FF3:FF4"/>
    <mergeCell ref="M3:M4"/>
    <mergeCell ref="I3:I4"/>
    <mergeCell ref="K3:K4"/>
    <mergeCell ref="B2:L2"/>
    <mergeCell ref="H3:H4"/>
    <mergeCell ref="G3:G4"/>
    <mergeCell ref="F3:F4"/>
    <mergeCell ref="E3:E4"/>
    <mergeCell ref="C3:D4"/>
    <mergeCell ref="L3:L4"/>
    <mergeCell ref="J3:J4"/>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2:J56"/>
  <sheetViews>
    <sheetView showGridLines="0" workbookViewId="0">
      <selection activeCell="F70" sqref="F70"/>
    </sheetView>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80.7109375" customWidth="1"/>
    <col min="8" max="8" width="20.7109375" customWidth="1"/>
    <col min="9" max="9" width="10.7109375" customWidth="1"/>
    <col min="10" max="10" width="1.140625" customWidth="1"/>
  </cols>
  <sheetData>
    <row r="2" spans="1:10" ht="30" x14ac:dyDescent="0.4">
      <c r="A2" s="2"/>
      <c r="B2" s="324"/>
      <c r="C2" s="458" t="s">
        <v>1173</v>
      </c>
      <c r="D2" s="458"/>
      <c r="E2" s="458"/>
      <c r="F2" s="458"/>
      <c r="G2" s="458"/>
      <c r="H2" s="458"/>
      <c r="I2" s="458"/>
      <c r="J2" s="324"/>
    </row>
    <row r="3" spans="1:10" ht="30" x14ac:dyDescent="0.4">
      <c r="C3" s="459" t="s">
        <v>1172</v>
      </c>
      <c r="D3" s="459"/>
      <c r="E3" s="459"/>
      <c r="F3" s="459"/>
      <c r="G3" s="459"/>
      <c r="H3" s="459"/>
      <c r="I3" s="459"/>
    </row>
    <row r="4" spans="1:10" ht="20.100000000000001" customHeight="1" x14ac:dyDescent="0.2">
      <c r="B4" s="340"/>
      <c r="C4" s="342" t="s">
        <v>891</v>
      </c>
      <c r="D4" s="342" t="s">
        <v>890</v>
      </c>
      <c r="E4" s="342"/>
      <c r="F4" s="342" t="s">
        <v>889</v>
      </c>
      <c r="G4" s="342" t="s">
        <v>76</v>
      </c>
      <c r="H4" s="342" t="s">
        <v>77</v>
      </c>
      <c r="I4" s="342" t="s">
        <v>79</v>
      </c>
      <c r="J4" s="341"/>
    </row>
    <row r="5" spans="1:10" ht="20.100000000000001" customHeight="1" x14ac:dyDescent="0.25">
      <c r="B5" s="101"/>
      <c r="C5" s="428" t="s">
        <v>885</v>
      </c>
      <c r="D5" s="428"/>
      <c r="E5" s="428"/>
      <c r="F5" s="102"/>
      <c r="G5" s="103"/>
      <c r="H5" s="103"/>
      <c r="I5" s="105"/>
      <c r="J5" s="106"/>
    </row>
    <row r="6" spans="1:10" x14ac:dyDescent="0.2">
      <c r="B6" s="79"/>
      <c r="C6" s="325" t="s">
        <v>1158</v>
      </c>
      <c r="D6" s="325"/>
      <c r="E6" s="67"/>
      <c r="F6" s="327"/>
      <c r="G6" s="334"/>
      <c r="H6" s="336"/>
      <c r="I6" s="328"/>
      <c r="J6" s="80"/>
    </row>
    <row r="7" spans="1:10" x14ac:dyDescent="0.2">
      <c r="B7" s="79"/>
      <c r="C7" s="120"/>
      <c r="D7" s="120" t="s">
        <v>1160</v>
      </c>
      <c r="E7" s="238"/>
      <c r="F7" s="122" t="s">
        <v>1165</v>
      </c>
      <c r="G7" s="329" t="s">
        <v>1168</v>
      </c>
      <c r="H7" s="392" t="s">
        <v>926</v>
      </c>
      <c r="I7" s="124">
        <v>43.15</v>
      </c>
      <c r="J7" s="80"/>
    </row>
    <row r="8" spans="1:10" x14ac:dyDescent="0.2">
      <c r="B8" s="79"/>
      <c r="C8" s="126"/>
      <c r="D8" s="126"/>
      <c r="E8" s="237"/>
      <c r="F8" s="128"/>
      <c r="G8" s="330"/>
      <c r="H8" s="333"/>
      <c r="I8" s="130"/>
      <c r="J8" s="80"/>
    </row>
    <row r="9" spans="1:10" x14ac:dyDescent="0.2">
      <c r="B9" s="79"/>
      <c r="C9" s="126"/>
      <c r="D9" s="126" t="s">
        <v>1159</v>
      </c>
      <c r="E9" s="237"/>
      <c r="F9" s="128" t="s">
        <v>1163</v>
      </c>
      <c r="G9" s="330" t="s">
        <v>1166</v>
      </c>
      <c r="H9" s="393" t="s">
        <v>926</v>
      </c>
      <c r="I9" s="130">
        <v>43.15</v>
      </c>
      <c r="J9" s="80"/>
    </row>
    <row r="10" spans="1:10" x14ac:dyDescent="0.2">
      <c r="B10" s="79"/>
      <c r="C10" s="126"/>
      <c r="D10" s="126"/>
      <c r="E10" s="237"/>
      <c r="F10" s="128"/>
      <c r="G10" s="330" t="s">
        <v>1162</v>
      </c>
      <c r="H10" s="333"/>
      <c r="I10" s="130"/>
      <c r="J10" s="80"/>
    </row>
    <row r="11" spans="1:10" x14ac:dyDescent="0.2">
      <c r="B11" s="79"/>
      <c r="C11" s="126"/>
      <c r="D11" s="126" t="s">
        <v>1161</v>
      </c>
      <c r="E11" s="237"/>
      <c r="F11" s="128" t="s">
        <v>1164</v>
      </c>
      <c r="G11" s="330" t="s">
        <v>1167</v>
      </c>
      <c r="H11" s="393" t="s">
        <v>926</v>
      </c>
      <c r="I11" s="130">
        <v>49.48</v>
      </c>
      <c r="J11" s="80"/>
    </row>
    <row r="12" spans="1:10" x14ac:dyDescent="0.2">
      <c r="B12" s="79"/>
      <c r="C12" s="126"/>
      <c r="D12" s="126"/>
      <c r="E12" s="237"/>
      <c r="F12" s="128"/>
      <c r="G12" s="330" t="s">
        <v>1169</v>
      </c>
      <c r="H12" s="333"/>
      <c r="I12" s="130"/>
      <c r="J12" s="80"/>
    </row>
    <row r="13" spans="1:10" x14ac:dyDescent="0.2">
      <c r="B13" s="79"/>
      <c r="C13" s="126"/>
      <c r="D13" s="126"/>
      <c r="E13" s="237"/>
      <c r="F13" s="128"/>
      <c r="G13" s="330"/>
      <c r="H13" s="338"/>
      <c r="I13" s="130"/>
      <c r="J13" s="80"/>
    </row>
    <row r="14" spans="1:10" x14ac:dyDescent="0.2">
      <c r="B14" s="79"/>
      <c r="C14" s="14" t="s">
        <v>1171</v>
      </c>
      <c r="D14" s="14"/>
      <c r="E14" s="151"/>
      <c r="F14" s="111"/>
      <c r="G14" s="395"/>
      <c r="H14" s="339"/>
      <c r="I14" s="113"/>
      <c r="J14" s="80"/>
    </row>
    <row r="15" spans="1:10" x14ac:dyDescent="0.2">
      <c r="B15" s="79"/>
      <c r="C15" s="26"/>
      <c r="D15" s="460" t="s">
        <v>1170</v>
      </c>
      <c r="E15" s="460"/>
      <c r="F15" s="460"/>
      <c r="G15" s="460"/>
      <c r="H15" s="460"/>
      <c r="I15" s="460"/>
      <c r="J15" s="80"/>
    </row>
    <row r="16" spans="1:10" x14ac:dyDescent="0.2">
      <c r="B16" s="79"/>
      <c r="C16" s="132"/>
      <c r="D16" s="461"/>
      <c r="E16" s="461"/>
      <c r="F16" s="461"/>
      <c r="G16" s="461"/>
      <c r="H16" s="461"/>
      <c r="I16" s="461"/>
      <c r="J16" s="80"/>
    </row>
    <row r="17" spans="2:10" x14ac:dyDescent="0.2">
      <c r="B17" s="79"/>
      <c r="C17" s="26"/>
      <c r="D17" s="26"/>
      <c r="E17" s="335"/>
      <c r="F17" s="116"/>
      <c r="G17" s="394"/>
      <c r="H17" s="337"/>
      <c r="I17" s="118"/>
      <c r="J17" s="80"/>
    </row>
    <row r="18" spans="2:10" ht="5.85" customHeight="1" x14ac:dyDescent="0.2">
      <c r="B18" s="165"/>
      <c r="C18" s="14"/>
      <c r="D18" s="14"/>
      <c r="E18" s="151"/>
      <c r="F18" s="111"/>
      <c r="G18" s="112"/>
      <c r="H18" s="339"/>
      <c r="I18" s="113"/>
      <c r="J18" s="167"/>
    </row>
    <row r="19" spans="2:10" hidden="1" x14ac:dyDescent="0.2">
      <c r="C19" s="3"/>
      <c r="D19" s="3"/>
      <c r="E19" s="64"/>
      <c r="F19" s="170"/>
      <c r="G19" s="171"/>
      <c r="H19" s="343"/>
      <c r="I19" s="172"/>
      <c r="J19" s="172"/>
    </row>
    <row r="20" spans="2:10" ht="20.100000000000001" hidden="1" customHeight="1" x14ac:dyDescent="0.25">
      <c r="B20" s="101"/>
      <c r="C20" s="428" t="s">
        <v>883</v>
      </c>
      <c r="D20" s="428"/>
      <c r="E20" s="428"/>
      <c r="F20" s="102"/>
      <c r="G20" s="103"/>
      <c r="H20" s="103"/>
      <c r="I20" s="105"/>
      <c r="J20" s="106"/>
    </row>
    <row r="21" spans="2:10" hidden="1" x14ac:dyDescent="0.2">
      <c r="B21" s="79"/>
      <c r="C21" s="325" t="s">
        <v>898</v>
      </c>
      <c r="D21" s="325"/>
      <c r="E21" s="67"/>
      <c r="F21" s="327"/>
      <c r="G21" s="334"/>
      <c r="H21" s="331"/>
      <c r="I21" s="328"/>
      <c r="J21" s="80"/>
    </row>
    <row r="22" spans="2:10" hidden="1" x14ac:dyDescent="0.2">
      <c r="B22" s="79"/>
      <c r="C22" s="120"/>
      <c r="D22" s="120" t="s">
        <v>886</v>
      </c>
      <c r="E22" s="238"/>
      <c r="F22" s="122" t="s">
        <v>887</v>
      </c>
      <c r="G22" s="123" t="s">
        <v>888</v>
      </c>
      <c r="H22" s="332"/>
      <c r="I22" s="124">
        <v>0</v>
      </c>
      <c r="J22" s="80"/>
    </row>
    <row r="23" spans="2:10" hidden="1" x14ac:dyDescent="0.2">
      <c r="B23" s="79"/>
      <c r="C23" s="132"/>
      <c r="D23" s="132"/>
      <c r="E23" s="236"/>
      <c r="F23" s="134"/>
      <c r="G23" s="135"/>
      <c r="H23" s="333"/>
      <c r="I23" s="136"/>
      <c r="J23" s="80"/>
    </row>
    <row r="24" spans="2:10" hidden="1" x14ac:dyDescent="0.2">
      <c r="B24" s="79"/>
      <c r="C24" s="132"/>
      <c r="D24" s="132"/>
      <c r="E24" s="236"/>
      <c r="F24" s="134"/>
      <c r="G24" s="135"/>
      <c r="H24" s="333"/>
      <c r="I24" s="136"/>
      <c r="J24" s="80"/>
    </row>
    <row r="25" spans="2:10" hidden="1" x14ac:dyDescent="0.2">
      <c r="B25" s="79"/>
      <c r="C25" s="126"/>
      <c r="D25" s="126"/>
      <c r="E25" s="237"/>
      <c r="F25" s="128"/>
      <c r="G25" s="129"/>
      <c r="H25" s="338"/>
      <c r="I25" s="130"/>
      <c r="J25" s="80"/>
    </row>
    <row r="26" spans="2:10" ht="5.85" hidden="1" customHeight="1" x14ac:dyDescent="0.2">
      <c r="B26" s="165"/>
      <c r="C26" s="14"/>
      <c r="D26" s="14"/>
      <c r="E26" s="151"/>
      <c r="F26" s="111"/>
      <c r="G26" s="112"/>
      <c r="H26" s="339"/>
      <c r="I26" s="113"/>
      <c r="J26" s="167"/>
    </row>
    <row r="27" spans="2:10" hidden="1" x14ac:dyDescent="0.2">
      <c r="C27" s="3"/>
      <c r="D27" s="3"/>
      <c r="E27" s="64"/>
      <c r="F27" s="170"/>
      <c r="G27" s="171"/>
      <c r="H27" s="343"/>
      <c r="I27" s="172"/>
      <c r="J27" s="172"/>
    </row>
    <row r="28" spans="2:10" ht="20.100000000000001" hidden="1" customHeight="1" x14ac:dyDescent="0.25">
      <c r="B28" s="101"/>
      <c r="C28" s="428" t="s">
        <v>884</v>
      </c>
      <c r="D28" s="428"/>
      <c r="E28" s="428"/>
      <c r="F28" s="102"/>
      <c r="G28" s="103"/>
      <c r="H28" s="103"/>
      <c r="I28" s="105"/>
      <c r="J28" s="106"/>
    </row>
    <row r="29" spans="2:10" hidden="1" x14ac:dyDescent="0.2">
      <c r="B29" s="79"/>
      <c r="C29" s="325" t="s">
        <v>895</v>
      </c>
      <c r="D29" s="325"/>
      <c r="E29" s="67"/>
      <c r="F29" s="327"/>
      <c r="G29" s="334"/>
      <c r="H29" s="331"/>
      <c r="I29" s="328"/>
      <c r="J29" s="80"/>
    </row>
    <row r="30" spans="2:10" hidden="1" x14ac:dyDescent="0.2">
      <c r="B30" s="79"/>
      <c r="C30" s="120"/>
      <c r="D30" s="120" t="s">
        <v>892</v>
      </c>
      <c r="E30" s="238"/>
      <c r="F30" s="122"/>
      <c r="G30" s="123"/>
      <c r="H30" s="332"/>
      <c r="I30" s="124">
        <v>0</v>
      </c>
      <c r="J30" s="80"/>
    </row>
    <row r="31" spans="2:10" hidden="1" x14ac:dyDescent="0.2">
      <c r="B31" s="79"/>
      <c r="C31" s="26"/>
      <c r="D31" s="26" t="s">
        <v>892</v>
      </c>
      <c r="E31" s="335"/>
      <c r="F31" s="116"/>
      <c r="G31" s="117"/>
      <c r="H31" s="337"/>
      <c r="I31" s="118">
        <v>0</v>
      </c>
      <c r="J31" s="80"/>
    </row>
    <row r="32" spans="2:10" hidden="1" x14ac:dyDescent="0.2">
      <c r="B32" s="79"/>
      <c r="C32" s="14" t="s">
        <v>896</v>
      </c>
      <c r="D32" s="14"/>
      <c r="E32" s="151"/>
      <c r="F32" s="111"/>
      <c r="G32" s="112"/>
      <c r="H32" s="339"/>
      <c r="I32" s="113"/>
      <c r="J32" s="80"/>
    </row>
    <row r="33" spans="2:10" hidden="1" x14ac:dyDescent="0.2">
      <c r="B33" s="79"/>
      <c r="C33" s="120"/>
      <c r="D33" s="120" t="s">
        <v>381</v>
      </c>
      <c r="E33" s="238"/>
      <c r="F33" s="122"/>
      <c r="G33" s="123"/>
      <c r="H33" s="332"/>
      <c r="I33" s="124">
        <v>0</v>
      </c>
      <c r="J33" s="80"/>
    </row>
    <row r="34" spans="2:10" hidden="1" x14ac:dyDescent="0.2">
      <c r="B34" s="79"/>
      <c r="C34" s="26"/>
      <c r="D34" s="26" t="s">
        <v>893</v>
      </c>
      <c r="E34" s="335"/>
      <c r="F34" s="116"/>
      <c r="G34" s="117"/>
      <c r="H34" s="337"/>
      <c r="I34" s="118">
        <v>0</v>
      </c>
      <c r="J34" s="80"/>
    </row>
    <row r="35" spans="2:10" hidden="1" x14ac:dyDescent="0.2">
      <c r="B35" s="79"/>
      <c r="C35" s="14" t="s">
        <v>897</v>
      </c>
      <c r="D35" s="14"/>
      <c r="E35" s="151"/>
      <c r="F35" s="111"/>
      <c r="G35" s="112"/>
      <c r="H35" s="339"/>
      <c r="I35" s="113"/>
      <c r="J35" s="80"/>
    </row>
    <row r="36" spans="2:10" hidden="1" x14ac:dyDescent="0.2">
      <c r="B36" s="79"/>
      <c r="C36" s="26"/>
      <c r="D36" s="26" t="s">
        <v>381</v>
      </c>
      <c r="E36" s="238"/>
      <c r="F36" s="116"/>
      <c r="G36" s="117"/>
      <c r="H36" s="337"/>
      <c r="I36" s="124">
        <v>0</v>
      </c>
      <c r="J36" s="80"/>
    </row>
    <row r="37" spans="2:10" hidden="1" x14ac:dyDescent="0.2">
      <c r="B37" s="79"/>
      <c r="C37" s="126"/>
      <c r="D37" s="126" t="s">
        <v>893</v>
      </c>
      <c r="E37" s="236"/>
      <c r="F37" s="128"/>
      <c r="G37" s="129"/>
      <c r="H37" s="338"/>
      <c r="I37" s="136">
        <v>0</v>
      </c>
      <c r="J37" s="80"/>
    </row>
    <row r="38" spans="2:10" hidden="1" x14ac:dyDescent="0.2">
      <c r="B38" s="79"/>
      <c r="C38" s="126"/>
      <c r="D38" s="126"/>
      <c r="E38" s="237"/>
      <c r="F38" s="128"/>
      <c r="G38" s="129"/>
      <c r="H38" s="338"/>
      <c r="I38" s="130"/>
      <c r="J38" s="80"/>
    </row>
    <row r="39" spans="2:10" ht="5.85" hidden="1" customHeight="1" x14ac:dyDescent="0.2">
      <c r="B39" s="165"/>
      <c r="C39" s="14"/>
      <c r="D39" s="14"/>
      <c r="E39" s="151"/>
      <c r="F39" s="111"/>
      <c r="G39" s="112"/>
      <c r="H39" s="339"/>
      <c r="I39" s="113"/>
      <c r="J39" s="167"/>
    </row>
    <row r="40" spans="2:10" hidden="1" x14ac:dyDescent="0.2">
      <c r="C40" s="3"/>
      <c r="D40" s="3"/>
      <c r="E40" s="64"/>
      <c r="F40" s="170"/>
      <c r="G40" s="171"/>
      <c r="H40" s="343"/>
      <c r="I40" s="172"/>
      <c r="J40" s="172"/>
    </row>
    <row r="41" spans="2:10" ht="20.100000000000001" hidden="1" customHeight="1" x14ac:dyDescent="0.25">
      <c r="B41" s="101"/>
      <c r="C41" s="428" t="s">
        <v>80</v>
      </c>
      <c r="D41" s="428"/>
      <c r="E41" s="428"/>
      <c r="F41" s="102"/>
      <c r="G41" s="103"/>
      <c r="H41" s="103"/>
      <c r="I41" s="105"/>
      <c r="J41" s="106"/>
    </row>
    <row r="42" spans="2:10" hidden="1" x14ac:dyDescent="0.2">
      <c r="B42" s="79"/>
      <c r="C42" s="325" t="s">
        <v>891</v>
      </c>
      <c r="D42" s="325"/>
      <c r="E42" s="326"/>
      <c r="F42" s="327"/>
      <c r="G42" s="334"/>
      <c r="H42" s="331"/>
      <c r="I42" s="328"/>
      <c r="J42" s="80"/>
    </row>
    <row r="43" spans="2:10" hidden="1" x14ac:dyDescent="0.2">
      <c r="B43" s="79"/>
      <c r="C43" s="120"/>
      <c r="D43" s="120" t="s">
        <v>899</v>
      </c>
      <c r="E43" s="121"/>
      <c r="F43" s="122" t="s">
        <v>901</v>
      </c>
      <c r="G43" s="123" t="s">
        <v>902</v>
      </c>
      <c r="H43" s="332"/>
      <c r="I43" s="124">
        <v>0</v>
      </c>
      <c r="J43" s="80"/>
    </row>
    <row r="44" spans="2:10" hidden="1" x14ac:dyDescent="0.2">
      <c r="B44" s="79"/>
      <c r="C44" s="132"/>
      <c r="D44" s="132" t="s">
        <v>900</v>
      </c>
      <c r="E44" s="133"/>
      <c r="F44" s="134"/>
      <c r="G44" s="135"/>
      <c r="H44" s="333"/>
      <c r="I44" s="136"/>
      <c r="J44" s="80"/>
    </row>
    <row r="45" spans="2:10" hidden="1" x14ac:dyDescent="0.2">
      <c r="B45" s="79"/>
      <c r="C45" s="132"/>
      <c r="D45" s="132"/>
      <c r="E45" s="133"/>
      <c r="F45" s="134"/>
      <c r="G45" s="135"/>
      <c r="H45" s="333"/>
      <c r="I45" s="136"/>
      <c r="J45" s="80"/>
    </row>
    <row r="46" spans="2:10" hidden="1" x14ac:dyDescent="0.2">
      <c r="B46" s="79"/>
      <c r="C46" s="126"/>
      <c r="D46" s="126"/>
      <c r="E46" s="127"/>
      <c r="F46" s="128"/>
      <c r="G46" s="129"/>
      <c r="H46" s="338"/>
      <c r="I46" s="130"/>
      <c r="J46" s="80"/>
    </row>
    <row r="47" spans="2:10" ht="5.85" hidden="1" customHeight="1" x14ac:dyDescent="0.2">
      <c r="B47" s="165"/>
      <c r="C47" s="14"/>
      <c r="D47" s="14"/>
      <c r="E47" s="166"/>
      <c r="F47" s="111"/>
      <c r="G47" s="112"/>
      <c r="H47" s="339"/>
      <c r="I47" s="113"/>
      <c r="J47" s="167"/>
    </row>
    <row r="48" spans="2:10" hidden="1" x14ac:dyDescent="0.2">
      <c r="C48" s="3"/>
      <c r="D48" s="3"/>
      <c r="E48" s="173"/>
      <c r="F48" s="170"/>
      <c r="G48" s="171"/>
      <c r="H48" s="343"/>
      <c r="I48" s="172"/>
      <c r="J48" s="172"/>
    </row>
    <row r="49" spans="2:10" ht="20.100000000000001" hidden="1" customHeight="1" x14ac:dyDescent="0.25">
      <c r="B49" s="101"/>
      <c r="C49" s="428" t="s">
        <v>894</v>
      </c>
      <c r="D49" s="428"/>
      <c r="E49" s="428"/>
      <c r="F49" s="102"/>
      <c r="G49" s="103"/>
      <c r="H49" s="103"/>
      <c r="I49" s="105"/>
      <c r="J49" s="106"/>
    </row>
    <row r="50" spans="2:10" hidden="1" x14ac:dyDescent="0.2">
      <c r="B50" s="79"/>
      <c r="C50" s="325"/>
      <c r="D50" s="325"/>
      <c r="E50" s="326"/>
      <c r="F50" s="327"/>
      <c r="G50" s="334"/>
      <c r="H50" s="331"/>
      <c r="I50" s="328"/>
      <c r="J50" s="80"/>
    </row>
    <row r="51" spans="2:10" hidden="1" x14ac:dyDescent="0.2">
      <c r="B51" s="79"/>
      <c r="C51" s="120"/>
      <c r="D51" s="120"/>
      <c r="E51" s="121"/>
      <c r="F51" s="122"/>
      <c r="G51" s="123"/>
      <c r="H51" s="332"/>
      <c r="I51" s="124">
        <v>0</v>
      </c>
      <c r="J51" s="80"/>
    </row>
    <row r="52" spans="2:10" hidden="1" x14ac:dyDescent="0.2">
      <c r="B52" s="79"/>
      <c r="C52" s="132"/>
      <c r="D52" s="132"/>
      <c r="E52" s="133"/>
      <c r="F52" s="134"/>
      <c r="G52" s="135"/>
      <c r="H52" s="333"/>
      <c r="I52" s="136"/>
      <c r="J52" s="80"/>
    </row>
    <row r="53" spans="2:10" hidden="1" x14ac:dyDescent="0.2">
      <c r="B53" s="79"/>
      <c r="C53" s="132"/>
      <c r="D53" s="132"/>
      <c r="E53" s="133"/>
      <c r="F53" s="134"/>
      <c r="G53" s="135"/>
      <c r="H53" s="333"/>
      <c r="I53" s="136"/>
      <c r="J53" s="80"/>
    </row>
    <row r="54" spans="2:10" hidden="1" x14ac:dyDescent="0.2">
      <c r="B54" s="79"/>
      <c r="C54" s="126"/>
      <c r="D54" s="126"/>
      <c r="E54" s="127"/>
      <c r="F54" s="128"/>
      <c r="G54" s="129"/>
      <c r="H54" s="338"/>
      <c r="I54" s="130"/>
      <c r="J54" s="80"/>
    </row>
    <row r="55" spans="2:10" ht="5.85" hidden="1" customHeight="1" x14ac:dyDescent="0.2">
      <c r="B55" s="165"/>
      <c r="C55" s="14"/>
      <c r="D55" s="14"/>
      <c r="E55" s="166"/>
      <c r="F55" s="111"/>
      <c r="G55" s="112"/>
      <c r="H55" s="112"/>
      <c r="I55" s="113"/>
      <c r="J55" s="167"/>
    </row>
    <row r="56" spans="2:10" ht="19.5" hidden="1" x14ac:dyDescent="0.25">
      <c r="C56" s="434"/>
      <c r="D56" s="434"/>
      <c r="E56" s="434"/>
      <c r="F56" s="170"/>
      <c r="G56" s="171"/>
      <c r="H56" s="171"/>
      <c r="I56" s="172"/>
      <c r="J56" s="172"/>
    </row>
  </sheetData>
  <sheetProtection algorithmName="SHA-512" hashValue="8Ek3JdDei7b+VvO2RRTfQbdfYA3g23nqAY16ccO6OGh2zS7eWEncKKIrGBvgupk8hcpQIIRvRai9OlLuKXNang==" saltValue="xxuPxfC35wHAFU/ml8x0BA==" spinCount="100000" sheet="1" objects="1" scenarios="1"/>
  <mergeCells count="10">
    <mergeCell ref="C2:I2"/>
    <mergeCell ref="C3:I3"/>
    <mergeCell ref="C5:E5"/>
    <mergeCell ref="C49:E49"/>
    <mergeCell ref="C56:E56"/>
    <mergeCell ref="C20:E20"/>
    <mergeCell ref="C28:E28"/>
    <mergeCell ref="C41:E41"/>
    <mergeCell ref="D15:I15"/>
    <mergeCell ref="D16:I16"/>
  </mergeCells>
  <hyperlinks>
    <hyperlink ref="H7" r:id="rId1" xr:uid="{22EFF04B-189B-4128-B043-A99E079C62B4}"/>
    <hyperlink ref="H9" r:id="rId2" xr:uid="{9EDF6EA6-623E-461A-B045-015BBF1F248A}"/>
    <hyperlink ref="H11" r:id="rId3" xr:uid="{1DEF45C7-95E0-47E8-BFAA-7AC07B9F7137}"/>
  </hyperlinks>
  <pageMargins left="0.7" right="0.7" top="0.78740157499999996" bottom="0.78740157499999996" header="0.3" footer="0.3"/>
  <pageSetup paperSize="9"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62" t="s">
        <v>895</v>
      </c>
      <c r="C2" s="463"/>
      <c r="D2" s="463"/>
      <c r="E2" s="464"/>
    </row>
    <row r="3" spans="2:5" s="354" customFormat="1" ht="15" x14ac:dyDescent="0.2">
      <c r="B3" s="469" t="s">
        <v>908</v>
      </c>
      <c r="C3" s="470"/>
      <c r="D3" s="355" t="s">
        <v>910</v>
      </c>
      <c r="E3" s="359" t="s">
        <v>909</v>
      </c>
    </row>
    <row r="4" spans="2:5" x14ac:dyDescent="0.2">
      <c r="B4" s="466" t="s">
        <v>973</v>
      </c>
      <c r="C4" s="467"/>
      <c r="D4" s="467"/>
      <c r="E4" s="468"/>
    </row>
    <row r="5" spans="2:5" x14ac:dyDescent="0.2">
      <c r="B5" s="360"/>
      <c r="C5" s="3" t="s">
        <v>961</v>
      </c>
      <c r="D5" s="35" t="s">
        <v>992</v>
      </c>
      <c r="E5" s="364">
        <v>4</v>
      </c>
    </row>
    <row r="6" spans="2:5" x14ac:dyDescent="0.2">
      <c r="B6" s="466" t="s">
        <v>974</v>
      </c>
      <c r="C6" s="467"/>
      <c r="D6" s="467"/>
      <c r="E6" s="468"/>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6" t="s">
        <v>975</v>
      </c>
      <c r="C14" s="467"/>
      <c r="D14" s="467"/>
      <c r="E14" s="468"/>
    </row>
    <row r="15" spans="2:5" x14ac:dyDescent="0.2">
      <c r="B15" s="360"/>
      <c r="C15" s="3" t="s">
        <v>953</v>
      </c>
      <c r="D15" s="35" t="s">
        <v>992</v>
      </c>
      <c r="E15" s="364">
        <v>32</v>
      </c>
    </row>
    <row r="16" spans="2:5" x14ac:dyDescent="0.2">
      <c r="B16" s="360"/>
      <c r="C16" s="3" t="s">
        <v>954</v>
      </c>
      <c r="D16" s="35" t="s">
        <v>992</v>
      </c>
      <c r="E16" s="364">
        <v>11</v>
      </c>
    </row>
    <row r="17" spans="2:5" x14ac:dyDescent="0.2">
      <c r="B17" s="466" t="s">
        <v>976</v>
      </c>
      <c r="C17" s="467"/>
      <c r="D17" s="467"/>
      <c r="E17" s="468"/>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6" t="s">
        <v>977</v>
      </c>
      <c r="C22" s="467"/>
      <c r="D22" s="467"/>
      <c r="E22" s="468"/>
    </row>
    <row r="23" spans="2:5" x14ac:dyDescent="0.2">
      <c r="B23" s="360"/>
      <c r="C23" s="3" t="s">
        <v>959</v>
      </c>
      <c r="D23" s="35" t="s">
        <v>992</v>
      </c>
      <c r="E23" s="364">
        <v>4</v>
      </c>
    </row>
    <row r="24" spans="2:5" x14ac:dyDescent="0.2">
      <c r="B24" s="360"/>
      <c r="C24" s="3" t="s">
        <v>956</v>
      </c>
      <c r="D24" s="35" t="s">
        <v>992</v>
      </c>
      <c r="E24" s="364">
        <v>12</v>
      </c>
    </row>
    <row r="25" spans="2:5" x14ac:dyDescent="0.2">
      <c r="B25" s="466" t="s">
        <v>978</v>
      </c>
      <c r="C25" s="467"/>
      <c r="D25" s="467"/>
      <c r="E25" s="468"/>
    </row>
    <row r="26" spans="2:5" x14ac:dyDescent="0.2">
      <c r="B26" s="360"/>
      <c r="C26" s="3" t="s">
        <v>960</v>
      </c>
      <c r="D26" s="35" t="s">
        <v>993</v>
      </c>
      <c r="E26" s="364">
        <v>8</v>
      </c>
    </row>
    <row r="27" spans="2:5" x14ac:dyDescent="0.2">
      <c r="B27" s="466" t="s">
        <v>229</v>
      </c>
      <c r="C27" s="467"/>
      <c r="D27" s="467"/>
      <c r="E27" s="468"/>
    </row>
    <row r="28" spans="2:5" x14ac:dyDescent="0.2">
      <c r="B28" s="360"/>
      <c r="C28" s="3" t="s">
        <v>231</v>
      </c>
      <c r="D28" s="35" t="s">
        <v>994</v>
      </c>
      <c r="E28" s="364">
        <v>52</v>
      </c>
    </row>
    <row r="29" spans="2:5" x14ac:dyDescent="0.2">
      <c r="B29" s="466" t="s">
        <v>232</v>
      </c>
      <c r="C29" s="467"/>
      <c r="D29" s="467"/>
      <c r="E29" s="468"/>
    </row>
    <row r="30" spans="2:5" x14ac:dyDescent="0.2">
      <c r="B30" s="360"/>
      <c r="C30" s="3" t="s">
        <v>230</v>
      </c>
      <c r="D30" s="35" t="s">
        <v>992</v>
      </c>
      <c r="E30" s="364">
        <v>5</v>
      </c>
    </row>
    <row r="31" spans="2:5" x14ac:dyDescent="0.2">
      <c r="B31" s="466" t="s">
        <v>233</v>
      </c>
      <c r="C31" s="467"/>
      <c r="D31" s="467"/>
      <c r="E31" s="468"/>
    </row>
    <row r="32" spans="2:5" x14ac:dyDescent="0.2">
      <c r="B32" s="360"/>
      <c r="C32" s="3" t="s">
        <v>230</v>
      </c>
      <c r="D32" s="35" t="s">
        <v>945</v>
      </c>
      <c r="E32" s="364">
        <v>39</v>
      </c>
    </row>
    <row r="33" spans="2:5" x14ac:dyDescent="0.2">
      <c r="B33" s="360"/>
      <c r="C33" s="3" t="s">
        <v>234</v>
      </c>
      <c r="D33" s="35" t="s">
        <v>945</v>
      </c>
      <c r="E33" s="364">
        <v>30</v>
      </c>
    </row>
    <row r="34" spans="2:5" x14ac:dyDescent="0.2">
      <c r="B34" s="466" t="s">
        <v>235</v>
      </c>
      <c r="C34" s="467"/>
      <c r="D34" s="467"/>
      <c r="E34" s="468"/>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62" t="s">
        <v>979</v>
      </c>
      <c r="C39" s="463"/>
      <c r="D39" s="463"/>
      <c r="E39" s="464"/>
    </row>
    <row r="40" spans="2:5" ht="15" x14ac:dyDescent="0.2">
      <c r="B40" s="473" t="s">
        <v>908</v>
      </c>
      <c r="C40" s="474"/>
      <c r="D40" s="356" t="s">
        <v>910</v>
      </c>
      <c r="E40" s="357" t="s">
        <v>909</v>
      </c>
    </row>
    <row r="41" spans="2:5" x14ac:dyDescent="0.2">
      <c r="B41" s="466" t="s">
        <v>962</v>
      </c>
      <c r="C41" s="467"/>
      <c r="D41" s="467"/>
      <c r="E41" s="468"/>
    </row>
    <row r="42" spans="2:5" x14ac:dyDescent="0.2">
      <c r="B42" s="465" t="s">
        <v>911</v>
      </c>
      <c r="C42" s="436"/>
      <c r="D42" s="35" t="s">
        <v>965</v>
      </c>
      <c r="E42" s="364">
        <v>4</v>
      </c>
    </row>
    <row r="43" spans="2:5" x14ac:dyDescent="0.2">
      <c r="B43" s="465" t="s">
        <v>912</v>
      </c>
      <c r="C43" s="436"/>
      <c r="D43" s="35" t="s">
        <v>965</v>
      </c>
      <c r="E43" s="364">
        <v>3</v>
      </c>
    </row>
    <row r="44" spans="2:5" x14ac:dyDescent="0.2">
      <c r="B44" s="465" t="s">
        <v>967</v>
      </c>
      <c r="C44" s="436"/>
      <c r="D44" s="35" t="s">
        <v>988</v>
      </c>
      <c r="E44" s="364">
        <v>32</v>
      </c>
    </row>
    <row r="45" spans="2:5" x14ac:dyDescent="0.2">
      <c r="B45" s="465" t="s">
        <v>968</v>
      </c>
      <c r="C45" s="436"/>
      <c r="D45" s="35" t="s">
        <v>989</v>
      </c>
      <c r="E45" s="364">
        <v>6</v>
      </c>
    </row>
    <row r="46" spans="2:5" x14ac:dyDescent="0.2">
      <c r="B46" s="466" t="s">
        <v>963</v>
      </c>
      <c r="C46" s="467"/>
      <c r="D46" s="467"/>
      <c r="E46" s="468"/>
    </row>
    <row r="47" spans="2:5" x14ac:dyDescent="0.2">
      <c r="B47" s="465" t="s">
        <v>913</v>
      </c>
      <c r="C47" s="436"/>
      <c r="D47" s="35" t="s">
        <v>990</v>
      </c>
      <c r="E47" s="364">
        <v>4</v>
      </c>
    </row>
    <row r="48" spans="2:5" x14ac:dyDescent="0.2">
      <c r="B48" s="465" t="s">
        <v>914</v>
      </c>
      <c r="C48" s="436"/>
      <c r="D48" s="35" t="s">
        <v>990</v>
      </c>
      <c r="E48" s="364">
        <v>2</v>
      </c>
    </row>
    <row r="49" spans="2:7" x14ac:dyDescent="0.2">
      <c r="B49" s="465" t="s">
        <v>966</v>
      </c>
      <c r="C49" s="436"/>
      <c r="D49" s="35" t="s">
        <v>990</v>
      </c>
      <c r="E49" s="364">
        <v>1</v>
      </c>
    </row>
    <row r="50" spans="2:7" x14ac:dyDescent="0.2">
      <c r="B50" s="466" t="s">
        <v>964</v>
      </c>
      <c r="C50" s="467"/>
      <c r="D50" s="467"/>
      <c r="E50" s="468"/>
    </row>
    <row r="51" spans="2:7" x14ac:dyDescent="0.2">
      <c r="B51" s="465" t="s">
        <v>915</v>
      </c>
      <c r="C51" s="436"/>
      <c r="D51" s="35" t="s">
        <v>991</v>
      </c>
      <c r="E51" s="364">
        <v>1</v>
      </c>
    </row>
    <row r="52" spans="2:7" x14ac:dyDescent="0.2">
      <c r="B52" s="465" t="s">
        <v>969</v>
      </c>
      <c r="C52" s="436"/>
      <c r="D52" s="35" t="s">
        <v>989</v>
      </c>
      <c r="E52" s="364">
        <v>1</v>
      </c>
    </row>
    <row r="53" spans="2:7" x14ac:dyDescent="0.2">
      <c r="B53" s="465" t="s">
        <v>916</v>
      </c>
      <c r="C53" s="436"/>
      <c r="D53" s="35" t="s">
        <v>986</v>
      </c>
      <c r="E53" s="364">
        <v>3</v>
      </c>
    </row>
    <row r="54" spans="2:7" x14ac:dyDescent="0.2">
      <c r="B54" s="465" t="s">
        <v>917</v>
      </c>
      <c r="C54" s="436"/>
      <c r="D54" s="35" t="s">
        <v>987</v>
      </c>
      <c r="E54" s="364">
        <v>3</v>
      </c>
    </row>
    <row r="55" spans="2:7" x14ac:dyDescent="0.2">
      <c r="B55" s="465" t="s">
        <v>985</v>
      </c>
      <c r="C55" s="436"/>
      <c r="E55" s="364">
        <v>3</v>
      </c>
    </row>
    <row r="56" spans="2:7" x14ac:dyDescent="0.2">
      <c r="B56" s="465" t="s">
        <v>246</v>
      </c>
      <c r="C56" s="436"/>
      <c r="E56" s="364">
        <v>3</v>
      </c>
    </row>
    <row r="57" spans="2:7" x14ac:dyDescent="0.2">
      <c r="B57" s="466" t="s">
        <v>80</v>
      </c>
      <c r="C57" s="467"/>
      <c r="D57" s="467"/>
      <c r="E57" s="468"/>
    </row>
    <row r="58" spans="2:7" x14ac:dyDescent="0.2">
      <c r="B58" s="465" t="s">
        <v>983</v>
      </c>
      <c r="C58" s="436"/>
      <c r="D58" s="35" t="s">
        <v>984</v>
      </c>
      <c r="E58" s="364">
        <v>2</v>
      </c>
    </row>
    <row r="59" spans="2:7" x14ac:dyDescent="0.2">
      <c r="B59" s="465" t="s">
        <v>1011</v>
      </c>
      <c r="C59" s="436"/>
      <c r="D59" s="35" t="s">
        <v>1008</v>
      </c>
      <c r="E59" s="364">
        <v>1</v>
      </c>
      <c r="G59" s="3" t="s">
        <v>1012</v>
      </c>
    </row>
    <row r="60" spans="2:7" x14ac:dyDescent="0.2">
      <c r="B60" s="465" t="s">
        <v>1009</v>
      </c>
      <c r="C60" s="436"/>
      <c r="D60" s="35" t="s">
        <v>1003</v>
      </c>
      <c r="E60" s="364">
        <v>1</v>
      </c>
    </row>
    <row r="61" spans="2:7" x14ac:dyDescent="0.2">
      <c r="B61" s="465" t="s">
        <v>970</v>
      </c>
      <c r="C61" s="436"/>
      <c r="D61" s="35" t="s">
        <v>995</v>
      </c>
      <c r="E61" s="364">
        <v>4</v>
      </c>
    </row>
    <row r="62" spans="2:7" ht="13.5" thickBot="1" x14ac:dyDescent="0.25">
      <c r="B62" s="471" t="s">
        <v>288</v>
      </c>
      <c r="C62" s="472"/>
      <c r="D62" s="358"/>
      <c r="E62" s="363">
        <v>4</v>
      </c>
    </row>
    <row r="64" spans="2:7" ht="13.5" thickBot="1" x14ac:dyDescent="0.25"/>
    <row r="65" spans="2:5" ht="19.5" x14ac:dyDescent="0.25">
      <c r="B65" s="462" t="s">
        <v>897</v>
      </c>
      <c r="C65" s="463"/>
      <c r="D65" s="463"/>
      <c r="E65" s="464"/>
    </row>
    <row r="66" spans="2:5" ht="15" x14ac:dyDescent="0.2">
      <c r="B66" s="473" t="s">
        <v>908</v>
      </c>
      <c r="C66" s="474"/>
      <c r="D66" s="356" t="s">
        <v>910</v>
      </c>
      <c r="E66" s="357" t="s">
        <v>909</v>
      </c>
    </row>
    <row r="67" spans="2:5" x14ac:dyDescent="0.2">
      <c r="B67" s="466" t="s">
        <v>971</v>
      </c>
      <c r="C67" s="467"/>
      <c r="D67" s="467"/>
      <c r="E67" s="468"/>
    </row>
    <row r="68" spans="2:5" x14ac:dyDescent="0.2">
      <c r="B68" s="465" t="s">
        <v>918</v>
      </c>
      <c r="C68" s="436"/>
      <c r="D68" s="35" t="s">
        <v>981</v>
      </c>
      <c r="E68" s="364">
        <v>1</v>
      </c>
    </row>
    <row r="69" spans="2:5" x14ac:dyDescent="0.2">
      <c r="B69" s="465" t="s">
        <v>919</v>
      </c>
      <c r="C69" s="436"/>
      <c r="D69" s="35" t="s">
        <v>982</v>
      </c>
      <c r="E69" s="364">
        <v>2</v>
      </c>
    </row>
    <row r="70" spans="2:5" x14ac:dyDescent="0.2">
      <c r="B70" s="465" t="s">
        <v>920</v>
      </c>
      <c r="C70" s="436"/>
      <c r="D70" s="35" t="s">
        <v>980</v>
      </c>
      <c r="E70" s="364">
        <v>2</v>
      </c>
    </row>
    <row r="71" spans="2:5" x14ac:dyDescent="0.2">
      <c r="B71" s="465" t="s">
        <v>921</v>
      </c>
      <c r="C71" s="436"/>
      <c r="D71" s="35" t="s">
        <v>980</v>
      </c>
      <c r="E71" s="364">
        <v>2</v>
      </c>
    </row>
    <row r="72" spans="2:5" x14ac:dyDescent="0.2">
      <c r="B72" s="466" t="s">
        <v>80</v>
      </c>
      <c r="C72" s="467"/>
      <c r="D72" s="467"/>
      <c r="E72" s="468"/>
    </row>
    <row r="73" spans="2:5" x14ac:dyDescent="0.2">
      <c r="B73" s="465" t="s">
        <v>922</v>
      </c>
      <c r="C73" s="436"/>
      <c r="E73" s="364">
        <v>2</v>
      </c>
    </row>
    <row r="74" spans="2:5" x14ac:dyDescent="0.2">
      <c r="B74" s="465" t="s">
        <v>923</v>
      </c>
      <c r="C74" s="436"/>
      <c r="E74" s="364">
        <v>1</v>
      </c>
    </row>
    <row r="75" spans="2:5" ht="13.5" thickBot="1" x14ac:dyDescent="0.25">
      <c r="B75" s="471" t="s">
        <v>924</v>
      </c>
      <c r="C75" s="472"/>
      <c r="D75" s="358" t="s">
        <v>279</v>
      </c>
      <c r="E75" s="363">
        <v>3</v>
      </c>
    </row>
    <row r="77" spans="2:5" ht="13.5" thickBot="1" x14ac:dyDescent="0.25"/>
    <row r="78" spans="2:5" ht="19.5" x14ac:dyDescent="0.25">
      <c r="B78" s="462" t="s">
        <v>944</v>
      </c>
      <c r="C78" s="463"/>
      <c r="D78" s="463"/>
      <c r="E78" s="464"/>
    </row>
    <row r="79" spans="2:5" ht="15" x14ac:dyDescent="0.2">
      <c r="B79" s="473" t="s">
        <v>908</v>
      </c>
      <c r="C79" s="474"/>
      <c r="D79" s="356" t="s">
        <v>910</v>
      </c>
      <c r="E79" s="357" t="s">
        <v>909</v>
      </c>
    </row>
    <row r="80" spans="2:5" x14ac:dyDescent="0.2">
      <c r="B80" s="466" t="s">
        <v>972</v>
      </c>
      <c r="C80" s="467"/>
      <c r="D80" s="467"/>
      <c r="E80" s="468"/>
    </row>
    <row r="81" spans="2:7" x14ac:dyDescent="0.2">
      <c r="B81" s="465" t="s">
        <v>996</v>
      </c>
      <c r="C81" s="436"/>
      <c r="D81" s="35" t="s">
        <v>1001</v>
      </c>
      <c r="E81" s="364">
        <v>1</v>
      </c>
      <c r="G81" s="3" t="s">
        <v>1014</v>
      </c>
    </row>
    <row r="82" spans="2:7" x14ac:dyDescent="0.2">
      <c r="B82" s="465" t="s">
        <v>997</v>
      </c>
      <c r="C82" s="436"/>
      <c r="D82" s="35" t="s">
        <v>1002</v>
      </c>
      <c r="E82" s="364">
        <v>2</v>
      </c>
      <c r="G82" s="3" t="s">
        <v>1016</v>
      </c>
    </row>
    <row r="83" spans="2:7" x14ac:dyDescent="0.2">
      <c r="B83" s="465" t="s">
        <v>998</v>
      </c>
      <c r="C83" s="436"/>
      <c r="D83" s="35" t="s">
        <v>1002</v>
      </c>
      <c r="E83" s="364">
        <v>1</v>
      </c>
      <c r="G83" s="3" t="s">
        <v>1013</v>
      </c>
    </row>
    <row r="84" spans="2:7" x14ac:dyDescent="0.2">
      <c r="B84" s="465" t="s">
        <v>999</v>
      </c>
      <c r="C84" s="436"/>
      <c r="D84" s="35" t="s">
        <v>1002</v>
      </c>
      <c r="E84" s="364">
        <v>1</v>
      </c>
      <c r="G84" s="3" t="s">
        <v>1017</v>
      </c>
    </row>
    <row r="85" spans="2:7" x14ac:dyDescent="0.2">
      <c r="B85" s="465" t="s">
        <v>1000</v>
      </c>
      <c r="C85" s="436"/>
      <c r="D85" s="35" t="s">
        <v>1002</v>
      </c>
      <c r="E85" s="364">
        <v>1</v>
      </c>
      <c r="G85" s="3" t="s">
        <v>1015</v>
      </c>
    </row>
    <row r="86" spans="2:7" x14ac:dyDescent="0.2">
      <c r="B86" s="466" t="s">
        <v>202</v>
      </c>
      <c r="C86" s="467"/>
      <c r="D86" s="467"/>
      <c r="E86" s="468"/>
    </row>
    <row r="87" spans="2:7" x14ac:dyDescent="0.2">
      <c r="B87" s="465" t="s">
        <v>967</v>
      </c>
      <c r="C87" s="436"/>
      <c r="D87" s="35" t="s">
        <v>989</v>
      </c>
      <c r="E87" s="364">
        <v>12</v>
      </c>
    </row>
    <row r="88" spans="2:7" x14ac:dyDescent="0.2">
      <c r="B88" s="465" t="s">
        <v>921</v>
      </c>
      <c r="C88" s="436"/>
      <c r="D88" s="35" t="s">
        <v>980</v>
      </c>
      <c r="E88" s="364">
        <v>1</v>
      </c>
    </row>
    <row r="89" spans="2:7" x14ac:dyDescent="0.2">
      <c r="B89" s="465" t="s">
        <v>1007</v>
      </c>
      <c r="C89" s="436"/>
      <c r="D89" s="35" t="s">
        <v>1010</v>
      </c>
      <c r="E89" s="364">
        <v>20</v>
      </c>
    </row>
    <row r="90" spans="2:7" x14ac:dyDescent="0.2">
      <c r="B90" s="466" t="s">
        <v>974</v>
      </c>
      <c r="C90" s="467"/>
      <c r="D90" s="467"/>
      <c r="E90" s="468"/>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6" t="s">
        <v>1005</v>
      </c>
      <c r="C95" s="467"/>
      <c r="D95" s="467"/>
      <c r="E95" s="468"/>
    </row>
    <row r="96" spans="2:7" x14ac:dyDescent="0.2">
      <c r="B96" s="360"/>
      <c r="C96" s="3" t="s">
        <v>1006</v>
      </c>
      <c r="D96" s="35" t="s">
        <v>992</v>
      </c>
      <c r="E96" s="364">
        <v>12</v>
      </c>
    </row>
    <row r="97" spans="2:5" x14ac:dyDescent="0.2">
      <c r="B97" s="466" t="s">
        <v>976</v>
      </c>
      <c r="C97" s="467"/>
      <c r="D97" s="467"/>
      <c r="E97" s="468"/>
    </row>
    <row r="98" spans="2:5" x14ac:dyDescent="0.2">
      <c r="B98" s="360"/>
      <c r="C98" s="3" t="s">
        <v>955</v>
      </c>
      <c r="D98" s="35" t="s">
        <v>992</v>
      </c>
      <c r="E98" s="364">
        <v>12</v>
      </c>
    </row>
    <row r="99" spans="2:5" x14ac:dyDescent="0.2">
      <c r="B99" s="466" t="s">
        <v>229</v>
      </c>
      <c r="C99" s="467"/>
      <c r="D99" s="467"/>
      <c r="E99" s="468"/>
    </row>
    <row r="100" spans="2:5" x14ac:dyDescent="0.2">
      <c r="B100" s="360"/>
      <c r="C100" s="3" t="s">
        <v>231</v>
      </c>
      <c r="D100" s="35" t="s">
        <v>994</v>
      </c>
      <c r="E100" s="364">
        <v>12</v>
      </c>
    </row>
    <row r="101" spans="2:5" x14ac:dyDescent="0.2">
      <c r="B101" s="466" t="s">
        <v>233</v>
      </c>
      <c r="C101" s="467"/>
      <c r="D101" s="467"/>
      <c r="E101" s="468"/>
    </row>
    <row r="102" spans="2:5" x14ac:dyDescent="0.2">
      <c r="B102" s="360"/>
      <c r="C102" s="3" t="s">
        <v>230</v>
      </c>
      <c r="D102" s="35" t="s">
        <v>945</v>
      </c>
      <c r="E102" s="364">
        <v>38</v>
      </c>
    </row>
    <row r="103" spans="2:5" x14ac:dyDescent="0.2">
      <c r="B103" s="466" t="s">
        <v>235</v>
      </c>
      <c r="C103" s="467"/>
      <c r="D103" s="467"/>
      <c r="E103" s="468"/>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99:E99"/>
    <mergeCell ref="B101:E101"/>
    <mergeCell ref="B103:E103"/>
    <mergeCell ref="B88:C88"/>
    <mergeCell ref="B95:E95"/>
    <mergeCell ref="B89:C89"/>
    <mergeCell ref="B90:E90"/>
    <mergeCell ref="B97:E97"/>
    <mergeCell ref="B85:C85"/>
    <mergeCell ref="B86:E86"/>
    <mergeCell ref="B87:C87"/>
    <mergeCell ref="B79:C79"/>
    <mergeCell ref="B80:E80"/>
    <mergeCell ref="B81:C81"/>
    <mergeCell ref="B82:C82"/>
    <mergeCell ref="B84:C84"/>
    <mergeCell ref="B83:C83"/>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62" t="s">
        <v>895</v>
      </c>
      <c r="C2" s="463"/>
      <c r="D2" s="463"/>
      <c r="E2" s="464"/>
    </row>
    <row r="3" spans="2:5" s="354" customFormat="1" ht="15" x14ac:dyDescent="0.2">
      <c r="B3" s="469" t="s">
        <v>908</v>
      </c>
      <c r="C3" s="470"/>
      <c r="D3" s="355" t="s">
        <v>910</v>
      </c>
      <c r="E3" s="359" t="s">
        <v>909</v>
      </c>
    </row>
    <row r="4" spans="2:5" x14ac:dyDescent="0.2">
      <c r="B4" s="466" t="s">
        <v>973</v>
      </c>
      <c r="C4" s="467"/>
      <c r="D4" s="467"/>
      <c r="E4" s="468"/>
    </row>
    <row r="5" spans="2:5" x14ac:dyDescent="0.2">
      <c r="B5" s="360"/>
      <c r="C5" s="3" t="s">
        <v>961</v>
      </c>
      <c r="D5" s="35" t="s">
        <v>992</v>
      </c>
      <c r="E5" s="364">
        <v>4</v>
      </c>
    </row>
    <row r="6" spans="2:5" x14ac:dyDescent="0.2">
      <c r="B6" s="466" t="s">
        <v>974</v>
      </c>
      <c r="C6" s="467"/>
      <c r="D6" s="467"/>
      <c r="E6" s="468"/>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6" t="s">
        <v>975</v>
      </c>
      <c r="C14" s="467"/>
      <c r="D14" s="467"/>
      <c r="E14" s="468"/>
    </row>
    <row r="15" spans="2:5" x14ac:dyDescent="0.2">
      <c r="B15" s="360"/>
      <c r="C15" s="3" t="s">
        <v>953</v>
      </c>
      <c r="D15" s="35" t="s">
        <v>992</v>
      </c>
      <c r="E15" s="364">
        <v>32</v>
      </c>
    </row>
    <row r="16" spans="2:5" x14ac:dyDescent="0.2">
      <c r="B16" s="360"/>
      <c r="C16" s="3" t="s">
        <v>954</v>
      </c>
      <c r="D16" s="35" t="s">
        <v>992</v>
      </c>
      <c r="E16" s="364">
        <v>11</v>
      </c>
    </row>
    <row r="17" spans="2:5" x14ac:dyDescent="0.2">
      <c r="B17" s="466" t="s">
        <v>976</v>
      </c>
      <c r="C17" s="467"/>
      <c r="D17" s="467"/>
      <c r="E17" s="468"/>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6" t="s">
        <v>977</v>
      </c>
      <c r="C22" s="467"/>
      <c r="D22" s="467"/>
      <c r="E22" s="468"/>
    </row>
    <row r="23" spans="2:5" x14ac:dyDescent="0.2">
      <c r="B23" s="360"/>
      <c r="C23" s="3" t="s">
        <v>959</v>
      </c>
      <c r="D23" s="35" t="s">
        <v>992</v>
      </c>
      <c r="E23" s="364">
        <v>4</v>
      </c>
    </row>
    <row r="24" spans="2:5" x14ac:dyDescent="0.2">
      <c r="B24" s="360"/>
      <c r="C24" s="3" t="s">
        <v>956</v>
      </c>
      <c r="D24" s="35" t="s">
        <v>992</v>
      </c>
      <c r="E24" s="364">
        <v>12</v>
      </c>
    </row>
    <row r="25" spans="2:5" x14ac:dyDescent="0.2">
      <c r="B25" s="466" t="s">
        <v>978</v>
      </c>
      <c r="C25" s="467"/>
      <c r="D25" s="467"/>
      <c r="E25" s="468"/>
    </row>
    <row r="26" spans="2:5" x14ac:dyDescent="0.2">
      <c r="B26" s="360"/>
      <c r="C26" s="3" t="s">
        <v>960</v>
      </c>
      <c r="D26" s="35" t="s">
        <v>993</v>
      </c>
      <c r="E26" s="364">
        <v>8</v>
      </c>
    </row>
    <row r="27" spans="2:5" x14ac:dyDescent="0.2">
      <c r="B27" s="466" t="s">
        <v>229</v>
      </c>
      <c r="C27" s="467"/>
      <c r="D27" s="467"/>
      <c r="E27" s="468"/>
    </row>
    <row r="28" spans="2:5" x14ac:dyDescent="0.2">
      <c r="B28" s="360"/>
      <c r="C28" s="3" t="s">
        <v>231</v>
      </c>
      <c r="D28" s="35" t="s">
        <v>994</v>
      </c>
      <c r="E28" s="364">
        <v>52</v>
      </c>
    </row>
    <row r="29" spans="2:5" x14ac:dyDescent="0.2">
      <c r="B29" s="466" t="s">
        <v>232</v>
      </c>
      <c r="C29" s="467"/>
      <c r="D29" s="467"/>
      <c r="E29" s="468"/>
    </row>
    <row r="30" spans="2:5" x14ac:dyDescent="0.2">
      <c r="B30" s="360"/>
      <c r="C30" s="3" t="s">
        <v>230</v>
      </c>
      <c r="D30" s="35" t="s">
        <v>992</v>
      </c>
      <c r="E30" s="364">
        <v>5</v>
      </c>
    </row>
    <row r="31" spans="2:5" x14ac:dyDescent="0.2">
      <c r="B31" s="466" t="s">
        <v>233</v>
      </c>
      <c r="C31" s="467"/>
      <c r="D31" s="467"/>
      <c r="E31" s="468"/>
    </row>
    <row r="32" spans="2:5" x14ac:dyDescent="0.2">
      <c r="B32" s="360"/>
      <c r="C32" s="3" t="s">
        <v>230</v>
      </c>
      <c r="D32" s="35" t="s">
        <v>945</v>
      </c>
      <c r="E32" s="364">
        <v>39</v>
      </c>
    </row>
    <row r="33" spans="2:5" x14ac:dyDescent="0.2">
      <c r="B33" s="360"/>
      <c r="C33" s="3" t="s">
        <v>234</v>
      </c>
      <c r="D33" s="35" t="s">
        <v>945</v>
      </c>
      <c r="E33" s="364">
        <v>30</v>
      </c>
    </row>
    <row r="34" spans="2:5" x14ac:dyDescent="0.2">
      <c r="B34" s="466" t="s">
        <v>235</v>
      </c>
      <c r="C34" s="467"/>
      <c r="D34" s="467"/>
      <c r="E34" s="468"/>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62" t="s">
        <v>979</v>
      </c>
      <c r="C39" s="463"/>
      <c r="D39" s="463"/>
      <c r="E39" s="464"/>
    </row>
    <row r="40" spans="2:5" ht="15" x14ac:dyDescent="0.2">
      <c r="B40" s="473" t="s">
        <v>908</v>
      </c>
      <c r="C40" s="474"/>
      <c r="D40" s="356" t="s">
        <v>910</v>
      </c>
      <c r="E40" s="357" t="s">
        <v>909</v>
      </c>
    </row>
    <row r="41" spans="2:5" x14ac:dyDescent="0.2">
      <c r="B41" s="466" t="s">
        <v>962</v>
      </c>
      <c r="C41" s="467"/>
      <c r="D41" s="467"/>
      <c r="E41" s="468"/>
    </row>
    <row r="42" spans="2:5" x14ac:dyDescent="0.2">
      <c r="B42" s="465" t="s">
        <v>911</v>
      </c>
      <c r="C42" s="436"/>
      <c r="D42" s="35" t="s">
        <v>965</v>
      </c>
      <c r="E42" s="364">
        <v>4</v>
      </c>
    </row>
    <row r="43" spans="2:5" x14ac:dyDescent="0.2">
      <c r="B43" s="465" t="s">
        <v>912</v>
      </c>
      <c r="C43" s="436"/>
      <c r="D43" s="35" t="s">
        <v>965</v>
      </c>
      <c r="E43" s="364">
        <v>3</v>
      </c>
    </row>
    <row r="44" spans="2:5" x14ac:dyDescent="0.2">
      <c r="B44" s="465" t="s">
        <v>967</v>
      </c>
      <c r="C44" s="436"/>
      <c r="D44" s="35" t="s">
        <v>988</v>
      </c>
      <c r="E44" s="364">
        <v>32</v>
      </c>
    </row>
    <row r="45" spans="2:5" x14ac:dyDescent="0.2">
      <c r="B45" s="465" t="s">
        <v>968</v>
      </c>
      <c r="C45" s="436"/>
      <c r="D45" s="35" t="s">
        <v>989</v>
      </c>
      <c r="E45" s="364">
        <v>6</v>
      </c>
    </row>
    <row r="46" spans="2:5" x14ac:dyDescent="0.2">
      <c r="B46" s="466" t="s">
        <v>963</v>
      </c>
      <c r="C46" s="467"/>
      <c r="D46" s="467"/>
      <c r="E46" s="468"/>
    </row>
    <row r="47" spans="2:5" x14ac:dyDescent="0.2">
      <c r="B47" s="465" t="s">
        <v>913</v>
      </c>
      <c r="C47" s="436"/>
      <c r="D47" s="35" t="s">
        <v>990</v>
      </c>
      <c r="E47" s="364">
        <v>4</v>
      </c>
    </row>
    <row r="48" spans="2:5" x14ac:dyDescent="0.2">
      <c r="B48" s="465" t="s">
        <v>914</v>
      </c>
      <c r="C48" s="436"/>
      <c r="D48" s="35" t="s">
        <v>990</v>
      </c>
      <c r="E48" s="364">
        <v>2</v>
      </c>
    </row>
    <row r="49" spans="2:7" x14ac:dyDescent="0.2">
      <c r="B49" s="465" t="s">
        <v>966</v>
      </c>
      <c r="C49" s="436"/>
      <c r="D49" s="35" t="s">
        <v>990</v>
      </c>
      <c r="E49" s="364">
        <v>1</v>
      </c>
    </row>
    <row r="50" spans="2:7" x14ac:dyDescent="0.2">
      <c r="B50" s="466" t="s">
        <v>964</v>
      </c>
      <c r="C50" s="467"/>
      <c r="D50" s="467"/>
      <c r="E50" s="468"/>
    </row>
    <row r="51" spans="2:7" x14ac:dyDescent="0.2">
      <c r="B51" s="465" t="s">
        <v>915</v>
      </c>
      <c r="C51" s="436"/>
      <c r="D51" s="35" t="s">
        <v>991</v>
      </c>
      <c r="E51" s="364">
        <v>1</v>
      </c>
    </row>
    <row r="52" spans="2:7" x14ac:dyDescent="0.2">
      <c r="B52" s="465" t="s">
        <v>969</v>
      </c>
      <c r="C52" s="436"/>
      <c r="D52" s="35" t="s">
        <v>989</v>
      </c>
      <c r="E52" s="364">
        <v>1</v>
      </c>
    </row>
    <row r="53" spans="2:7" x14ac:dyDescent="0.2">
      <c r="B53" s="465" t="s">
        <v>916</v>
      </c>
      <c r="C53" s="436"/>
      <c r="D53" s="35" t="s">
        <v>986</v>
      </c>
      <c r="E53" s="364">
        <v>3</v>
      </c>
    </row>
    <row r="54" spans="2:7" x14ac:dyDescent="0.2">
      <c r="B54" s="465" t="s">
        <v>917</v>
      </c>
      <c r="C54" s="436"/>
      <c r="D54" s="35" t="s">
        <v>987</v>
      </c>
      <c r="E54" s="364">
        <v>3</v>
      </c>
    </row>
    <row r="55" spans="2:7" x14ac:dyDescent="0.2">
      <c r="B55" s="465" t="s">
        <v>985</v>
      </c>
      <c r="C55" s="436"/>
      <c r="E55" s="364">
        <v>3</v>
      </c>
    </row>
    <row r="56" spans="2:7" x14ac:dyDescent="0.2">
      <c r="B56" s="465" t="s">
        <v>246</v>
      </c>
      <c r="C56" s="436"/>
      <c r="E56" s="364">
        <v>3</v>
      </c>
    </row>
    <row r="57" spans="2:7" x14ac:dyDescent="0.2">
      <c r="B57" s="466" t="s">
        <v>80</v>
      </c>
      <c r="C57" s="467"/>
      <c r="D57" s="467"/>
      <c r="E57" s="468"/>
    </row>
    <row r="58" spans="2:7" x14ac:dyDescent="0.2">
      <c r="B58" s="465" t="s">
        <v>983</v>
      </c>
      <c r="C58" s="436"/>
      <c r="D58" s="35" t="s">
        <v>984</v>
      </c>
      <c r="E58" s="364">
        <v>2</v>
      </c>
    </row>
    <row r="59" spans="2:7" x14ac:dyDescent="0.2">
      <c r="B59" s="465" t="s">
        <v>1011</v>
      </c>
      <c r="C59" s="436"/>
      <c r="D59" s="35" t="s">
        <v>1008</v>
      </c>
      <c r="E59" s="364">
        <v>1</v>
      </c>
      <c r="G59" s="3" t="s">
        <v>1012</v>
      </c>
    </row>
    <row r="60" spans="2:7" x14ac:dyDescent="0.2">
      <c r="B60" s="465" t="s">
        <v>1009</v>
      </c>
      <c r="C60" s="436"/>
      <c r="D60" s="35" t="s">
        <v>1003</v>
      </c>
      <c r="E60" s="364">
        <v>1</v>
      </c>
    </row>
    <row r="61" spans="2:7" x14ac:dyDescent="0.2">
      <c r="B61" s="465" t="s">
        <v>970</v>
      </c>
      <c r="C61" s="436"/>
      <c r="D61" s="35" t="s">
        <v>995</v>
      </c>
      <c r="E61" s="364">
        <v>4</v>
      </c>
    </row>
    <row r="62" spans="2:7" ht="13.5" thickBot="1" x14ac:dyDescent="0.25">
      <c r="B62" s="471" t="s">
        <v>288</v>
      </c>
      <c r="C62" s="472"/>
      <c r="D62" s="358"/>
      <c r="E62" s="363">
        <v>4</v>
      </c>
    </row>
    <row r="64" spans="2:7" ht="13.5" thickBot="1" x14ac:dyDescent="0.25"/>
    <row r="65" spans="2:5" ht="19.5" x14ac:dyDescent="0.25">
      <c r="B65" s="462" t="s">
        <v>897</v>
      </c>
      <c r="C65" s="463"/>
      <c r="D65" s="463"/>
      <c r="E65" s="464"/>
    </row>
    <row r="66" spans="2:5" ht="15" x14ac:dyDescent="0.2">
      <c r="B66" s="473" t="s">
        <v>908</v>
      </c>
      <c r="C66" s="474"/>
      <c r="D66" s="356" t="s">
        <v>910</v>
      </c>
      <c r="E66" s="357" t="s">
        <v>909</v>
      </c>
    </row>
    <row r="67" spans="2:5" x14ac:dyDescent="0.2">
      <c r="B67" s="466" t="s">
        <v>971</v>
      </c>
      <c r="C67" s="467"/>
      <c r="D67" s="467"/>
      <c r="E67" s="468"/>
    </row>
    <row r="68" spans="2:5" x14ac:dyDescent="0.2">
      <c r="B68" s="465" t="s">
        <v>918</v>
      </c>
      <c r="C68" s="436"/>
      <c r="D68" s="35" t="s">
        <v>981</v>
      </c>
      <c r="E68" s="364">
        <v>1</v>
      </c>
    </row>
    <row r="69" spans="2:5" x14ac:dyDescent="0.2">
      <c r="B69" s="465" t="s">
        <v>919</v>
      </c>
      <c r="C69" s="436"/>
      <c r="D69" s="35" t="s">
        <v>982</v>
      </c>
      <c r="E69" s="364">
        <v>2</v>
      </c>
    </row>
    <row r="70" spans="2:5" x14ac:dyDescent="0.2">
      <c r="B70" s="465" t="s">
        <v>920</v>
      </c>
      <c r="C70" s="436"/>
      <c r="D70" s="35" t="s">
        <v>980</v>
      </c>
      <c r="E70" s="364">
        <v>2</v>
      </c>
    </row>
    <row r="71" spans="2:5" x14ac:dyDescent="0.2">
      <c r="B71" s="465" t="s">
        <v>921</v>
      </c>
      <c r="C71" s="436"/>
      <c r="D71" s="35" t="s">
        <v>980</v>
      </c>
      <c r="E71" s="364">
        <v>2</v>
      </c>
    </row>
    <row r="72" spans="2:5" x14ac:dyDescent="0.2">
      <c r="B72" s="466" t="s">
        <v>80</v>
      </c>
      <c r="C72" s="467"/>
      <c r="D72" s="467"/>
      <c r="E72" s="468"/>
    </row>
    <row r="73" spans="2:5" x14ac:dyDescent="0.2">
      <c r="B73" s="465" t="s">
        <v>922</v>
      </c>
      <c r="C73" s="436"/>
      <c r="E73" s="364">
        <v>2</v>
      </c>
    </row>
    <row r="74" spans="2:5" x14ac:dyDescent="0.2">
      <c r="B74" s="465" t="s">
        <v>923</v>
      </c>
      <c r="C74" s="436"/>
      <c r="E74" s="364">
        <v>1</v>
      </c>
    </row>
    <row r="75" spans="2:5" ht="13.5" thickBot="1" x14ac:dyDescent="0.25">
      <c r="B75" s="471" t="s">
        <v>924</v>
      </c>
      <c r="C75" s="472"/>
      <c r="D75" s="358" t="s">
        <v>279</v>
      </c>
      <c r="E75" s="363">
        <v>3</v>
      </c>
    </row>
    <row r="77" spans="2:5" ht="13.5" thickBot="1" x14ac:dyDescent="0.25"/>
    <row r="78" spans="2:5" ht="19.5" x14ac:dyDescent="0.25">
      <c r="B78" s="462" t="s">
        <v>944</v>
      </c>
      <c r="C78" s="463"/>
      <c r="D78" s="463"/>
      <c r="E78" s="464"/>
    </row>
    <row r="79" spans="2:5" ht="15" x14ac:dyDescent="0.2">
      <c r="B79" s="473" t="s">
        <v>908</v>
      </c>
      <c r="C79" s="474"/>
      <c r="D79" s="356" t="s">
        <v>910</v>
      </c>
      <c r="E79" s="357" t="s">
        <v>909</v>
      </c>
    </row>
    <row r="80" spans="2:5" x14ac:dyDescent="0.2">
      <c r="B80" s="466" t="s">
        <v>972</v>
      </c>
      <c r="C80" s="467"/>
      <c r="D80" s="467"/>
      <c r="E80" s="468"/>
    </row>
    <row r="81" spans="2:7" x14ac:dyDescent="0.2">
      <c r="B81" s="465" t="s">
        <v>996</v>
      </c>
      <c r="C81" s="436"/>
      <c r="D81" s="35" t="s">
        <v>1001</v>
      </c>
      <c r="E81" s="364">
        <v>1</v>
      </c>
      <c r="G81" s="3" t="s">
        <v>1014</v>
      </c>
    </row>
    <row r="82" spans="2:7" x14ac:dyDescent="0.2">
      <c r="B82" s="465" t="s">
        <v>997</v>
      </c>
      <c r="C82" s="436"/>
      <c r="D82" s="35" t="s">
        <v>1002</v>
      </c>
      <c r="E82" s="364">
        <v>2</v>
      </c>
      <c r="G82" s="3" t="s">
        <v>1016</v>
      </c>
    </row>
    <row r="83" spans="2:7" x14ac:dyDescent="0.2">
      <c r="B83" s="465" t="s">
        <v>998</v>
      </c>
      <c r="C83" s="436"/>
      <c r="D83" s="35" t="s">
        <v>1002</v>
      </c>
      <c r="E83" s="364">
        <v>1</v>
      </c>
      <c r="G83" s="3" t="s">
        <v>1013</v>
      </c>
    </row>
    <row r="84" spans="2:7" x14ac:dyDescent="0.2">
      <c r="B84" s="465" t="s">
        <v>999</v>
      </c>
      <c r="C84" s="436"/>
      <c r="D84" s="35" t="s">
        <v>1002</v>
      </c>
      <c r="E84" s="364">
        <v>1</v>
      </c>
      <c r="G84" s="3" t="s">
        <v>1017</v>
      </c>
    </row>
    <row r="85" spans="2:7" x14ac:dyDescent="0.2">
      <c r="B85" s="465" t="s">
        <v>1000</v>
      </c>
      <c r="C85" s="436"/>
      <c r="D85" s="35" t="s">
        <v>1002</v>
      </c>
      <c r="E85" s="364">
        <v>1</v>
      </c>
      <c r="G85" s="3" t="s">
        <v>1015</v>
      </c>
    </row>
    <row r="86" spans="2:7" x14ac:dyDescent="0.2">
      <c r="B86" s="466" t="s">
        <v>202</v>
      </c>
      <c r="C86" s="467"/>
      <c r="D86" s="467"/>
      <c r="E86" s="468"/>
    </row>
    <row r="87" spans="2:7" x14ac:dyDescent="0.2">
      <c r="B87" s="465" t="s">
        <v>967</v>
      </c>
      <c r="C87" s="436"/>
      <c r="D87" s="35" t="s">
        <v>989</v>
      </c>
      <c r="E87" s="364">
        <v>12</v>
      </c>
    </row>
    <row r="88" spans="2:7" x14ac:dyDescent="0.2">
      <c r="B88" s="465" t="s">
        <v>921</v>
      </c>
      <c r="C88" s="436"/>
      <c r="D88" s="35" t="s">
        <v>980</v>
      </c>
      <c r="E88" s="364">
        <v>1</v>
      </c>
    </row>
    <row r="89" spans="2:7" x14ac:dyDescent="0.2">
      <c r="B89" s="465" t="s">
        <v>1007</v>
      </c>
      <c r="C89" s="436"/>
      <c r="D89" s="35" t="s">
        <v>1010</v>
      </c>
      <c r="E89" s="364">
        <v>20</v>
      </c>
    </row>
    <row r="90" spans="2:7" x14ac:dyDescent="0.2">
      <c r="B90" s="466" t="s">
        <v>974</v>
      </c>
      <c r="C90" s="467"/>
      <c r="D90" s="467"/>
      <c r="E90" s="468"/>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6" t="s">
        <v>1005</v>
      </c>
      <c r="C95" s="467"/>
      <c r="D95" s="467"/>
      <c r="E95" s="468"/>
    </row>
    <row r="96" spans="2:7" x14ac:dyDescent="0.2">
      <c r="B96" s="360"/>
      <c r="C96" s="3" t="s">
        <v>1006</v>
      </c>
      <c r="D96" s="35" t="s">
        <v>992</v>
      </c>
      <c r="E96" s="364">
        <v>12</v>
      </c>
    </row>
    <row r="97" spans="2:5" x14ac:dyDescent="0.2">
      <c r="B97" s="466" t="s">
        <v>976</v>
      </c>
      <c r="C97" s="467"/>
      <c r="D97" s="467"/>
      <c r="E97" s="468"/>
    </row>
    <row r="98" spans="2:5" x14ac:dyDescent="0.2">
      <c r="B98" s="360"/>
      <c r="C98" s="3" t="s">
        <v>955</v>
      </c>
      <c r="D98" s="35" t="s">
        <v>992</v>
      </c>
      <c r="E98" s="364">
        <v>12</v>
      </c>
    </row>
    <row r="99" spans="2:5" x14ac:dyDescent="0.2">
      <c r="B99" s="466" t="s">
        <v>229</v>
      </c>
      <c r="C99" s="467"/>
      <c r="D99" s="467"/>
      <c r="E99" s="468"/>
    </row>
    <row r="100" spans="2:5" x14ac:dyDescent="0.2">
      <c r="B100" s="360"/>
      <c r="C100" s="3" t="s">
        <v>231</v>
      </c>
      <c r="D100" s="35" t="s">
        <v>994</v>
      </c>
      <c r="E100" s="364">
        <v>12</v>
      </c>
    </row>
    <row r="101" spans="2:5" x14ac:dyDescent="0.2">
      <c r="B101" s="466" t="s">
        <v>233</v>
      </c>
      <c r="C101" s="467"/>
      <c r="D101" s="467"/>
      <c r="E101" s="468"/>
    </row>
    <row r="102" spans="2:5" x14ac:dyDescent="0.2">
      <c r="B102" s="360"/>
      <c r="C102" s="3" t="s">
        <v>230</v>
      </c>
      <c r="D102" s="35" t="s">
        <v>945</v>
      </c>
      <c r="E102" s="364">
        <v>38</v>
      </c>
    </row>
    <row r="103" spans="2:5" x14ac:dyDescent="0.2">
      <c r="B103" s="466" t="s">
        <v>235</v>
      </c>
      <c r="C103" s="467"/>
      <c r="D103" s="467"/>
      <c r="E103" s="468"/>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62" t="s">
        <v>895</v>
      </c>
      <c r="C2" s="463"/>
      <c r="D2" s="463"/>
      <c r="E2" s="464"/>
    </row>
    <row r="3" spans="2:5" s="354" customFormat="1" ht="15" x14ac:dyDescent="0.2">
      <c r="B3" s="469" t="s">
        <v>908</v>
      </c>
      <c r="C3" s="470"/>
      <c r="D3" s="355" t="s">
        <v>910</v>
      </c>
      <c r="E3" s="359" t="s">
        <v>909</v>
      </c>
    </row>
    <row r="4" spans="2:5" x14ac:dyDescent="0.2">
      <c r="B4" s="466" t="s">
        <v>973</v>
      </c>
      <c r="C4" s="467"/>
      <c r="D4" s="467"/>
      <c r="E4" s="468"/>
    </row>
    <row r="5" spans="2:5" x14ac:dyDescent="0.2">
      <c r="B5" s="360"/>
      <c r="C5" s="3" t="s">
        <v>961</v>
      </c>
      <c r="D5" s="35" t="s">
        <v>992</v>
      </c>
      <c r="E5" s="364">
        <v>4</v>
      </c>
    </row>
    <row r="6" spans="2:5" x14ac:dyDescent="0.2">
      <c r="B6" s="466" t="s">
        <v>974</v>
      </c>
      <c r="C6" s="467"/>
      <c r="D6" s="467"/>
      <c r="E6" s="468"/>
    </row>
    <row r="7" spans="2:5" x14ac:dyDescent="0.2">
      <c r="B7" s="360"/>
      <c r="C7" s="3" t="s">
        <v>946</v>
      </c>
      <c r="D7" s="35" t="s">
        <v>992</v>
      </c>
      <c r="E7" s="364">
        <v>62</v>
      </c>
    </row>
    <row r="8" spans="2:5" x14ac:dyDescent="0.2">
      <c r="B8" s="360"/>
      <c r="C8" s="3" t="s">
        <v>947</v>
      </c>
      <c r="D8" s="35" t="s">
        <v>992</v>
      </c>
      <c r="E8" s="364">
        <v>44</v>
      </c>
    </row>
    <row r="9" spans="2:5" x14ac:dyDescent="0.2">
      <c r="B9" s="360"/>
      <c r="C9" s="3" t="s">
        <v>948</v>
      </c>
      <c r="D9" s="35" t="s">
        <v>992</v>
      </c>
      <c r="E9" s="364">
        <v>32</v>
      </c>
    </row>
    <row r="10" spans="2:5" x14ac:dyDescent="0.2">
      <c r="B10" s="360"/>
      <c r="C10" s="3" t="s">
        <v>949</v>
      </c>
      <c r="D10" s="35" t="s">
        <v>992</v>
      </c>
      <c r="E10" s="364">
        <v>4</v>
      </c>
    </row>
    <row r="11" spans="2:5" x14ac:dyDescent="0.2">
      <c r="B11" s="360"/>
      <c r="C11" s="3" t="s">
        <v>950</v>
      </c>
      <c r="D11" s="35" t="s">
        <v>992</v>
      </c>
      <c r="E11" s="364">
        <v>15</v>
      </c>
    </row>
    <row r="12" spans="2:5" x14ac:dyDescent="0.2">
      <c r="B12" s="360"/>
      <c r="C12" s="3" t="s">
        <v>951</v>
      </c>
      <c r="D12" s="35" t="s">
        <v>992</v>
      </c>
      <c r="E12" s="364">
        <v>12</v>
      </c>
    </row>
    <row r="13" spans="2:5" x14ac:dyDescent="0.2">
      <c r="B13" s="360"/>
      <c r="C13" s="3" t="s">
        <v>952</v>
      </c>
      <c r="D13" s="35" t="s">
        <v>992</v>
      </c>
      <c r="E13" s="364">
        <v>19</v>
      </c>
    </row>
    <row r="14" spans="2:5" x14ac:dyDescent="0.2">
      <c r="B14" s="466" t="s">
        <v>975</v>
      </c>
      <c r="C14" s="467"/>
      <c r="D14" s="467"/>
      <c r="E14" s="468"/>
    </row>
    <row r="15" spans="2:5" x14ac:dyDescent="0.2">
      <c r="B15" s="360"/>
      <c r="C15" s="3" t="s">
        <v>953</v>
      </c>
      <c r="D15" s="35" t="s">
        <v>992</v>
      </c>
      <c r="E15" s="364">
        <v>32</v>
      </c>
    </row>
    <row r="16" spans="2:5" x14ac:dyDescent="0.2">
      <c r="B16" s="360"/>
      <c r="C16" s="3" t="s">
        <v>954</v>
      </c>
      <c r="D16" s="35" t="s">
        <v>992</v>
      </c>
      <c r="E16" s="364">
        <v>11</v>
      </c>
    </row>
    <row r="17" spans="2:5" x14ac:dyDescent="0.2">
      <c r="B17" s="466" t="s">
        <v>976</v>
      </c>
      <c r="C17" s="467"/>
      <c r="D17" s="467"/>
      <c r="E17" s="468"/>
    </row>
    <row r="18" spans="2:5" x14ac:dyDescent="0.2">
      <c r="B18" s="360"/>
      <c r="C18" s="3" t="s">
        <v>955</v>
      </c>
      <c r="D18" s="35" t="s">
        <v>992</v>
      </c>
      <c r="E18" s="364">
        <v>24</v>
      </c>
    </row>
    <row r="19" spans="2:5" x14ac:dyDescent="0.2">
      <c r="B19" s="360"/>
      <c r="C19" s="3" t="s">
        <v>956</v>
      </c>
      <c r="D19" s="35" t="s">
        <v>992</v>
      </c>
      <c r="E19" s="364">
        <v>4</v>
      </c>
    </row>
    <row r="20" spans="2:5" x14ac:dyDescent="0.2">
      <c r="B20" s="360"/>
      <c r="C20" s="3" t="s">
        <v>957</v>
      </c>
      <c r="D20" s="35" t="s">
        <v>992</v>
      </c>
      <c r="E20" s="364">
        <v>10</v>
      </c>
    </row>
    <row r="21" spans="2:5" x14ac:dyDescent="0.2">
      <c r="B21" s="360"/>
      <c r="C21" s="3" t="s">
        <v>958</v>
      </c>
      <c r="D21" s="35" t="s">
        <v>992</v>
      </c>
      <c r="E21" s="364">
        <v>4</v>
      </c>
    </row>
    <row r="22" spans="2:5" x14ac:dyDescent="0.2">
      <c r="B22" s="466" t="s">
        <v>977</v>
      </c>
      <c r="C22" s="467"/>
      <c r="D22" s="467"/>
      <c r="E22" s="468"/>
    </row>
    <row r="23" spans="2:5" x14ac:dyDescent="0.2">
      <c r="B23" s="360"/>
      <c r="C23" s="3" t="s">
        <v>959</v>
      </c>
      <c r="D23" s="35" t="s">
        <v>992</v>
      </c>
      <c r="E23" s="364">
        <v>4</v>
      </c>
    </row>
    <row r="24" spans="2:5" x14ac:dyDescent="0.2">
      <c r="B24" s="360"/>
      <c r="C24" s="3" t="s">
        <v>956</v>
      </c>
      <c r="D24" s="35" t="s">
        <v>992</v>
      </c>
      <c r="E24" s="364">
        <v>12</v>
      </c>
    </row>
    <row r="25" spans="2:5" x14ac:dyDescent="0.2">
      <c r="B25" s="466" t="s">
        <v>978</v>
      </c>
      <c r="C25" s="467"/>
      <c r="D25" s="467"/>
      <c r="E25" s="468"/>
    </row>
    <row r="26" spans="2:5" x14ac:dyDescent="0.2">
      <c r="B26" s="360"/>
      <c r="C26" s="3" t="s">
        <v>960</v>
      </c>
      <c r="D26" s="35" t="s">
        <v>993</v>
      </c>
      <c r="E26" s="364">
        <v>8</v>
      </c>
    </row>
    <row r="27" spans="2:5" x14ac:dyDescent="0.2">
      <c r="B27" s="466" t="s">
        <v>229</v>
      </c>
      <c r="C27" s="467"/>
      <c r="D27" s="467"/>
      <c r="E27" s="468"/>
    </row>
    <row r="28" spans="2:5" x14ac:dyDescent="0.2">
      <c r="B28" s="360"/>
      <c r="C28" s="3" t="s">
        <v>231</v>
      </c>
      <c r="D28" s="35" t="s">
        <v>994</v>
      </c>
      <c r="E28" s="364">
        <v>52</v>
      </c>
    </row>
    <row r="29" spans="2:5" x14ac:dyDescent="0.2">
      <c r="B29" s="466" t="s">
        <v>232</v>
      </c>
      <c r="C29" s="467"/>
      <c r="D29" s="467"/>
      <c r="E29" s="468"/>
    </row>
    <row r="30" spans="2:5" x14ac:dyDescent="0.2">
      <c r="B30" s="360"/>
      <c r="C30" s="3" t="s">
        <v>230</v>
      </c>
      <c r="D30" s="35" t="s">
        <v>992</v>
      </c>
      <c r="E30" s="364">
        <v>5</v>
      </c>
    </row>
    <row r="31" spans="2:5" x14ac:dyDescent="0.2">
      <c r="B31" s="466" t="s">
        <v>233</v>
      </c>
      <c r="C31" s="467"/>
      <c r="D31" s="467"/>
      <c r="E31" s="468"/>
    </row>
    <row r="32" spans="2:5" x14ac:dyDescent="0.2">
      <c r="B32" s="360"/>
      <c r="C32" s="3" t="s">
        <v>230</v>
      </c>
      <c r="D32" s="35" t="s">
        <v>945</v>
      </c>
      <c r="E32" s="364">
        <v>39</v>
      </c>
    </row>
    <row r="33" spans="2:5" x14ac:dyDescent="0.2">
      <c r="B33" s="360"/>
      <c r="C33" s="3" t="s">
        <v>234</v>
      </c>
      <c r="D33" s="35" t="s">
        <v>945</v>
      </c>
      <c r="E33" s="364">
        <v>30</v>
      </c>
    </row>
    <row r="34" spans="2:5" x14ac:dyDescent="0.2">
      <c r="B34" s="466" t="s">
        <v>235</v>
      </c>
      <c r="C34" s="467"/>
      <c r="D34" s="467"/>
      <c r="E34" s="468"/>
    </row>
    <row r="35" spans="2:5" x14ac:dyDescent="0.2">
      <c r="B35" s="360"/>
      <c r="C35" s="3" t="s">
        <v>230</v>
      </c>
      <c r="D35" s="35" t="s">
        <v>942</v>
      </c>
      <c r="E35" s="364">
        <v>99</v>
      </c>
    </row>
    <row r="36" spans="2:5" ht="13.5" thickBot="1" x14ac:dyDescent="0.25">
      <c r="B36" s="361"/>
      <c r="C36" s="362" t="s">
        <v>231</v>
      </c>
      <c r="D36" s="358" t="s">
        <v>943</v>
      </c>
      <c r="E36" s="363">
        <v>18</v>
      </c>
    </row>
    <row r="38" spans="2:5" ht="13.5" thickBot="1" x14ac:dyDescent="0.25"/>
    <row r="39" spans="2:5" ht="19.5" x14ac:dyDescent="0.25">
      <c r="B39" s="462" t="s">
        <v>979</v>
      </c>
      <c r="C39" s="463"/>
      <c r="D39" s="463"/>
      <c r="E39" s="464"/>
    </row>
    <row r="40" spans="2:5" ht="15" x14ac:dyDescent="0.2">
      <c r="B40" s="473" t="s">
        <v>908</v>
      </c>
      <c r="C40" s="474"/>
      <c r="D40" s="356" t="s">
        <v>910</v>
      </c>
      <c r="E40" s="357" t="s">
        <v>909</v>
      </c>
    </row>
    <row r="41" spans="2:5" x14ac:dyDescent="0.2">
      <c r="B41" s="466" t="s">
        <v>962</v>
      </c>
      <c r="C41" s="467"/>
      <c r="D41" s="467"/>
      <c r="E41" s="468"/>
    </row>
    <row r="42" spans="2:5" x14ac:dyDescent="0.2">
      <c r="B42" s="465" t="s">
        <v>911</v>
      </c>
      <c r="C42" s="436"/>
      <c r="D42" s="35" t="s">
        <v>965</v>
      </c>
      <c r="E42" s="364">
        <v>4</v>
      </c>
    </row>
    <row r="43" spans="2:5" x14ac:dyDescent="0.2">
      <c r="B43" s="465" t="s">
        <v>912</v>
      </c>
      <c r="C43" s="436"/>
      <c r="D43" s="35" t="s">
        <v>965</v>
      </c>
      <c r="E43" s="364">
        <v>3</v>
      </c>
    </row>
    <row r="44" spans="2:5" x14ac:dyDescent="0.2">
      <c r="B44" s="465" t="s">
        <v>967</v>
      </c>
      <c r="C44" s="436"/>
      <c r="D44" s="35" t="s">
        <v>988</v>
      </c>
      <c r="E44" s="364">
        <v>32</v>
      </c>
    </row>
    <row r="45" spans="2:5" x14ac:dyDescent="0.2">
      <c r="B45" s="465" t="s">
        <v>968</v>
      </c>
      <c r="C45" s="436"/>
      <c r="D45" s="35" t="s">
        <v>989</v>
      </c>
      <c r="E45" s="364">
        <v>6</v>
      </c>
    </row>
    <row r="46" spans="2:5" x14ac:dyDescent="0.2">
      <c r="B46" s="466" t="s">
        <v>963</v>
      </c>
      <c r="C46" s="467"/>
      <c r="D46" s="467"/>
      <c r="E46" s="468"/>
    </row>
    <row r="47" spans="2:5" x14ac:dyDescent="0.2">
      <c r="B47" s="465" t="s">
        <v>913</v>
      </c>
      <c r="C47" s="436"/>
      <c r="D47" s="35" t="s">
        <v>990</v>
      </c>
      <c r="E47" s="364">
        <v>4</v>
      </c>
    </row>
    <row r="48" spans="2:5" x14ac:dyDescent="0.2">
      <c r="B48" s="465" t="s">
        <v>914</v>
      </c>
      <c r="C48" s="436"/>
      <c r="D48" s="35" t="s">
        <v>990</v>
      </c>
      <c r="E48" s="364">
        <v>2</v>
      </c>
    </row>
    <row r="49" spans="2:7" x14ac:dyDescent="0.2">
      <c r="B49" s="465" t="s">
        <v>966</v>
      </c>
      <c r="C49" s="436"/>
      <c r="D49" s="35" t="s">
        <v>990</v>
      </c>
      <c r="E49" s="364">
        <v>1</v>
      </c>
    </row>
    <row r="50" spans="2:7" x14ac:dyDescent="0.2">
      <c r="B50" s="466" t="s">
        <v>964</v>
      </c>
      <c r="C50" s="467"/>
      <c r="D50" s="467"/>
      <c r="E50" s="468"/>
    </row>
    <row r="51" spans="2:7" x14ac:dyDescent="0.2">
      <c r="B51" s="465" t="s">
        <v>915</v>
      </c>
      <c r="C51" s="436"/>
      <c r="D51" s="35" t="s">
        <v>991</v>
      </c>
      <c r="E51" s="364">
        <v>1</v>
      </c>
    </row>
    <row r="52" spans="2:7" x14ac:dyDescent="0.2">
      <c r="B52" s="465" t="s">
        <v>969</v>
      </c>
      <c r="C52" s="436"/>
      <c r="D52" s="35" t="s">
        <v>989</v>
      </c>
      <c r="E52" s="364">
        <v>1</v>
      </c>
    </row>
    <row r="53" spans="2:7" x14ac:dyDescent="0.2">
      <c r="B53" s="465" t="s">
        <v>916</v>
      </c>
      <c r="C53" s="436"/>
      <c r="D53" s="35" t="s">
        <v>986</v>
      </c>
      <c r="E53" s="364">
        <v>3</v>
      </c>
    </row>
    <row r="54" spans="2:7" x14ac:dyDescent="0.2">
      <c r="B54" s="465" t="s">
        <v>917</v>
      </c>
      <c r="C54" s="436"/>
      <c r="D54" s="35" t="s">
        <v>987</v>
      </c>
      <c r="E54" s="364">
        <v>3</v>
      </c>
    </row>
    <row r="55" spans="2:7" x14ac:dyDescent="0.2">
      <c r="B55" s="465" t="s">
        <v>985</v>
      </c>
      <c r="C55" s="436"/>
      <c r="E55" s="364">
        <v>3</v>
      </c>
    </row>
    <row r="56" spans="2:7" x14ac:dyDescent="0.2">
      <c r="B56" s="465" t="s">
        <v>246</v>
      </c>
      <c r="C56" s="436"/>
      <c r="E56" s="364">
        <v>3</v>
      </c>
    </row>
    <row r="57" spans="2:7" x14ac:dyDescent="0.2">
      <c r="B57" s="466" t="s">
        <v>80</v>
      </c>
      <c r="C57" s="467"/>
      <c r="D57" s="467"/>
      <c r="E57" s="468"/>
    </row>
    <row r="58" spans="2:7" x14ac:dyDescent="0.2">
      <c r="B58" s="465" t="s">
        <v>983</v>
      </c>
      <c r="C58" s="436"/>
      <c r="D58" s="35" t="s">
        <v>984</v>
      </c>
      <c r="E58" s="364">
        <v>2</v>
      </c>
    </row>
    <row r="59" spans="2:7" x14ac:dyDescent="0.2">
      <c r="B59" s="465" t="s">
        <v>1011</v>
      </c>
      <c r="C59" s="436"/>
      <c r="D59" s="35" t="s">
        <v>1008</v>
      </c>
      <c r="E59" s="364">
        <v>1</v>
      </c>
      <c r="G59" s="3" t="s">
        <v>1012</v>
      </c>
    </row>
    <row r="60" spans="2:7" x14ac:dyDescent="0.2">
      <c r="B60" s="465" t="s">
        <v>1009</v>
      </c>
      <c r="C60" s="436"/>
      <c r="D60" s="35" t="s">
        <v>1003</v>
      </c>
      <c r="E60" s="364">
        <v>1</v>
      </c>
    </row>
    <row r="61" spans="2:7" x14ac:dyDescent="0.2">
      <c r="B61" s="465" t="s">
        <v>970</v>
      </c>
      <c r="C61" s="436"/>
      <c r="D61" s="35" t="s">
        <v>995</v>
      </c>
      <c r="E61" s="364">
        <v>4</v>
      </c>
    </row>
    <row r="62" spans="2:7" ht="13.5" thickBot="1" x14ac:dyDescent="0.25">
      <c r="B62" s="471" t="s">
        <v>288</v>
      </c>
      <c r="C62" s="472"/>
      <c r="D62" s="358"/>
      <c r="E62" s="363">
        <v>4</v>
      </c>
    </row>
    <row r="64" spans="2:7" ht="13.5" thickBot="1" x14ac:dyDescent="0.25"/>
    <row r="65" spans="2:5" ht="19.5" x14ac:dyDescent="0.25">
      <c r="B65" s="462" t="s">
        <v>897</v>
      </c>
      <c r="C65" s="463"/>
      <c r="D65" s="463"/>
      <c r="E65" s="464"/>
    </row>
    <row r="66" spans="2:5" ht="15" x14ac:dyDescent="0.2">
      <c r="B66" s="473" t="s">
        <v>908</v>
      </c>
      <c r="C66" s="474"/>
      <c r="D66" s="356" t="s">
        <v>910</v>
      </c>
      <c r="E66" s="357" t="s">
        <v>909</v>
      </c>
    </row>
    <row r="67" spans="2:5" x14ac:dyDescent="0.2">
      <c r="B67" s="466" t="s">
        <v>971</v>
      </c>
      <c r="C67" s="467"/>
      <c r="D67" s="467"/>
      <c r="E67" s="468"/>
    </row>
    <row r="68" spans="2:5" x14ac:dyDescent="0.2">
      <c r="B68" s="465" t="s">
        <v>918</v>
      </c>
      <c r="C68" s="436"/>
      <c r="D68" s="35" t="s">
        <v>981</v>
      </c>
      <c r="E68" s="364">
        <v>1</v>
      </c>
    </row>
    <row r="69" spans="2:5" x14ac:dyDescent="0.2">
      <c r="B69" s="465" t="s">
        <v>919</v>
      </c>
      <c r="C69" s="436"/>
      <c r="D69" s="35" t="s">
        <v>982</v>
      </c>
      <c r="E69" s="364">
        <v>2</v>
      </c>
    </row>
    <row r="70" spans="2:5" x14ac:dyDescent="0.2">
      <c r="B70" s="465" t="s">
        <v>920</v>
      </c>
      <c r="C70" s="436"/>
      <c r="D70" s="35" t="s">
        <v>980</v>
      </c>
      <c r="E70" s="364">
        <v>2</v>
      </c>
    </row>
    <row r="71" spans="2:5" x14ac:dyDescent="0.2">
      <c r="B71" s="465" t="s">
        <v>921</v>
      </c>
      <c r="C71" s="436"/>
      <c r="D71" s="35" t="s">
        <v>980</v>
      </c>
      <c r="E71" s="364">
        <v>2</v>
      </c>
    </row>
    <row r="72" spans="2:5" x14ac:dyDescent="0.2">
      <c r="B72" s="466" t="s">
        <v>80</v>
      </c>
      <c r="C72" s="467"/>
      <c r="D72" s="467"/>
      <c r="E72" s="468"/>
    </row>
    <row r="73" spans="2:5" x14ac:dyDescent="0.2">
      <c r="B73" s="465" t="s">
        <v>922</v>
      </c>
      <c r="C73" s="436"/>
      <c r="E73" s="364">
        <v>2</v>
      </c>
    </row>
    <row r="74" spans="2:5" x14ac:dyDescent="0.2">
      <c r="B74" s="465" t="s">
        <v>923</v>
      </c>
      <c r="C74" s="436"/>
      <c r="E74" s="364">
        <v>1</v>
      </c>
    </row>
    <row r="75" spans="2:5" ht="13.5" thickBot="1" x14ac:dyDescent="0.25">
      <c r="B75" s="471" t="s">
        <v>924</v>
      </c>
      <c r="C75" s="472"/>
      <c r="D75" s="358" t="s">
        <v>279</v>
      </c>
      <c r="E75" s="363">
        <v>3</v>
      </c>
    </row>
    <row r="77" spans="2:5" ht="13.5" thickBot="1" x14ac:dyDescent="0.25"/>
    <row r="78" spans="2:5" ht="19.5" x14ac:dyDescent="0.25">
      <c r="B78" s="462" t="s">
        <v>944</v>
      </c>
      <c r="C78" s="463"/>
      <c r="D78" s="463"/>
      <c r="E78" s="464"/>
    </row>
    <row r="79" spans="2:5" ht="15" x14ac:dyDescent="0.2">
      <c r="B79" s="473" t="s">
        <v>908</v>
      </c>
      <c r="C79" s="474"/>
      <c r="D79" s="356" t="s">
        <v>910</v>
      </c>
      <c r="E79" s="357" t="s">
        <v>909</v>
      </c>
    </row>
    <row r="80" spans="2:5" x14ac:dyDescent="0.2">
      <c r="B80" s="466" t="s">
        <v>972</v>
      </c>
      <c r="C80" s="467"/>
      <c r="D80" s="467"/>
      <c r="E80" s="468"/>
    </row>
    <row r="81" spans="2:7" x14ac:dyDescent="0.2">
      <c r="B81" s="465" t="s">
        <v>996</v>
      </c>
      <c r="C81" s="436"/>
      <c r="D81" s="35" t="s">
        <v>1001</v>
      </c>
      <c r="E81" s="364">
        <v>1</v>
      </c>
      <c r="G81" s="3" t="s">
        <v>1014</v>
      </c>
    </row>
    <row r="82" spans="2:7" x14ac:dyDescent="0.2">
      <c r="B82" s="465" t="s">
        <v>997</v>
      </c>
      <c r="C82" s="436"/>
      <c r="D82" s="35" t="s">
        <v>1002</v>
      </c>
      <c r="E82" s="364">
        <v>2</v>
      </c>
      <c r="G82" s="3" t="s">
        <v>1016</v>
      </c>
    </row>
    <row r="83" spans="2:7" x14ac:dyDescent="0.2">
      <c r="B83" s="465" t="s">
        <v>998</v>
      </c>
      <c r="C83" s="436"/>
      <c r="D83" s="35" t="s">
        <v>1002</v>
      </c>
      <c r="E83" s="364">
        <v>1</v>
      </c>
      <c r="G83" s="3" t="s">
        <v>1013</v>
      </c>
    </row>
    <row r="84" spans="2:7" x14ac:dyDescent="0.2">
      <c r="B84" s="465" t="s">
        <v>999</v>
      </c>
      <c r="C84" s="436"/>
      <c r="D84" s="35" t="s">
        <v>1002</v>
      </c>
      <c r="E84" s="364">
        <v>1</v>
      </c>
      <c r="G84" s="3" t="s">
        <v>1017</v>
      </c>
    </row>
    <row r="85" spans="2:7" x14ac:dyDescent="0.2">
      <c r="B85" s="465" t="s">
        <v>1000</v>
      </c>
      <c r="C85" s="436"/>
      <c r="D85" s="35" t="s">
        <v>1002</v>
      </c>
      <c r="E85" s="364">
        <v>1</v>
      </c>
      <c r="G85" s="3" t="s">
        <v>1015</v>
      </c>
    </row>
    <row r="86" spans="2:7" x14ac:dyDescent="0.2">
      <c r="B86" s="466" t="s">
        <v>202</v>
      </c>
      <c r="C86" s="467"/>
      <c r="D86" s="467"/>
      <c r="E86" s="468"/>
    </row>
    <row r="87" spans="2:7" x14ac:dyDescent="0.2">
      <c r="B87" s="465" t="s">
        <v>967</v>
      </c>
      <c r="C87" s="436"/>
      <c r="D87" s="35" t="s">
        <v>989</v>
      </c>
      <c r="E87" s="364">
        <v>12</v>
      </c>
    </row>
    <row r="88" spans="2:7" x14ac:dyDescent="0.2">
      <c r="B88" s="465" t="s">
        <v>921</v>
      </c>
      <c r="C88" s="436"/>
      <c r="D88" s="35" t="s">
        <v>980</v>
      </c>
      <c r="E88" s="364">
        <v>1</v>
      </c>
    </row>
    <row r="89" spans="2:7" x14ac:dyDescent="0.2">
      <c r="B89" s="465" t="s">
        <v>1007</v>
      </c>
      <c r="C89" s="436"/>
      <c r="D89" s="35" t="s">
        <v>1010</v>
      </c>
      <c r="E89" s="364">
        <v>20</v>
      </c>
    </row>
    <row r="90" spans="2:7" x14ac:dyDescent="0.2">
      <c r="B90" s="466" t="s">
        <v>974</v>
      </c>
      <c r="C90" s="467"/>
      <c r="D90" s="467"/>
      <c r="E90" s="468"/>
    </row>
    <row r="91" spans="2:7" x14ac:dyDescent="0.2">
      <c r="B91" s="360"/>
      <c r="C91" s="3" t="s">
        <v>946</v>
      </c>
      <c r="D91" s="35" t="s">
        <v>992</v>
      </c>
      <c r="E91" s="364">
        <v>2</v>
      </c>
    </row>
    <row r="92" spans="2:7" x14ac:dyDescent="0.2">
      <c r="B92" s="360"/>
      <c r="C92" s="3" t="s">
        <v>948</v>
      </c>
      <c r="D92" s="35" t="s">
        <v>992</v>
      </c>
      <c r="E92" s="364">
        <v>50</v>
      </c>
    </row>
    <row r="93" spans="2:7" x14ac:dyDescent="0.2">
      <c r="B93" s="360"/>
      <c r="C93" s="3" t="s">
        <v>1004</v>
      </c>
      <c r="D93" s="35" t="s">
        <v>992</v>
      </c>
      <c r="E93" s="364">
        <v>17</v>
      </c>
    </row>
    <row r="94" spans="2:7" x14ac:dyDescent="0.2">
      <c r="B94" s="360"/>
      <c r="C94" s="3" t="s">
        <v>952</v>
      </c>
      <c r="D94" s="35" t="s">
        <v>992</v>
      </c>
      <c r="E94" s="364">
        <v>2</v>
      </c>
    </row>
    <row r="95" spans="2:7" x14ac:dyDescent="0.2">
      <c r="B95" s="466" t="s">
        <v>1005</v>
      </c>
      <c r="C95" s="467"/>
      <c r="D95" s="467"/>
      <c r="E95" s="468"/>
    </row>
    <row r="96" spans="2:7" x14ac:dyDescent="0.2">
      <c r="B96" s="360"/>
      <c r="C96" s="3" t="s">
        <v>1006</v>
      </c>
      <c r="D96" s="35" t="s">
        <v>992</v>
      </c>
      <c r="E96" s="364">
        <v>12</v>
      </c>
    </row>
    <row r="97" spans="2:5" x14ac:dyDescent="0.2">
      <c r="B97" s="466" t="s">
        <v>976</v>
      </c>
      <c r="C97" s="467"/>
      <c r="D97" s="467"/>
      <c r="E97" s="468"/>
    </row>
    <row r="98" spans="2:5" x14ac:dyDescent="0.2">
      <c r="B98" s="360"/>
      <c r="C98" s="3" t="s">
        <v>955</v>
      </c>
      <c r="D98" s="35" t="s">
        <v>992</v>
      </c>
      <c r="E98" s="364">
        <v>12</v>
      </c>
    </row>
    <row r="99" spans="2:5" x14ac:dyDescent="0.2">
      <c r="B99" s="466" t="s">
        <v>229</v>
      </c>
      <c r="C99" s="467"/>
      <c r="D99" s="467"/>
      <c r="E99" s="468"/>
    </row>
    <row r="100" spans="2:5" x14ac:dyDescent="0.2">
      <c r="B100" s="360"/>
      <c r="C100" s="3" t="s">
        <v>231</v>
      </c>
      <c r="D100" s="35" t="s">
        <v>994</v>
      </c>
      <c r="E100" s="364">
        <v>12</v>
      </c>
    </row>
    <row r="101" spans="2:5" x14ac:dyDescent="0.2">
      <c r="B101" s="466" t="s">
        <v>233</v>
      </c>
      <c r="C101" s="467"/>
      <c r="D101" s="467"/>
      <c r="E101" s="468"/>
    </row>
    <row r="102" spans="2:5" x14ac:dyDescent="0.2">
      <c r="B102" s="360"/>
      <c r="C102" s="3" t="s">
        <v>230</v>
      </c>
      <c r="D102" s="35" t="s">
        <v>945</v>
      </c>
      <c r="E102" s="364">
        <v>38</v>
      </c>
    </row>
    <row r="103" spans="2:5" x14ac:dyDescent="0.2">
      <c r="B103" s="466" t="s">
        <v>235</v>
      </c>
      <c r="C103" s="467"/>
      <c r="D103" s="467"/>
      <c r="E103" s="468"/>
    </row>
    <row r="104" spans="2:5" x14ac:dyDescent="0.2">
      <c r="B104" s="360"/>
      <c r="C104" s="3" t="s">
        <v>230</v>
      </c>
      <c r="D104" s="35" t="s">
        <v>942</v>
      </c>
      <c r="E104" s="364">
        <v>44</v>
      </c>
    </row>
    <row r="105" spans="2:5" ht="13.5" thickBot="1" x14ac:dyDescent="0.25">
      <c r="B105" s="361"/>
      <c r="C105" s="362" t="s">
        <v>231</v>
      </c>
      <c r="D105" s="358" t="s">
        <v>943</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Listy</vt:lpstr>
      </vt:variant>
      <vt:variant>
        <vt:i4>7</vt:i4>
      </vt:variant>
    </vt:vector>
  </HeadingPairs>
  <TitlesOfParts>
    <vt:vector size="7" baseType="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Radek Honc</dc:creator>
  <dc:description/>
  <cp:lastModifiedBy>Radek Honc</cp:lastModifiedBy>
  <cp:revision>78</cp:revision>
  <dcterms:created xsi:type="dcterms:W3CDTF">2024-06-12T12:21:37Z</dcterms:created>
  <dcterms:modified xsi:type="dcterms:W3CDTF">2024-08-19T08:48:45Z</dcterms:modified>
  <dc:language>cs-CZ</dc:language>
</cp:coreProperties>
</file>