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nalisisLaboratorio\sql\"/>
    </mc:Choice>
  </mc:AlternateContent>
  <xr:revisionPtr revIDLastSave="0" documentId="13_ncr:1_{411950BD-7645-48E5-9FD5-F9A29F78B11B}" xr6:coauthVersionLast="47" xr6:coauthVersionMax="47" xr10:uidLastSave="{00000000-0000-0000-0000-000000000000}"/>
  <bookViews>
    <workbookView xWindow="15264" yWindow="0" windowWidth="15552" windowHeight="18576" activeTab="1" xr2:uid="{00000000-000D-0000-FFFF-FFFF00000000}"/>
  </bookViews>
  <sheets>
    <sheet name="Jugos &amp; Meladura" sheetId="1" r:id="rId1"/>
    <sheet name="Masas &amp; Mieles" sheetId="2" r:id="rId2"/>
    <sheet name="pH, Molinos Bagazo &amp; Cachaza" sheetId="4" r:id="rId3"/>
    <sheet name="Cédula Captura" sheetId="5" r:id="rId4"/>
  </sheets>
  <externalReferences>
    <externalReference r:id="rId5"/>
  </externalReferences>
  <definedNames>
    <definedName name="_xlnm.Print_Area" localSheetId="3">'Cédula Captura'!$A$1:$L$54</definedName>
    <definedName name="_xlnm.Print_Area" localSheetId="0">'Jugos &amp; Meladura'!$A$1:$R$90</definedName>
    <definedName name="_xlnm.Print_Area" localSheetId="1">'Masas &amp; Mieles'!$B$1:$AB$60</definedName>
    <definedName name="_xlnm.Print_Area" localSheetId="2">'pH, Molinos Bagazo &amp; Cachaza'!$B$1:$Z$76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P34" i="1"/>
  <c r="F34" i="1"/>
  <c r="AB55" i="2"/>
  <c r="I56" i="2"/>
  <c r="L56" i="2"/>
  <c r="K56" i="2" s="1"/>
  <c r="L14" i="2"/>
  <c r="Q15" i="1"/>
  <c r="Q16" i="1"/>
  <c r="Q17" i="1"/>
  <c r="Q18" i="1"/>
  <c r="Q19" i="1"/>
  <c r="Q20" i="1"/>
  <c r="Q21" i="1"/>
  <c r="Q22" i="1"/>
  <c r="Q23" i="1"/>
  <c r="P58" i="2"/>
  <c r="P50" i="2"/>
  <c r="Q60" i="2"/>
  <c r="P13" i="1"/>
  <c r="P76" i="1"/>
  <c r="P20" i="4"/>
  <c r="P21" i="4"/>
  <c r="O36" i="2"/>
  <c r="O35" i="2"/>
  <c r="P18" i="4"/>
  <c r="O12" i="2"/>
  <c r="P70" i="1" l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5" i="1"/>
  <c r="P86" i="1"/>
  <c r="P87" i="1"/>
  <c r="P88" i="1"/>
  <c r="P69" i="1"/>
  <c r="M33" i="4" l="1"/>
  <c r="P33" i="4"/>
  <c r="P32" i="4"/>
  <c r="P31" i="4"/>
  <c r="P30" i="4"/>
  <c r="P29" i="4"/>
  <c r="P28" i="4"/>
  <c r="P27" i="4"/>
  <c r="P26" i="4"/>
  <c r="P25" i="4"/>
  <c r="P24" i="4"/>
  <c r="P23" i="4"/>
  <c r="P22" i="4"/>
  <c r="P19" i="4"/>
  <c r="P17" i="4"/>
  <c r="P16" i="4"/>
  <c r="P15" i="4"/>
  <c r="P14" i="4"/>
  <c r="P13" i="4"/>
  <c r="P12" i="4"/>
  <c r="P11" i="4"/>
  <c r="P10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AB39" i="2"/>
  <c r="C34" i="5" s="1"/>
  <c r="AB48" i="2" l="1"/>
  <c r="T46" i="2" l="1"/>
  <c r="S46" i="2"/>
  <c r="Q60" i="1" l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G52" i="1"/>
  <c r="G51" i="1"/>
  <c r="G50" i="1"/>
  <c r="G49" i="1"/>
  <c r="G48" i="1"/>
  <c r="G47" i="1"/>
  <c r="G46" i="1"/>
  <c r="G45" i="1"/>
  <c r="K3" i="5" l="1"/>
  <c r="U55" i="2" l="1"/>
  <c r="U54" i="2"/>
  <c r="U53" i="2"/>
  <c r="U52" i="2"/>
  <c r="E59" i="2"/>
  <c r="E58" i="2"/>
  <c r="E57" i="2"/>
  <c r="E56" i="2"/>
  <c r="E55" i="2"/>
  <c r="E54" i="2"/>
  <c r="E53" i="2"/>
  <c r="E52" i="2"/>
  <c r="E51" i="2"/>
  <c r="E50" i="2"/>
  <c r="AC42" i="2"/>
  <c r="C45" i="5" s="1"/>
  <c r="C47" i="5" s="1"/>
  <c r="Z35" i="4"/>
  <c r="Y35" i="4"/>
  <c r="V35" i="4"/>
  <c r="U35" i="4"/>
  <c r="T35" i="4"/>
  <c r="S35" i="4"/>
  <c r="U36" i="4" s="1"/>
  <c r="R35" i="4"/>
  <c r="X35" i="4"/>
  <c r="W35" i="4"/>
  <c r="Q35" i="4"/>
  <c r="J35" i="4"/>
  <c r="I35" i="4"/>
  <c r="H35" i="4"/>
  <c r="G35" i="4"/>
  <c r="F35" i="4"/>
  <c r="E35" i="4"/>
  <c r="D35" i="4"/>
  <c r="C35" i="4"/>
  <c r="R90" i="1"/>
  <c r="O90" i="1"/>
  <c r="N90" i="1"/>
  <c r="H90" i="1"/>
  <c r="E90" i="1"/>
  <c r="D90" i="1"/>
  <c r="AB35" i="2"/>
  <c r="AA35" i="2"/>
  <c r="Z35" i="2"/>
  <c r="AA6" i="2"/>
  <c r="AA4" i="2"/>
  <c r="F9" i="1"/>
  <c r="R62" i="1"/>
  <c r="O62" i="1"/>
  <c r="N62" i="1"/>
  <c r="H62" i="1"/>
  <c r="E62" i="1"/>
  <c r="D62" i="1"/>
  <c r="R34" i="1"/>
  <c r="O34" i="1"/>
  <c r="N34" i="1"/>
  <c r="H34" i="1"/>
  <c r="E34" i="1"/>
  <c r="D34" i="1"/>
  <c r="L10" i="2"/>
  <c r="K10" i="2" s="1"/>
  <c r="L11" i="2"/>
  <c r="K11" i="2" s="1"/>
  <c r="L12" i="2"/>
  <c r="K12" i="2" s="1"/>
  <c r="L13" i="2"/>
  <c r="K13" i="2" s="1"/>
  <c r="K14" i="2"/>
  <c r="L15" i="2"/>
  <c r="K15" i="2" s="1"/>
  <c r="L16" i="2"/>
  <c r="K16" i="2" s="1"/>
  <c r="E60" i="4"/>
  <c r="E59" i="4"/>
  <c r="E58" i="4"/>
  <c r="E57" i="4"/>
  <c r="E56" i="4"/>
  <c r="E55" i="4"/>
  <c r="E54" i="4"/>
  <c r="E47" i="4"/>
  <c r="E46" i="4"/>
  <c r="E45" i="4"/>
  <c r="E44" i="4"/>
  <c r="E43" i="4"/>
  <c r="E42" i="4"/>
  <c r="E41" i="4"/>
  <c r="E40" i="4"/>
  <c r="E39" i="4"/>
  <c r="E38" i="4"/>
  <c r="E53" i="4"/>
  <c r="E52" i="4"/>
  <c r="E51" i="4"/>
  <c r="E73" i="4"/>
  <c r="E72" i="4"/>
  <c r="E71" i="4"/>
  <c r="E70" i="4"/>
  <c r="E68" i="4"/>
  <c r="E67" i="4"/>
  <c r="E66" i="4"/>
  <c r="E65" i="4"/>
  <c r="E64" i="4"/>
  <c r="E69" i="4"/>
  <c r="Y44" i="2"/>
  <c r="Y47" i="2"/>
  <c r="L42" i="5" s="1"/>
  <c r="AA47" i="2"/>
  <c r="L44" i="5" s="1"/>
  <c r="Z47" i="2"/>
  <c r="L43" i="5" s="1"/>
  <c r="AB45" i="2"/>
  <c r="AB43" i="2"/>
  <c r="Y46" i="2"/>
  <c r="Z46" i="2"/>
  <c r="AA46" i="2"/>
  <c r="AA44" i="2"/>
  <c r="Z44" i="2"/>
  <c r="AA42" i="2"/>
  <c r="Z42" i="2"/>
  <c r="Y42" i="2"/>
  <c r="M46" i="2"/>
  <c r="L38" i="5" s="1"/>
  <c r="N46" i="2"/>
  <c r="U59" i="2"/>
  <c r="U58" i="2"/>
  <c r="U57" i="2"/>
  <c r="U56" i="2"/>
  <c r="P59" i="2"/>
  <c r="P56" i="2"/>
  <c r="J56" i="2" s="1"/>
  <c r="P55" i="2"/>
  <c r="P54" i="2"/>
  <c r="L59" i="2"/>
  <c r="L58" i="2"/>
  <c r="L57" i="2"/>
  <c r="L55" i="2"/>
  <c r="K55" i="2" s="1"/>
  <c r="L54" i="2"/>
  <c r="K54" i="2" s="1"/>
  <c r="L53" i="2"/>
  <c r="L52" i="2"/>
  <c r="K52" i="2" s="1"/>
  <c r="L51" i="2"/>
  <c r="K51" i="2" s="1"/>
  <c r="L50" i="2"/>
  <c r="K50" i="2" s="1"/>
  <c r="K59" i="2"/>
  <c r="K58" i="2"/>
  <c r="K57" i="2"/>
  <c r="K53" i="2"/>
  <c r="I59" i="2"/>
  <c r="J59" i="2" s="1"/>
  <c r="I58" i="2"/>
  <c r="J58" i="2" s="1"/>
  <c r="I57" i="2"/>
  <c r="J57" i="2" s="1"/>
  <c r="I55" i="2"/>
  <c r="I54" i="2"/>
  <c r="J54" i="2" s="1"/>
  <c r="I53" i="2"/>
  <c r="J53" i="2" s="1"/>
  <c r="I52" i="2"/>
  <c r="J52" i="2" s="1"/>
  <c r="U45" i="2"/>
  <c r="U44" i="2"/>
  <c r="U43" i="2"/>
  <c r="U42" i="2"/>
  <c r="U41" i="2"/>
  <c r="U40" i="2"/>
  <c r="U39" i="2"/>
  <c r="U38" i="2"/>
  <c r="U37" i="2"/>
  <c r="O45" i="2"/>
  <c r="J45" i="2" s="1"/>
  <c r="O44" i="2"/>
  <c r="J44" i="2" s="1"/>
  <c r="O43" i="2"/>
  <c r="J43" i="2" s="1"/>
  <c r="O42" i="2"/>
  <c r="J42" i="2" s="1"/>
  <c r="O41" i="2"/>
  <c r="J41" i="2" s="1"/>
  <c r="O40" i="2"/>
  <c r="J40" i="2" s="1"/>
  <c r="O39" i="2"/>
  <c r="J39" i="2" s="1"/>
  <c r="O38" i="2"/>
  <c r="O37" i="2"/>
  <c r="O34" i="2"/>
  <c r="L45" i="2"/>
  <c r="L44" i="2"/>
  <c r="L43" i="2"/>
  <c r="L42" i="2"/>
  <c r="L41" i="2"/>
  <c r="L40" i="2"/>
  <c r="L39" i="2"/>
  <c r="L38" i="2"/>
  <c r="K38" i="2" s="1"/>
  <c r="L37" i="2"/>
  <c r="K37" i="2" s="1"/>
  <c r="L36" i="2"/>
  <c r="K36" i="2" s="1"/>
  <c r="L35" i="2"/>
  <c r="K35" i="2" s="1"/>
  <c r="L34" i="2"/>
  <c r="K34" i="2" s="1"/>
  <c r="K45" i="2"/>
  <c r="K44" i="2"/>
  <c r="K43" i="2"/>
  <c r="K42" i="2"/>
  <c r="K41" i="2"/>
  <c r="K40" i="2"/>
  <c r="K39" i="2"/>
  <c r="I45" i="2"/>
  <c r="P45" i="2" s="1"/>
  <c r="I44" i="2"/>
  <c r="P44" i="2" s="1"/>
  <c r="I43" i="2"/>
  <c r="P43" i="2" s="1"/>
  <c r="I42" i="2"/>
  <c r="P42" i="2" s="1"/>
  <c r="I41" i="2"/>
  <c r="P41" i="2" s="1"/>
  <c r="I40" i="2"/>
  <c r="P40" i="2" s="1"/>
  <c r="I39" i="2"/>
  <c r="P39" i="2" s="1"/>
  <c r="O29" i="2"/>
  <c r="J29" i="2" s="1"/>
  <c r="O28" i="2"/>
  <c r="J28" i="2" s="1"/>
  <c r="O27" i="2"/>
  <c r="J27" i="2" s="1"/>
  <c r="O26" i="2"/>
  <c r="J26" i="2" s="1"/>
  <c r="O25" i="2"/>
  <c r="J25" i="2" s="1"/>
  <c r="O24" i="2"/>
  <c r="J24" i="2" s="1"/>
  <c r="O23" i="2"/>
  <c r="J23" i="2" s="1"/>
  <c r="O22" i="2"/>
  <c r="J22" i="2" s="1"/>
  <c r="O21" i="2"/>
  <c r="J21" i="2" s="1"/>
  <c r="O20" i="2"/>
  <c r="J20" i="2" s="1"/>
  <c r="O19" i="2"/>
  <c r="O18" i="2"/>
  <c r="O17" i="2"/>
  <c r="L29" i="2"/>
  <c r="L28" i="2"/>
  <c r="L27" i="2"/>
  <c r="L26" i="2"/>
  <c r="L25" i="2"/>
  <c r="L24" i="2"/>
  <c r="L23" i="2"/>
  <c r="L22" i="2"/>
  <c r="L21" i="2"/>
  <c r="L20" i="2"/>
  <c r="L19" i="2"/>
  <c r="K19" i="2" s="1"/>
  <c r="L18" i="2"/>
  <c r="K18" i="2" s="1"/>
  <c r="L17" i="2"/>
  <c r="K17" i="2" s="1"/>
  <c r="K29" i="2"/>
  <c r="K28" i="2"/>
  <c r="K27" i="2"/>
  <c r="K26" i="2"/>
  <c r="K25" i="2"/>
  <c r="K24" i="2"/>
  <c r="K23" i="2"/>
  <c r="K22" i="2"/>
  <c r="K21" i="2"/>
  <c r="K20" i="2"/>
  <c r="I29" i="2"/>
  <c r="P29" i="2" s="1"/>
  <c r="I28" i="2"/>
  <c r="P28" i="2" s="1"/>
  <c r="I27" i="2"/>
  <c r="P27" i="2" s="1"/>
  <c r="I26" i="2"/>
  <c r="P26" i="2" s="1"/>
  <c r="I25" i="2"/>
  <c r="P25" i="2" s="1"/>
  <c r="I24" i="2"/>
  <c r="P24" i="2" s="1"/>
  <c r="I23" i="2"/>
  <c r="P23" i="2" s="1"/>
  <c r="I22" i="2"/>
  <c r="P22" i="2" s="1"/>
  <c r="I21" i="2"/>
  <c r="P21" i="2" s="1"/>
  <c r="I20" i="2"/>
  <c r="P20" i="2" s="1"/>
  <c r="I19" i="2"/>
  <c r="I18" i="2"/>
  <c r="I17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B23" i="5"/>
  <c r="B24" i="5" s="1"/>
  <c r="B25" i="5" s="1"/>
  <c r="B26" i="5" s="1"/>
  <c r="B27" i="5" s="1"/>
  <c r="B28" i="5" s="1"/>
  <c r="B29" i="5" s="1"/>
  <c r="B30" i="5" s="1"/>
  <c r="B31" i="5" s="1"/>
  <c r="H72" i="2"/>
  <c r="B34" i="5"/>
  <c r="B35" i="5" s="1"/>
  <c r="B36" i="5" s="1"/>
  <c r="B37" i="5" s="1"/>
  <c r="B38" i="5" s="1"/>
  <c r="AB40" i="2"/>
  <c r="F6" i="5" s="1"/>
  <c r="C35" i="5" s="1"/>
  <c r="Q69" i="1"/>
  <c r="Q68" i="1"/>
  <c r="Q67" i="1"/>
  <c r="Q66" i="1"/>
  <c r="Q65" i="1"/>
  <c r="P65" i="1"/>
  <c r="J1" i="5"/>
  <c r="E43" i="5"/>
  <c r="E44" i="5" s="1"/>
  <c r="E45" i="5" s="1"/>
  <c r="E46" i="5" s="1"/>
  <c r="E47" i="5" s="1"/>
  <c r="E48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L29" i="5"/>
  <c r="L22" i="5"/>
  <c r="E22" i="5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B6" i="5"/>
  <c r="B7" i="5" s="1"/>
  <c r="B8" i="5" s="1"/>
  <c r="B9" i="5" s="1"/>
  <c r="B10" i="5" s="1"/>
  <c r="B11" i="5" s="1"/>
  <c r="B12" i="5" s="1"/>
  <c r="B13" i="5" s="1"/>
  <c r="B14" i="5" s="1"/>
  <c r="L21" i="5"/>
  <c r="L20" i="5"/>
  <c r="L19" i="5"/>
  <c r="K18" i="5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J55" i="2" l="1"/>
  <c r="J19" i="2"/>
  <c r="P19" i="2"/>
  <c r="P17" i="2"/>
  <c r="J17" i="2"/>
  <c r="J18" i="2"/>
  <c r="Q90" i="1"/>
  <c r="O46" i="2"/>
  <c r="P18" i="2"/>
  <c r="O9" i="5"/>
  <c r="P9" i="5" s="1"/>
  <c r="P35" i="4"/>
  <c r="F7" i="5" s="1"/>
  <c r="O11" i="5" s="1"/>
  <c r="M35" i="4"/>
  <c r="F9" i="5" s="1"/>
  <c r="O10" i="5" s="1"/>
  <c r="E61" i="4"/>
  <c r="E48" i="4"/>
  <c r="E74" i="4"/>
  <c r="AB47" i="2"/>
  <c r="C5" i="5" s="1"/>
  <c r="AB46" i="2"/>
  <c r="AB44" i="2"/>
  <c r="C11" i="5" s="1"/>
  <c r="C12" i="5" s="1"/>
  <c r="C13" i="5" s="1"/>
  <c r="C14" i="5" s="1"/>
  <c r="S41" i="1"/>
  <c r="P38" i="1"/>
  <c r="P37" i="1"/>
  <c r="Q32" i="1"/>
  <c r="Q31" i="1"/>
  <c r="Q30" i="1"/>
  <c r="Q29" i="1"/>
  <c r="Q28" i="1"/>
  <c r="Q27" i="1"/>
  <c r="Q26" i="1"/>
  <c r="Q25" i="1"/>
  <c r="Q24" i="1"/>
  <c r="Q14" i="1"/>
  <c r="Q13" i="1"/>
  <c r="Q12" i="1"/>
  <c r="Q11" i="1"/>
  <c r="Q10" i="1"/>
  <c r="P10" i="1"/>
  <c r="Q9" i="1"/>
  <c r="P9" i="1"/>
  <c r="F71" i="1"/>
  <c r="F70" i="1"/>
  <c r="G69" i="1"/>
  <c r="F69" i="1"/>
  <c r="G68" i="1"/>
  <c r="F68" i="1"/>
  <c r="G67" i="1"/>
  <c r="F67" i="1"/>
  <c r="G66" i="1"/>
  <c r="F66" i="1"/>
  <c r="G65" i="1"/>
  <c r="F65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F19" i="5"/>
  <c r="F18" i="5"/>
  <c r="L9" i="5"/>
  <c r="L5" i="5"/>
  <c r="C36" i="5"/>
  <c r="L17" i="5"/>
  <c r="C37" i="5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Y6" i="4"/>
  <c r="Y4" i="4"/>
  <c r="Y5" i="4" s="1"/>
  <c r="AA5" i="2"/>
  <c r="AB42" i="2"/>
  <c r="AB52" i="2"/>
  <c r="AB51" i="2"/>
  <c r="AB50" i="2"/>
  <c r="AB49" i="2"/>
  <c r="AB41" i="2"/>
  <c r="S30" i="2"/>
  <c r="R30" i="2"/>
  <c r="U30" i="2"/>
  <c r="V30" i="2"/>
  <c r="Q11" i="2"/>
  <c r="Q12" i="2" s="1"/>
  <c r="Q13" i="2" s="1"/>
  <c r="Q14" i="2" s="1"/>
  <c r="Q15" i="2" s="1"/>
  <c r="Q16" i="2" s="1"/>
  <c r="Q17" i="2" s="1"/>
  <c r="Q18" i="2" s="1"/>
  <c r="W30" i="2"/>
  <c r="F46" i="2"/>
  <c r="T60" i="2"/>
  <c r="L33" i="5" s="1"/>
  <c r="S60" i="2"/>
  <c r="U51" i="2"/>
  <c r="U50" i="2"/>
  <c r="U36" i="2"/>
  <c r="U35" i="2"/>
  <c r="U34" i="2"/>
  <c r="N60" i="2"/>
  <c r="C26" i="5"/>
  <c r="P53" i="2"/>
  <c r="O60" i="2"/>
  <c r="C25" i="5" s="1"/>
  <c r="H60" i="2"/>
  <c r="L14" i="5" s="1"/>
  <c r="G60" i="2"/>
  <c r="L13" i="5" s="1"/>
  <c r="F60" i="2"/>
  <c r="D60" i="2"/>
  <c r="P52" i="2"/>
  <c r="P51" i="2"/>
  <c r="I51" i="2"/>
  <c r="J51" i="2" s="1"/>
  <c r="B51" i="2"/>
  <c r="B52" i="2" s="1"/>
  <c r="A51" i="2"/>
  <c r="A52" i="2" s="1"/>
  <c r="A53" i="2" s="1"/>
  <c r="A54" i="2" s="1"/>
  <c r="A55" i="2" s="1"/>
  <c r="A56" i="2" s="1"/>
  <c r="A57" i="2" s="1"/>
  <c r="A58" i="2" s="1"/>
  <c r="A59" i="2" s="1"/>
  <c r="I50" i="2"/>
  <c r="J50" i="2" s="1"/>
  <c r="E45" i="2"/>
  <c r="E44" i="2"/>
  <c r="E43" i="2"/>
  <c r="E42" i="2"/>
  <c r="E41" i="2"/>
  <c r="E40" i="2"/>
  <c r="E39" i="2"/>
  <c r="E38" i="2"/>
  <c r="E37" i="2"/>
  <c r="E36" i="2"/>
  <c r="E35" i="2"/>
  <c r="H46" i="2"/>
  <c r="L27" i="5" s="1"/>
  <c r="G46" i="2"/>
  <c r="D46" i="2"/>
  <c r="P38" i="2"/>
  <c r="I37" i="2"/>
  <c r="P37" i="2" s="1"/>
  <c r="I36" i="2"/>
  <c r="P36" i="2" s="1"/>
  <c r="I35" i="2"/>
  <c r="P35" i="2" s="1"/>
  <c r="B35" i="2"/>
  <c r="B36" i="2" s="1"/>
  <c r="B37" i="2" s="1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I34" i="2"/>
  <c r="P34" i="2" s="1"/>
  <c r="I10" i="2"/>
  <c r="H30" i="2"/>
  <c r="L24" i="5" s="1"/>
  <c r="G30" i="2"/>
  <c r="F30" i="2"/>
  <c r="N30" i="2"/>
  <c r="M30" i="2"/>
  <c r="D3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O16" i="2"/>
  <c r="O15" i="2"/>
  <c r="O14" i="2"/>
  <c r="O13" i="2"/>
  <c r="O11" i="2"/>
  <c r="O10" i="2"/>
  <c r="E16" i="2"/>
  <c r="E15" i="2"/>
  <c r="E14" i="2"/>
  <c r="E13" i="2"/>
  <c r="E12" i="2"/>
  <c r="E11" i="2"/>
  <c r="E10" i="2"/>
  <c r="Q5" i="1"/>
  <c r="L11" i="5"/>
  <c r="L10" i="5"/>
  <c r="P68" i="1"/>
  <c r="P67" i="1"/>
  <c r="P66" i="1"/>
  <c r="Q39" i="1"/>
  <c r="Q38" i="1"/>
  <c r="Q37" i="1"/>
  <c r="L7" i="5"/>
  <c r="F17" i="5"/>
  <c r="F16" i="5"/>
  <c r="F14" i="5"/>
  <c r="F13" i="5"/>
  <c r="G60" i="1"/>
  <c r="G59" i="1"/>
  <c r="G58" i="1"/>
  <c r="G57" i="1"/>
  <c r="G56" i="1"/>
  <c r="G55" i="1"/>
  <c r="G54" i="1"/>
  <c r="G53" i="1"/>
  <c r="G44" i="1"/>
  <c r="G43" i="1"/>
  <c r="G42" i="1"/>
  <c r="G41" i="1"/>
  <c r="G40" i="1"/>
  <c r="G39" i="1"/>
  <c r="G38" i="1"/>
  <c r="G37" i="1"/>
  <c r="I16" i="2"/>
  <c r="I15" i="2"/>
  <c r="I14" i="2"/>
  <c r="I13" i="2"/>
  <c r="I12" i="2"/>
  <c r="I11" i="2"/>
  <c r="B11" i="2"/>
  <c r="B12" i="2" s="1"/>
  <c r="B13" i="2" s="1"/>
  <c r="B14" i="2" s="1"/>
  <c r="B15" i="2" s="1"/>
  <c r="B16" i="2" s="1"/>
  <c r="B17" i="2" s="1"/>
  <c r="B18" i="2" s="1"/>
  <c r="G15" i="1"/>
  <c r="G14" i="1"/>
  <c r="G13" i="1"/>
  <c r="G12" i="1"/>
  <c r="G11" i="1"/>
  <c r="G10" i="1"/>
  <c r="G9" i="1"/>
  <c r="F11" i="5"/>
  <c r="F10" i="5"/>
  <c r="Q62" i="1" l="1"/>
  <c r="L32" i="5"/>
  <c r="U60" i="2"/>
  <c r="C24" i="5"/>
  <c r="C51" i="5" s="1"/>
  <c r="C23" i="5" s="1"/>
  <c r="C42" i="5" s="1"/>
  <c r="P60" i="2"/>
  <c r="L26" i="5"/>
  <c r="I46" i="2"/>
  <c r="J46" i="2" s="1"/>
  <c r="P16" i="2"/>
  <c r="P15" i="2"/>
  <c r="P14" i="2"/>
  <c r="P13" i="2"/>
  <c r="P12" i="2"/>
  <c r="L37" i="5"/>
  <c r="O30" i="2"/>
  <c r="P10" i="2"/>
  <c r="L23" i="5"/>
  <c r="I30" i="2"/>
  <c r="P30" i="2" s="1"/>
  <c r="Q34" i="1"/>
  <c r="L8" i="5" s="1"/>
  <c r="G90" i="1"/>
  <c r="G62" i="1"/>
  <c r="F15" i="5" s="1"/>
  <c r="G34" i="1"/>
  <c r="F12" i="5" s="1"/>
  <c r="AB53" i="2"/>
  <c r="AB56" i="2" s="1"/>
  <c r="AB57" i="2" s="1"/>
  <c r="P10" i="5"/>
  <c r="P11" i="5"/>
  <c r="O12" i="5"/>
  <c r="P12" i="5" s="1"/>
  <c r="P17" i="5" s="1"/>
  <c r="E76" i="4"/>
  <c r="C29" i="5"/>
  <c r="J11" i="2"/>
  <c r="P4" i="5"/>
  <c r="P6" i="5" s="1"/>
  <c r="P7" i="5" s="1"/>
  <c r="L6" i="5"/>
  <c r="P11" i="2"/>
  <c r="J12" i="2"/>
  <c r="J13" i="2"/>
  <c r="J14" i="2"/>
  <c r="J36" i="2"/>
  <c r="J35" i="2"/>
  <c r="J34" i="2"/>
  <c r="J15" i="2"/>
  <c r="J16" i="2"/>
  <c r="J10" i="2"/>
  <c r="J37" i="2"/>
  <c r="T30" i="2"/>
  <c r="J38" i="2"/>
  <c r="C40" i="5"/>
  <c r="C6" i="5"/>
  <c r="C7" i="5" s="1"/>
  <c r="C8" i="5" s="1"/>
  <c r="C9" i="5" s="1"/>
  <c r="F62" i="1"/>
  <c r="I60" i="2"/>
  <c r="K60" i="2"/>
  <c r="K46" i="2"/>
  <c r="K30" i="2"/>
  <c r="F90" i="1"/>
  <c r="L12" i="5"/>
  <c r="P90" i="1"/>
  <c r="F10" i="1"/>
  <c r="F14" i="1"/>
  <c r="F12" i="1"/>
  <c r="F13" i="1"/>
  <c r="F15" i="1"/>
  <c r="F11" i="1"/>
  <c r="J60" i="2" l="1"/>
  <c r="J30" i="2"/>
  <c r="P46" i="2"/>
  <c r="L25" i="5"/>
  <c r="L34" i="5"/>
  <c r="L30" i="2"/>
  <c r="P14" i="5"/>
  <c r="P18" i="5" s="1"/>
  <c r="P20" i="5"/>
  <c r="P15" i="5"/>
  <c r="L46" i="2"/>
  <c r="L35" i="5"/>
  <c r="L60" i="2"/>
  <c r="L15" i="5"/>
  <c r="L28" i="5" l="1"/>
  <c r="U46" i="2" l="1"/>
</calcChain>
</file>

<file path=xl/sharedStrings.xml><?xml version="1.0" encoding="utf-8"?>
<sst xmlns="http://schemas.openxmlformats.org/spreadsheetml/2006/main" count="469" uniqueCount="294">
  <si>
    <t>MASA COCIDA "A"</t>
  </si>
  <si>
    <t>Pureza</t>
  </si>
  <si>
    <t>Hora</t>
  </si>
  <si>
    <t>Brix</t>
  </si>
  <si>
    <t>Sac</t>
  </si>
  <si>
    <t>Pur</t>
  </si>
  <si>
    <t>Num</t>
  </si>
  <si>
    <t>Tacho</t>
  </si>
  <si>
    <t>Fibra</t>
  </si>
  <si>
    <t>MIEL FINAL</t>
  </si>
  <si>
    <t>Prom</t>
  </si>
  <si>
    <t>MELADURA</t>
  </si>
  <si>
    <t>Hoja de Análisis de Laboratorio</t>
  </si>
  <si>
    <t>Azucarera Choluteca, S.A. de C.V.</t>
  </si>
  <si>
    <t>JUGO PRIMARIO</t>
  </si>
  <si>
    <t>LAB-LB-03-R002</t>
  </si>
  <si>
    <t>JUGO MEZCLADO</t>
  </si>
  <si>
    <t>Observ</t>
  </si>
  <si>
    <t>Azúc Red</t>
  </si>
  <si>
    <t>ml gastados</t>
  </si>
  <si>
    <t>Prom 24 Horas</t>
  </si>
  <si>
    <t>Fosfatos</t>
  </si>
  <si>
    <t>JUGO RESIDUAL</t>
  </si>
  <si>
    <t>JUGO CLARIFICADO</t>
  </si>
  <si>
    <t>JUGO FILTRADO</t>
  </si>
  <si>
    <t>Día de Zafra:</t>
  </si>
  <si>
    <t>Fecha:</t>
  </si>
  <si>
    <t>Jugos &amp; Meladura</t>
  </si>
  <si>
    <t>Cristaliz</t>
  </si>
  <si>
    <r>
      <t>Vol ft</t>
    </r>
    <r>
      <rPr>
        <b/>
        <vertAlign val="superscript"/>
        <sz val="11"/>
        <rFont val="Eras Md BT"/>
        <family val="2"/>
      </rPr>
      <t>3</t>
    </r>
  </si>
  <si>
    <t>Pureza Miel</t>
  </si>
  <si>
    <t>Tn Masa</t>
  </si>
  <si>
    <t>Rend Cristal</t>
  </si>
  <si>
    <t>Pol</t>
  </si>
  <si>
    <t>Agotam</t>
  </si>
  <si>
    <t>MIEL 'A'</t>
  </si>
  <si>
    <r>
      <t>Tn / m</t>
    </r>
    <r>
      <rPr>
        <b/>
        <vertAlign val="superscript"/>
        <sz val="12"/>
        <rFont val="Eras Md BT"/>
        <family val="2"/>
      </rPr>
      <t>3</t>
    </r>
  </si>
  <si>
    <t>MASA COCIDA "B"</t>
  </si>
  <si>
    <t>MIEL 'B'</t>
  </si>
  <si>
    <t>MASA COCIDA "C"</t>
  </si>
  <si>
    <t>Azuc Red</t>
  </si>
  <si>
    <t>MAGMA 'B'</t>
  </si>
  <si>
    <t>Pureza Magma</t>
  </si>
  <si>
    <t>MAGMA 'C'</t>
  </si>
  <si>
    <t>Templa</t>
  </si>
  <si>
    <t>Color</t>
  </si>
  <si>
    <t>Turbidéz</t>
  </si>
  <si>
    <t>Vitamina 'A'</t>
  </si>
  <si>
    <t>Humedad</t>
  </si>
  <si>
    <t>Cenizas</t>
  </si>
  <si>
    <t>Partícula Fe</t>
  </si>
  <si>
    <t>ANÁLISIS DE AZÚCAR</t>
  </si>
  <si>
    <t>EFLUENTES</t>
  </si>
  <si>
    <t xml:space="preserve"> </t>
  </si>
  <si>
    <t>Enfriamiento</t>
  </si>
  <si>
    <t>Retorno</t>
  </si>
  <si>
    <t>Desechos</t>
  </si>
  <si>
    <t>Masas, Mieles, Azúcar &amp; Otros</t>
  </si>
  <si>
    <t>Observaciones</t>
  </si>
  <si>
    <t>CONCEPTO</t>
  </si>
  <si>
    <t>Turno 1</t>
  </si>
  <si>
    <t>Turno 2</t>
  </si>
  <si>
    <t>Turno 3</t>
  </si>
  <si>
    <t>Total</t>
  </si>
  <si>
    <t>Molienda Tn</t>
  </si>
  <si>
    <t>Lectura Turbo 9.4 MW</t>
  </si>
  <si>
    <t>Lectura Zona Urbana</t>
  </si>
  <si>
    <t>Lectura ENEE</t>
  </si>
  <si>
    <t>Lectura Turbo 2000 KW</t>
  </si>
  <si>
    <t>Lectura Turbo 1500 KW</t>
  </si>
  <si>
    <t>Lectura Turbo 1600 KW</t>
  </si>
  <si>
    <t>Lectura Turbo 800 KW</t>
  </si>
  <si>
    <t>Fecha de revisión: 28 de noviembre de 2023</t>
  </si>
  <si>
    <t>Control pH's, Mediciones Molinos, Bagazo &amp; Cachaza</t>
  </si>
  <si>
    <t>CONTROL DE PH</t>
  </si>
  <si>
    <t>Primario</t>
  </si>
  <si>
    <t>Mezclado</t>
  </si>
  <si>
    <t>Residual</t>
  </si>
  <si>
    <t>Sulfitado</t>
  </si>
  <si>
    <t>Alcalizado</t>
  </si>
  <si>
    <t>Clarificado</t>
  </si>
  <si>
    <t>Meladura</t>
  </si>
  <si>
    <t>AGUA DE IMBIBICIÓN</t>
  </si>
  <si>
    <t>Marcador</t>
  </si>
  <si>
    <t>Totalizador</t>
  </si>
  <si>
    <t>Tn / hora</t>
  </si>
  <si>
    <t>BAGAZO</t>
  </si>
  <si>
    <t>FILTRO CACHAZA #1</t>
  </si>
  <si>
    <t xml:space="preserve">Pol </t>
  </si>
  <si>
    <r>
      <t>g / ft</t>
    </r>
    <r>
      <rPr>
        <b/>
        <vertAlign val="superscript"/>
        <sz val="11"/>
        <rFont val="Eras Md BT"/>
        <family val="2"/>
      </rPr>
      <t>2</t>
    </r>
  </si>
  <si>
    <t>FILTRO CACHAZA #2</t>
  </si>
  <si>
    <t>FILTRO CACHAZA #3</t>
  </si>
  <si>
    <t>Paro</t>
  </si>
  <si>
    <t>Arranque</t>
  </si>
  <si>
    <t>Tiempo Perdido</t>
  </si>
  <si>
    <t>CAUSAS</t>
  </si>
  <si>
    <t>Turno A</t>
  </si>
  <si>
    <t>Turno B</t>
  </si>
  <si>
    <t>Turno C</t>
  </si>
  <si>
    <t>CACHAZA</t>
  </si>
  <si>
    <t>LABORATORIO DE FABRICA</t>
  </si>
  <si>
    <t>Azúcar, Miel y Cachaza</t>
  </si>
  <si>
    <t>Balance Molinos</t>
  </si>
  <si>
    <t>Información de Tiempo</t>
  </si>
  <si>
    <t>Claro, Meladura y Masa 'C'</t>
  </si>
  <si>
    <t>TM AZUCAR PROD</t>
  </si>
  <si>
    <t>TM CAÑA ENTRADA</t>
  </si>
  <si>
    <t>DIAS ZAFRA</t>
  </si>
  <si>
    <t>CLARO pH</t>
  </si>
  <si>
    <t>AZUCAR POL %</t>
  </si>
  <si>
    <t>TM CAÑA MOLIDA</t>
  </si>
  <si>
    <t>HORAS ZAFRA</t>
  </si>
  <si>
    <t>BRIX</t>
  </si>
  <si>
    <t>HUMEDAD %</t>
  </si>
  <si>
    <t>TM JUGO MEZCLADO</t>
  </si>
  <si>
    <t>BATEY GRUAS</t>
  </si>
  <si>
    <t>POL</t>
  </si>
  <si>
    <t>CENIZAS %</t>
  </si>
  <si>
    <t>LECT ANT AGUA</t>
  </si>
  <si>
    <t>NIVELADORES</t>
  </si>
  <si>
    <t>REDUCTORES</t>
  </si>
  <si>
    <t>Nº COLOR</t>
  </si>
  <si>
    <t>LECT ACTUAL AGUA</t>
  </si>
  <si>
    <t>MESAS ALIMENTAD</t>
  </si>
  <si>
    <t>MELADURA pH</t>
  </si>
  <si>
    <t>DESMENUZADO Bx</t>
  </si>
  <si>
    <t>MESAS LAVADORAS</t>
  </si>
  <si>
    <t>BRIX %</t>
  </si>
  <si>
    <t>CONDUCTS CAÑA</t>
  </si>
  <si>
    <t>POL %</t>
  </si>
  <si>
    <t>NIVELADORES CAÑA</t>
  </si>
  <si>
    <t>REDUCTORES %</t>
  </si>
  <si>
    <t>MEZCLADO Bx</t>
  </si>
  <si>
    <t>CUCHILLAS</t>
  </si>
  <si>
    <t>MASA 'C' Bx</t>
  </si>
  <si>
    <t>DESFIBRADORA</t>
  </si>
  <si>
    <t>TM CACHAZA</t>
  </si>
  <si>
    <t>MOTS Y STS ELECTS</t>
  </si>
  <si>
    <t>PONDERA MASA 'C'</t>
  </si>
  <si>
    <t>CACHAZA POL %</t>
  </si>
  <si>
    <t>RESIDUAL BRIX</t>
  </si>
  <si>
    <t>MOLINOS DESMENUZADORA</t>
  </si>
  <si>
    <t>Otros análisis y Templas</t>
  </si>
  <si>
    <t>MOLINOS</t>
  </si>
  <si>
    <t>MEZCLADO pH</t>
  </si>
  <si>
    <t>FIBRA %</t>
  </si>
  <si>
    <t>BAGAZO POL</t>
  </si>
  <si>
    <t>CONUCTS INTERMEDS</t>
  </si>
  <si>
    <t>SAC CLERGET</t>
  </si>
  <si>
    <t>BAGAZO % HUMEDAD</t>
  </si>
  <si>
    <t>TRANSMIS MOLINOS</t>
  </si>
  <si>
    <t>ppm DUREZA</t>
  </si>
  <si>
    <t>Información Azúcar x Calidad</t>
  </si>
  <si>
    <t>DATOS REFINERIA</t>
  </si>
  <si>
    <t>REDUCTS VELOCID</t>
  </si>
  <si>
    <t>CENIZAS</t>
  </si>
  <si>
    <t>FUNDIDO pH</t>
  </si>
  <si>
    <t>TURBINAS VAPOR</t>
  </si>
  <si>
    <t>CLARO mmKOPKE</t>
  </si>
  <si>
    <t>% POL</t>
  </si>
  <si>
    <t>MOTORES VAPOR</t>
  </si>
  <si>
    <t>% HUMEDAD</t>
  </si>
  <si>
    <t>MASA 'A' BRIX</t>
  </si>
  <si>
    <t>DUREZA</t>
  </si>
  <si>
    <t>COLADORES JUGO</t>
  </si>
  <si>
    <t>% CENIZAS</t>
  </si>
  <si>
    <t>BOMBAS</t>
  </si>
  <si>
    <t>MIEL 'A' PZA</t>
  </si>
  <si>
    <t>No. COLOR ICUMSA</t>
  </si>
  <si>
    <t>COLOR</t>
  </si>
  <si>
    <t>CALDERAS COND BAGAZ</t>
  </si>
  <si>
    <t>MASA 'B' BRIX</t>
  </si>
  <si>
    <t>CLARIFICADO pH</t>
  </si>
  <si>
    <t>CALDERAS</t>
  </si>
  <si>
    <t>MIEL 'B' PZA</t>
  </si>
  <si>
    <t>GENERACION VAPOR</t>
  </si>
  <si>
    <t>MIEL FINAL pH</t>
  </si>
  <si>
    <t>BOMBAS AGUA</t>
  </si>
  <si>
    <t>REDT TOT 85 Bx</t>
  </si>
  <si>
    <t>GENER ENERG ELECT</t>
  </si>
  <si>
    <t>SEMILLA C Bx</t>
  </si>
  <si>
    <t>LICOR pH</t>
  </si>
  <si>
    <t>STS GRAL AIRE COMP</t>
  </si>
  <si>
    <t>Materia Extraña</t>
  </si>
  <si>
    <t>ELABORACION CLARIF</t>
  </si>
  <si>
    <t>PONDERA MASA 'A'</t>
  </si>
  <si>
    <t>EVAPORACION</t>
  </si>
  <si>
    <t>PONDERA MASA 'B'</t>
  </si>
  <si>
    <t>CRISTALIZACION</t>
  </si>
  <si>
    <t>Otros y Producción x Turnos</t>
  </si>
  <si>
    <t>pH Sulfitado</t>
  </si>
  <si>
    <t>CENTRIFUGACION</t>
  </si>
  <si>
    <t>MIEL 'A' Bx</t>
  </si>
  <si>
    <t>pH Alcalizado</t>
  </si>
  <si>
    <t>SECADO ENVASE</t>
  </si>
  <si>
    <t>No. Cortadores</t>
  </si>
  <si>
    <t>RUN OFF Bx</t>
  </si>
  <si>
    <t>Movimiento Azúcar y Miel</t>
  </si>
  <si>
    <t>RUN OFF POL</t>
  </si>
  <si>
    <t>MIEL 'B' Bx</t>
  </si>
  <si>
    <t>Información Combustibles</t>
  </si>
  <si>
    <t>ABASTECIM AGUA</t>
  </si>
  <si>
    <t>Kg CAL CONSUMIDA</t>
  </si>
  <si>
    <t>TM AZUCAR EMBARC</t>
  </si>
  <si>
    <t>TM FIBRA CAÑA</t>
  </si>
  <si>
    <t>REFINACION</t>
  </si>
  <si>
    <t>AZUCAR 1er TURNO</t>
  </si>
  <si>
    <t>TM M.FINAL 85 PROD</t>
  </si>
  <si>
    <t>TM FIBRA EMBAR</t>
  </si>
  <si>
    <t>EQUIPO VACIO</t>
  </si>
  <si>
    <t>AZUCAR 2º TURNO</t>
  </si>
  <si>
    <t>TM M.FINAL 85 VEND</t>
  </si>
  <si>
    <t>LINEAS VAPOR</t>
  </si>
  <si>
    <t>AZUCAR 3er TURNO</t>
  </si>
  <si>
    <t>TM M.FINAL 85 EMB</t>
  </si>
  <si>
    <t>LTS PETROL PRUEB</t>
  </si>
  <si>
    <t>LIN JUG,MELA,MIEL</t>
  </si>
  <si>
    <t>TM CAÑA CAMIONES</t>
  </si>
  <si>
    <t>LTS PETROL LIQUI</t>
  </si>
  <si>
    <t>LIMPIEZA</t>
  </si>
  <si>
    <t>LTS PETROL DEST</t>
  </si>
  <si>
    <t>REPARACION GRAL</t>
  </si>
  <si>
    <t>EXIST ACIDO</t>
  </si>
  <si>
    <t>LTS PETROL CONSUM</t>
  </si>
  <si>
    <t>FALLA OPER MOLIEND</t>
  </si>
  <si>
    <t>FALLA OPER ELABORA</t>
  </si>
  <si>
    <t>FALTA PERSONAL</t>
  </si>
  <si>
    <t>DIAS FESTIVOS</t>
  </si>
  <si>
    <t>FALTA CAÑA CORT ACARR</t>
  </si>
  <si>
    <t>FIERROS/PIEDRAS</t>
  </si>
  <si>
    <t>LLUVIAS</t>
  </si>
  <si>
    <t xml:space="preserve"> CAPTURO: _________________</t>
  </si>
  <si>
    <t>AZUCARERA CHOLUTECA, S. A DE C. V.</t>
  </si>
  <si>
    <r>
      <t>PRO</t>
    </r>
    <r>
      <rPr>
        <i/>
        <sz val="14"/>
        <color rgb="FF0033CC"/>
        <rFont val="Helterskelter"/>
      </rPr>
      <t>CAZU</t>
    </r>
    <r>
      <rPr>
        <i/>
        <sz val="14"/>
        <color rgb="FF0000FF"/>
        <rFont val="Helterskelter"/>
      </rPr>
      <t>CAR</t>
    </r>
  </si>
  <si>
    <t>Datos Captura</t>
  </si>
  <si>
    <t>Promedio Pol Cachaza</t>
  </si>
  <si>
    <t>TM AZUC BLANCO PROD</t>
  </si>
  <si>
    <t>Tn / m3</t>
  </si>
  <si>
    <t>TM NIEL FINAL</t>
  </si>
  <si>
    <t>Especific Weight</t>
  </si>
  <si>
    <t>Molasses</t>
  </si>
  <si>
    <t>Pol % Caña</t>
  </si>
  <si>
    <t>Fib % Bag</t>
  </si>
  <si>
    <t>Fibra % Caña</t>
  </si>
  <si>
    <t>Caña</t>
  </si>
  <si>
    <t>Agua</t>
  </si>
  <si>
    <t>Jugo</t>
  </si>
  <si>
    <t>Bagazo</t>
  </si>
  <si>
    <t>Pza Residual</t>
  </si>
  <si>
    <t>Pda Bag % Caña</t>
  </si>
  <si>
    <t>Extracc Pol % Pol</t>
  </si>
  <si>
    <t>adicionar sacos de 50 &amp; de 1250</t>
  </si>
  <si>
    <t>Cal</t>
  </si>
  <si>
    <t>Azufra</t>
  </si>
  <si>
    <t>Vitamina</t>
  </si>
  <si>
    <t>Diesel</t>
  </si>
  <si>
    <t>KG AZUFRECONSUMO</t>
  </si>
  <si>
    <t>KG VITAMI CONSUMO</t>
  </si>
  <si>
    <t>LTS DIESEL CONSUM</t>
  </si>
  <si>
    <t>AZÚCAR SACOS 50 KG</t>
  </si>
  <si>
    <t>AZUCAR SACOS 1,250 KG</t>
  </si>
  <si>
    <t>EQUIPO DIESEL</t>
  </si>
  <si>
    <t>Sacos 50 Azúcar Blanco</t>
  </si>
  <si>
    <t>Tn Azúcar Blanco (50)</t>
  </si>
  <si>
    <t>Jumbo 1.25 Azúcar Blanco</t>
  </si>
  <si>
    <t>Tn Azúcar Blanco (jumbo)</t>
  </si>
  <si>
    <t>Tn Azúcar Total</t>
  </si>
  <si>
    <t>Sacos 50</t>
  </si>
  <si>
    <t xml:space="preserve">Información Campo   </t>
  </si>
  <si>
    <t>Sacos Azúcar Morena</t>
  </si>
  <si>
    <t>Tn Azúcar Morena</t>
  </si>
  <si>
    <t>TM AZUC BLANCO Morena</t>
  </si>
  <si>
    <t>PROD Galones MIEL FINAL</t>
  </si>
  <si>
    <t>Filtrado</t>
  </si>
  <si>
    <t>Total del día</t>
  </si>
  <si>
    <t>Azúc Sacos 50 Kg Equiv</t>
  </si>
  <si>
    <t>Ojo, Actualiza dato anterior</t>
  </si>
  <si>
    <t>Generación de energía</t>
  </si>
  <si>
    <t>Energía Comprada</t>
  </si>
  <si>
    <t>}7</t>
  </si>
  <si>
    <t>Día N°:</t>
  </si>
  <si>
    <t>Densidad</t>
  </si>
  <si>
    <t>Caña ACHSA</t>
  </si>
  <si>
    <t>Caña Proveedores</t>
  </si>
  <si>
    <t>Tn Caña ACHSA</t>
  </si>
  <si>
    <t>no</t>
  </si>
  <si>
    <t xml:space="preserve">Por quemarse chumacera de picadora por falta de aceite </t>
  </si>
  <si>
    <t xml:space="preserve">Por problemas en voltiadora de caña de bomba hidraulica y mesa N#2 por falta de camiones  </t>
  </si>
  <si>
    <t>por dispararse caldera 3 bajo nivel</t>
  </si>
  <si>
    <t>por baja presion</t>
  </si>
  <si>
    <t>0.05.</t>
  </si>
  <si>
    <t>por problemas en bomba de tanque de jugo alcalizado</t>
  </si>
  <si>
    <t>por problemas en tanque de jugo alcalizado</t>
  </si>
  <si>
    <t>por problemas en bommba de jugo alcalizado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</si>
</sst>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dddd"/>
    <numFmt numFmtId="166" formatCode="0.0"/>
    <numFmt numFmtId="167" formatCode="0.000"/>
    <numFmt numFmtId="168" formatCode="_(* #,##0_);_(* \(#,##0\);_(* &quot;-&quot;??_);_(@_)"/>
    <numFmt numFmtId="169" formatCode="dd\ &quot;de&quot;\ mmm\ &quot;de&quot;\ yyyy"/>
    <numFmt numFmtId="170" formatCode="#,##0.00000"/>
    <numFmt numFmtId="171" formatCode="#,##0.0"/>
    <numFmt numFmtId="172" formatCode="#,##0.000"/>
    <numFmt numFmtId="173" formatCode="[$-F800]dddd\,\ mmmm\ dd\,\ yyyy"/>
    <numFmt numFmtId="174" formatCode="_(* #,##0.000_);_(* \(#,##0.000\);_(* &quot;-&quot;??_);_(@_)"/>
    <numFmt numFmtId="175" formatCode="0.0%"/>
    <numFmt numFmtId="176" formatCode="#,##0.000_ ;\-#,##0.000\ "/>
    <numFmt numFmtId="177" formatCode="hh:mm;@"/>
  </numFmts>
  <fonts count="46">
    <font>
      <sz val="10"/>
      <name val="Arial"/>
      <family val="2"/>
    </font>
    <font>
      <sz val="10"/>
      <name val="Arial"/>
      <family val="2"/>
    </font>
    <font>
      <sz val="10"/>
      <name val="Eras Md BT"/>
      <family val="2"/>
    </font>
    <font>
      <sz val="10"/>
      <color indexed="10"/>
      <name val="Eras Md BT"/>
      <family val="2"/>
    </font>
    <font>
      <sz val="18"/>
      <name val="Eras Md BT"/>
      <family val="2"/>
    </font>
    <font>
      <b/>
      <sz val="11"/>
      <name val="Eras Md BT"/>
      <family val="2"/>
    </font>
    <font>
      <b/>
      <sz val="12"/>
      <color indexed="10"/>
      <name val="Eras Md BT"/>
      <family val="2"/>
    </font>
    <font>
      <b/>
      <sz val="10"/>
      <name val="Eras Md BT"/>
      <family val="2"/>
    </font>
    <font>
      <b/>
      <sz val="12"/>
      <color indexed="12"/>
      <name val="Eras Md BT"/>
      <family val="2"/>
    </font>
    <font>
      <u/>
      <sz val="10"/>
      <color indexed="10"/>
      <name val="Eras Md BT"/>
      <family val="2"/>
    </font>
    <font>
      <sz val="11"/>
      <name val="Eras Md BT"/>
      <family val="2"/>
    </font>
    <font>
      <b/>
      <sz val="12"/>
      <name val="Eras Md BT"/>
      <family val="2"/>
    </font>
    <font>
      <b/>
      <sz val="11"/>
      <color indexed="12"/>
      <name val="Eras Md BT"/>
      <family val="2"/>
    </font>
    <font>
      <b/>
      <sz val="11"/>
      <color indexed="10"/>
      <name val="Eras Md BT"/>
      <family val="2"/>
    </font>
    <font>
      <b/>
      <sz val="11"/>
      <color indexed="23"/>
      <name val="Eras Md BT"/>
      <family val="2"/>
    </font>
    <font>
      <sz val="16"/>
      <name val="Eras Md BT"/>
      <family val="2"/>
    </font>
    <font>
      <b/>
      <sz val="22"/>
      <name val="Eras Md BT"/>
      <family val="2"/>
    </font>
    <font>
      <sz val="24"/>
      <name val="Eras Md BT"/>
      <family val="2"/>
    </font>
    <font>
      <b/>
      <sz val="14"/>
      <name val="Eras Md BT"/>
      <family val="2"/>
    </font>
    <font>
      <b/>
      <sz val="16"/>
      <name val="Eras Md BT"/>
      <family val="2"/>
    </font>
    <font>
      <b/>
      <sz val="18"/>
      <name val="Eras Md BT"/>
      <family val="2"/>
    </font>
    <font>
      <b/>
      <sz val="24"/>
      <name val="Eras Md BT"/>
      <family val="2"/>
    </font>
    <font>
      <b/>
      <sz val="11"/>
      <color rgb="FF0000FF"/>
      <name val="Eras Md BT"/>
      <family val="2"/>
    </font>
    <font>
      <b/>
      <vertAlign val="superscript"/>
      <sz val="11"/>
      <name val="Eras Md BT"/>
      <family val="2"/>
    </font>
    <font>
      <b/>
      <vertAlign val="superscript"/>
      <sz val="12"/>
      <name val="Eras Md BT"/>
      <family val="2"/>
    </font>
    <font>
      <sz val="12"/>
      <name val="Eras Md BT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20"/>
      <name val="Eras Md BT"/>
      <family val="2"/>
    </font>
    <font>
      <b/>
      <sz val="12"/>
      <name val="Observaciones"/>
    </font>
    <font>
      <sz val="10.5"/>
      <name val="Eras Md BT"/>
      <family val="2"/>
    </font>
    <font>
      <b/>
      <sz val="10.5"/>
      <name val="Eras Md BT"/>
      <family val="2"/>
    </font>
    <font>
      <b/>
      <sz val="14"/>
      <color rgb="FF0000FF"/>
      <name val="Eras Md BT"/>
      <family val="2"/>
    </font>
    <font>
      <sz val="12"/>
      <name val="Arial"/>
      <family val="2"/>
    </font>
    <font>
      <i/>
      <sz val="14"/>
      <color rgb="FF0000FF"/>
      <name val="Helterskelter"/>
    </font>
    <font>
      <i/>
      <sz val="14"/>
      <color rgb="FF0033CC"/>
      <name val="Helterskelter"/>
    </font>
    <font>
      <b/>
      <sz val="15"/>
      <name val="Eras Md BT"/>
      <family val="2"/>
    </font>
    <font>
      <sz val="20"/>
      <name val="Eras Bold ITC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1"/>
      <color rgb="FFFF0000"/>
      <name val="Eras Md BT"/>
      <family val="2"/>
    </font>
    <font>
      <b/>
      <sz val="10"/>
      <color rgb="FF0000FF"/>
      <name val="Arial Narrow"/>
      <family val="2"/>
    </font>
    <font>
      <b/>
      <sz val="12"/>
      <color rgb="FF0000FF"/>
      <name val="Eras Md BT"/>
      <family val="2"/>
    </font>
    <font>
      <sz val="11"/>
      <name val="Eras Md BT"/>
      <family val="2"/>
    </font>
    <font>
      <b/>
      <sz val="11.5"/>
      <color rgb="FFFF0000"/>
      <name val="Eras Md BT"/>
      <family val="2"/>
    </font>
    <font>
      <b/>
      <sz val="10"/>
      <name val="Eras Md BT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hair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 diagonalUp="1">
      <left style="thin">
        <color indexed="8"/>
      </left>
      <right style="thin">
        <color indexed="8"/>
      </right>
      <top/>
      <bottom style="thin">
        <color indexed="8"/>
      </bottom>
      <diagonal style="hair">
        <color indexed="8"/>
      </diagonal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/>
      <diagonal style="hair">
        <color indexed="8"/>
      </diagonal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/>
  </cellStyleXfs>
  <cellXfs count="52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3" fontId="6" fillId="0" borderId="0" xfId="1" applyNumberFormat="1" applyFont="1" applyAlignment="1" applyProtection="1">
      <alignment horizontal="center"/>
      <protection locked="0"/>
    </xf>
    <xf numFmtId="0" fontId="7" fillId="0" borderId="0" xfId="0" applyFont="1" applyProtection="1">
      <protection hidden="1"/>
    </xf>
    <xf numFmtId="0" fontId="5" fillId="0" borderId="0" xfId="0" quotePrefix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 applyProtection="1">
      <protection hidden="1"/>
    </xf>
    <xf numFmtId="0" fontId="2" fillId="0" borderId="0" xfId="0" applyFont="1" applyProtection="1">
      <protection hidden="1"/>
    </xf>
    <xf numFmtId="20" fontId="11" fillId="0" borderId="19" xfId="0" applyNumberFormat="1" applyFont="1" applyBorder="1" applyAlignment="1" applyProtection="1">
      <alignment horizontal="center"/>
      <protection hidden="1"/>
    </xf>
    <xf numFmtId="2" fontId="5" fillId="2" borderId="20" xfId="0" applyNumberFormat="1" applyFont="1" applyFill="1" applyBorder="1" applyAlignment="1" applyProtection="1">
      <alignment horizontal="center"/>
      <protection hidden="1"/>
    </xf>
    <xf numFmtId="2" fontId="5" fillId="2" borderId="21" xfId="0" applyNumberFormat="1" applyFont="1" applyFill="1" applyBorder="1" applyAlignment="1" applyProtection="1">
      <alignment horizontal="center"/>
      <protection hidden="1"/>
    </xf>
    <xf numFmtId="2" fontId="5" fillId="0" borderId="21" xfId="0" applyNumberFormat="1" applyFont="1" applyBorder="1" applyAlignment="1" applyProtection="1">
      <alignment horizontal="center"/>
      <protection hidden="1"/>
    </xf>
    <xf numFmtId="0" fontId="2" fillId="0" borderId="21" xfId="0" applyFont="1" applyBorder="1" applyProtection="1">
      <protection hidden="1"/>
    </xf>
    <xf numFmtId="2" fontId="5" fillId="2" borderId="1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1" fontId="10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68" fontId="2" fillId="0" borderId="0" xfId="1" applyNumberFormat="1" applyFont="1"/>
    <xf numFmtId="0" fontId="4" fillId="0" borderId="0" xfId="0" applyFont="1" applyAlignment="1">
      <alignment vertical="top"/>
    </xf>
    <xf numFmtId="20" fontId="11" fillId="0" borderId="30" xfId="0" applyNumberFormat="1" applyFont="1" applyBorder="1" applyAlignment="1" applyProtection="1">
      <alignment horizontal="center"/>
      <protection hidden="1"/>
    </xf>
    <xf numFmtId="0" fontId="17" fillId="0" borderId="0" xfId="0" applyFont="1"/>
    <xf numFmtId="0" fontId="19" fillId="0" borderId="0" xfId="0" applyFont="1" applyAlignment="1">
      <alignment vertical="top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22" fillId="3" borderId="11" xfId="0" applyFont="1" applyFill="1" applyBorder="1" applyAlignment="1" applyProtection="1">
      <alignment horizontal="center" vertical="center" wrapText="1"/>
      <protection hidden="1"/>
    </xf>
    <xf numFmtId="0" fontId="22" fillId="3" borderId="8" xfId="0" applyFont="1" applyFill="1" applyBorder="1" applyAlignment="1" applyProtection="1">
      <alignment horizontal="center" vertical="center" wrapText="1"/>
      <protection hidden="1"/>
    </xf>
    <xf numFmtId="2" fontId="13" fillId="3" borderId="22" xfId="0" applyNumberFormat="1" applyFont="1" applyFill="1" applyBorder="1" applyAlignment="1" applyProtection="1">
      <alignment horizontal="center"/>
      <protection hidden="1"/>
    </xf>
    <xf numFmtId="2" fontId="5" fillId="3" borderId="21" xfId="0" applyNumberFormat="1" applyFont="1" applyFill="1" applyBorder="1" applyAlignment="1" applyProtection="1">
      <alignment horizontal="center"/>
      <protection hidden="1"/>
    </xf>
    <xf numFmtId="0" fontId="2" fillId="0" borderId="10" xfId="0" applyFont="1" applyBorder="1" applyProtection="1">
      <protection hidden="1"/>
    </xf>
    <xf numFmtId="2" fontId="13" fillId="3" borderId="10" xfId="0" applyNumberFormat="1" applyFont="1" applyFill="1" applyBorder="1" applyAlignment="1" applyProtection="1">
      <alignment horizontal="center"/>
      <protection hidden="1"/>
    </xf>
    <xf numFmtId="2" fontId="5" fillId="3" borderId="10" xfId="0" applyNumberFormat="1" applyFont="1" applyFill="1" applyBorder="1" applyAlignment="1" applyProtection="1">
      <alignment horizontal="center"/>
      <protection hidden="1"/>
    </xf>
    <xf numFmtId="0" fontId="5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13" fillId="0" borderId="8" xfId="0" applyNumberFormat="1" applyFont="1" applyBorder="1" applyAlignment="1" applyProtection="1">
      <alignment horizontal="center" vertical="center" wrapText="1"/>
      <protection hidden="1"/>
    </xf>
    <xf numFmtId="2" fontId="13" fillId="3" borderId="8" xfId="0" applyNumberFormat="1" applyFont="1" applyFill="1" applyBorder="1" applyAlignment="1" applyProtection="1">
      <alignment horizontal="center" vertical="center" wrapText="1"/>
      <protection hidden="1"/>
    </xf>
    <xf numFmtId="2" fontId="10" fillId="2" borderId="28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 applyProtection="1">
      <alignment horizontal="center"/>
      <protection hidden="1"/>
    </xf>
    <xf numFmtId="0" fontId="10" fillId="0" borderId="28" xfId="0" applyFont="1" applyBorder="1" applyAlignment="1" applyProtection="1">
      <alignment horizontal="center" vertical="center" wrapText="1"/>
      <protection hidden="1"/>
    </xf>
    <xf numFmtId="0" fontId="5" fillId="2" borderId="24" xfId="0" applyFont="1" applyFill="1" applyBorder="1" applyAlignment="1" applyProtection="1">
      <alignment horizontal="center"/>
      <protection hidden="1"/>
    </xf>
    <xf numFmtId="0" fontId="5" fillId="2" borderId="31" xfId="0" applyFont="1" applyFill="1" applyBorder="1" applyAlignment="1" applyProtection="1">
      <alignment horizontal="center"/>
      <protection hidden="1"/>
    </xf>
    <xf numFmtId="0" fontId="2" fillId="0" borderId="37" xfId="0" applyFont="1" applyBorder="1" applyProtection="1">
      <protection hidden="1"/>
    </xf>
    <xf numFmtId="0" fontId="5" fillId="2" borderId="44" xfId="0" applyFont="1" applyFill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20" fillId="0" borderId="0" xfId="0" applyFont="1"/>
    <xf numFmtId="0" fontId="15" fillId="0" borderId="0" xfId="0" applyFont="1"/>
    <xf numFmtId="0" fontId="19" fillId="0" borderId="39" xfId="0" applyFont="1" applyBorder="1"/>
    <xf numFmtId="0" fontId="10" fillId="0" borderId="45" xfId="0" applyFont="1" applyBorder="1" applyProtection="1">
      <protection hidden="1"/>
    </xf>
    <xf numFmtId="0" fontId="14" fillId="2" borderId="22" xfId="0" applyFont="1" applyFill="1" applyBorder="1" applyAlignment="1" applyProtection="1">
      <alignment horizontal="center"/>
      <protection hidden="1"/>
    </xf>
    <xf numFmtId="0" fontId="18" fillId="0" borderId="0" xfId="0" applyFont="1" applyAlignment="1">
      <alignment horizontal="right"/>
    </xf>
    <xf numFmtId="2" fontId="5" fillId="0" borderId="8" xfId="0" applyNumberFormat="1" applyFont="1" applyBorder="1" applyAlignment="1" applyProtection="1">
      <alignment horizontal="center" vertical="center" wrapText="1"/>
      <protection hidden="1"/>
    </xf>
    <xf numFmtId="2" fontId="5" fillId="0" borderId="46" xfId="0" applyNumberFormat="1" applyFont="1" applyBorder="1" applyAlignment="1" applyProtection="1">
      <alignment horizontal="center" vertical="center" wrapText="1"/>
      <protection hidden="1"/>
    </xf>
    <xf numFmtId="1" fontId="12" fillId="0" borderId="21" xfId="0" applyNumberFormat="1" applyFont="1" applyBorder="1" applyAlignment="1" applyProtection="1">
      <alignment horizontal="center"/>
      <protection hidden="1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hidden="1"/>
    </xf>
    <xf numFmtId="1" fontId="12" fillId="0" borderId="20" xfId="0" applyNumberFormat="1" applyFont="1" applyBorder="1" applyAlignment="1" applyProtection="1">
      <alignment horizontal="center"/>
      <protection hidden="1"/>
    </xf>
    <xf numFmtId="2" fontId="13" fillId="0" borderId="20" xfId="0" applyNumberFormat="1" applyFont="1" applyBorder="1" applyAlignment="1" applyProtection="1">
      <alignment horizontal="center"/>
      <protection hidden="1"/>
    </xf>
    <xf numFmtId="2" fontId="13" fillId="0" borderId="21" xfId="0" applyNumberFormat="1" applyFont="1" applyBorder="1" applyAlignment="1" applyProtection="1">
      <alignment horizontal="center"/>
      <protection hidden="1"/>
    </xf>
    <xf numFmtId="0" fontId="2" fillId="0" borderId="31" xfId="0" applyFont="1" applyBorder="1" applyProtection="1">
      <protection hidden="1"/>
    </xf>
    <xf numFmtId="2" fontId="22" fillId="0" borderId="20" xfId="0" applyNumberFormat="1" applyFont="1" applyBorder="1" applyAlignment="1" applyProtection="1">
      <alignment horizontal="center"/>
      <protection hidden="1"/>
    </xf>
    <xf numFmtId="2" fontId="22" fillId="0" borderId="21" xfId="0" applyNumberFormat="1" applyFont="1" applyBorder="1" applyAlignment="1" applyProtection="1">
      <alignment horizontal="center"/>
      <protection hidden="1"/>
    </xf>
    <xf numFmtId="2" fontId="5" fillId="0" borderId="24" xfId="0" applyNumberFormat="1" applyFont="1" applyBorder="1" applyAlignment="1" applyProtection="1">
      <alignment horizontal="center"/>
      <protection hidden="1"/>
    </xf>
    <xf numFmtId="2" fontId="5" fillId="0" borderId="31" xfId="0" applyNumberFormat="1" applyFont="1" applyBorder="1" applyAlignment="1" applyProtection="1">
      <alignment horizontal="center"/>
      <protection hidden="1"/>
    </xf>
    <xf numFmtId="2" fontId="5" fillId="0" borderId="7" xfId="0" applyNumberFormat="1" applyFont="1" applyBorder="1" applyAlignment="1" applyProtection="1">
      <alignment horizontal="center" vertical="center" wrapText="1"/>
      <protection hidden="1"/>
    </xf>
    <xf numFmtId="2" fontId="5" fillId="0" borderId="28" xfId="0" applyNumberFormat="1" applyFont="1" applyBorder="1" applyAlignment="1" applyProtection="1">
      <alignment horizontal="center" vertical="center" wrapText="1"/>
      <protection hidden="1"/>
    </xf>
    <xf numFmtId="2" fontId="5" fillId="0" borderId="34" xfId="0" applyNumberFormat="1" applyFont="1" applyBorder="1" applyAlignment="1" applyProtection="1">
      <alignment horizontal="center" vertical="center" wrapText="1"/>
      <protection hidden="1"/>
    </xf>
    <xf numFmtId="2" fontId="5" fillId="0" borderId="47" xfId="0" applyNumberFormat="1" applyFont="1" applyBorder="1" applyAlignment="1">
      <alignment horizontal="center" vertical="center" wrapText="1"/>
    </xf>
    <xf numFmtId="2" fontId="11" fillId="0" borderId="47" xfId="0" applyNumberFormat="1" applyFont="1" applyBorder="1" applyAlignment="1">
      <alignment horizontal="center" vertical="center" wrapText="1"/>
    </xf>
    <xf numFmtId="167" fontId="5" fillId="0" borderId="20" xfId="0" applyNumberFormat="1" applyFont="1" applyBorder="1" applyAlignment="1" applyProtection="1">
      <alignment horizontal="center"/>
      <protection hidden="1"/>
    </xf>
    <xf numFmtId="167" fontId="5" fillId="0" borderId="21" xfId="0" applyNumberFormat="1" applyFont="1" applyBorder="1" applyAlignment="1" applyProtection="1">
      <alignment horizontal="center"/>
      <protection hidden="1"/>
    </xf>
    <xf numFmtId="170" fontId="10" fillId="0" borderId="24" xfId="0" applyNumberFormat="1" applyFont="1" applyBorder="1" applyAlignment="1">
      <alignment horizontal="center"/>
    </xf>
    <xf numFmtId="170" fontId="10" fillId="0" borderId="31" xfId="0" applyNumberFormat="1" applyFont="1" applyBorder="1" applyAlignment="1">
      <alignment horizontal="center"/>
    </xf>
    <xf numFmtId="0" fontId="8" fillId="0" borderId="8" xfId="0" applyFont="1" applyBorder="1" applyAlignment="1" applyProtection="1">
      <alignment horizontal="center" vertical="center"/>
      <protection hidden="1"/>
    </xf>
    <xf numFmtId="3" fontId="6" fillId="0" borderId="8" xfId="0" applyNumberFormat="1" applyFont="1" applyBorder="1" applyAlignment="1" applyProtection="1">
      <alignment horizontal="center" vertical="center"/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6" fillId="0" borderId="2" xfId="0" applyNumberFormat="1" applyFont="1" applyBorder="1" applyAlignment="1" applyProtection="1">
      <alignment horizontal="center" vertical="center"/>
      <protection hidden="1"/>
    </xf>
    <xf numFmtId="2" fontId="22" fillId="0" borderId="8" xfId="0" applyNumberFormat="1" applyFont="1" applyBorder="1" applyAlignment="1" applyProtection="1">
      <alignment horizontal="center" vertical="center"/>
      <protection hidden="1"/>
    </xf>
    <xf numFmtId="167" fontId="5" fillId="0" borderId="8" xfId="0" applyNumberFormat="1" applyFont="1" applyBorder="1" applyAlignment="1" applyProtection="1">
      <alignment horizontal="center" vertical="center"/>
      <protection hidden="1"/>
    </xf>
    <xf numFmtId="0" fontId="20" fillId="0" borderId="0" xfId="0" applyFont="1" applyAlignment="1">
      <alignment horizontal="center" vertical="center"/>
    </xf>
    <xf numFmtId="4" fontId="6" fillId="0" borderId="2" xfId="0" applyNumberFormat="1" applyFont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2" fontId="5" fillId="0" borderId="28" xfId="0" applyNumberFormat="1" applyFont="1" applyBorder="1" applyAlignment="1" applyProtection="1">
      <alignment horizontal="center" vertical="center"/>
      <protection hidden="1"/>
    </xf>
    <xf numFmtId="1" fontId="12" fillId="0" borderId="32" xfId="0" applyNumberFormat="1" applyFont="1" applyBorder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2" fontId="6" fillId="0" borderId="9" xfId="0" applyNumberFormat="1" applyFont="1" applyBorder="1" applyAlignment="1" applyProtection="1">
      <alignment horizontal="center" vertical="center"/>
      <protection hidden="1"/>
    </xf>
    <xf numFmtId="0" fontId="21" fillId="0" borderId="0" xfId="0" applyFont="1"/>
    <xf numFmtId="1" fontId="6" fillId="0" borderId="8" xfId="0" applyNumberFormat="1" applyFont="1" applyBorder="1" applyAlignment="1" applyProtection="1">
      <alignment horizontal="center" vertical="center"/>
      <protection hidden="1"/>
    </xf>
    <xf numFmtId="2" fontId="27" fillId="0" borderId="46" xfId="0" applyNumberFormat="1" applyFont="1" applyBorder="1" applyAlignment="1" applyProtection="1">
      <alignment horizontal="center" vertical="center" wrapText="1"/>
      <protection hidden="1"/>
    </xf>
    <xf numFmtId="20" fontId="11" fillId="0" borderId="19" xfId="0" applyNumberFormat="1" applyFont="1" applyBorder="1" applyAlignment="1" applyProtection="1">
      <alignment horizontal="center" vertical="center"/>
      <protection hidden="1"/>
    </xf>
    <xf numFmtId="20" fontId="11" fillId="0" borderId="30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 vertical="center" wrapText="1"/>
    </xf>
    <xf numFmtId="0" fontId="2" fillId="0" borderId="39" xfId="0" applyFont="1" applyBorder="1"/>
    <xf numFmtId="0" fontId="28" fillId="0" borderId="0" xfId="0" applyFont="1" applyAlignment="1">
      <alignment horizontal="center" vertical="center"/>
    </xf>
    <xf numFmtId="2" fontId="5" fillId="0" borderId="47" xfId="0" applyNumberFormat="1" applyFont="1" applyBorder="1" applyAlignment="1" applyProtection="1">
      <alignment horizontal="center"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32" xfId="0" applyFont="1" applyBorder="1" applyProtection="1">
      <protection hidden="1"/>
    </xf>
    <xf numFmtId="0" fontId="2" fillId="0" borderId="33" xfId="0" applyFont="1" applyBorder="1" applyProtection="1">
      <protection hidden="1"/>
    </xf>
    <xf numFmtId="2" fontId="13" fillId="0" borderId="29" xfId="0" applyNumberFormat="1" applyFont="1" applyBorder="1" applyAlignment="1" applyProtection="1">
      <alignment horizontal="center"/>
      <protection hidden="1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30" xfId="0" applyFont="1" applyBorder="1"/>
    <xf numFmtId="0" fontId="2" fillId="0" borderId="51" xfId="0" applyFont="1" applyBorder="1"/>
    <xf numFmtId="0" fontId="2" fillId="0" borderId="52" xfId="0" applyFont="1" applyBorder="1"/>
    <xf numFmtId="0" fontId="7" fillId="0" borderId="0" xfId="0" applyFont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53" xfId="0" applyFont="1" applyBorder="1" applyAlignment="1" applyProtection="1">
      <alignment vertical="center"/>
      <protection hidden="1"/>
    </xf>
    <xf numFmtId="2" fontId="13" fillId="0" borderId="31" xfId="0" applyNumberFormat="1" applyFont="1" applyBorder="1" applyAlignment="1" applyProtection="1">
      <alignment horizontal="center"/>
      <protection hidden="1"/>
    </xf>
    <xf numFmtId="2" fontId="13" fillId="0" borderId="33" xfId="0" applyNumberFormat="1" applyFont="1" applyBorder="1" applyAlignment="1" applyProtection="1">
      <alignment horizontal="center"/>
      <protection hidden="1"/>
    </xf>
    <xf numFmtId="2" fontId="5" fillId="0" borderId="61" xfId="0" applyNumberFormat="1" applyFont="1" applyBorder="1" applyAlignment="1" applyProtection="1">
      <alignment horizontal="center" vertical="center" wrapText="1"/>
      <protection hidden="1"/>
    </xf>
    <xf numFmtId="0" fontId="2" fillId="0" borderId="19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6" xfId="0" applyNumberFormat="1" applyFont="1" applyBorder="1" applyAlignment="1" applyProtection="1">
      <alignment horizontal="center" vertical="center" wrapText="1"/>
      <protection hidden="1"/>
    </xf>
    <xf numFmtId="0" fontId="10" fillId="0" borderId="31" xfId="0" applyFont="1" applyBorder="1" applyAlignment="1" applyProtection="1">
      <alignment horizontal="center"/>
      <protection hidden="1"/>
    </xf>
    <xf numFmtId="2" fontId="22" fillId="0" borderId="0" xfId="0" applyNumberFormat="1" applyFont="1" applyAlignment="1" applyProtection="1">
      <alignment vertical="center"/>
      <protection hidden="1"/>
    </xf>
    <xf numFmtId="2" fontId="22" fillId="0" borderId="11" xfId="0" applyNumberFormat="1" applyFont="1" applyBorder="1" applyAlignment="1" applyProtection="1">
      <alignment horizontal="center" vertical="center"/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6" fillId="0" borderId="28" xfId="0" applyNumberFormat="1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2" fontId="22" fillId="0" borderId="14" xfId="0" applyNumberFormat="1" applyFont="1" applyBorder="1" applyAlignment="1" applyProtection="1">
      <alignment vertical="center"/>
      <protection hidden="1"/>
    </xf>
    <xf numFmtId="2" fontId="22" fillId="0" borderId="15" xfId="0" applyNumberFormat="1" applyFont="1" applyBorder="1" applyAlignment="1" applyProtection="1">
      <alignment vertical="center"/>
      <protection hidden="1"/>
    </xf>
    <xf numFmtId="0" fontId="11" fillId="0" borderId="30" xfId="0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2" fontId="22" fillId="0" borderId="51" xfId="0" applyNumberFormat="1" applyFont="1" applyBorder="1" applyAlignment="1" applyProtection="1">
      <alignment vertical="center"/>
      <protection hidden="1"/>
    </xf>
    <xf numFmtId="2" fontId="22" fillId="0" borderId="52" xfId="0" applyNumberFormat="1" applyFont="1" applyBorder="1" applyAlignment="1" applyProtection="1">
      <alignment vertical="center"/>
      <protection hidden="1"/>
    </xf>
    <xf numFmtId="0" fontId="11" fillId="0" borderId="53" xfId="0" applyFont="1" applyBorder="1" applyAlignment="1">
      <alignment vertical="center"/>
    </xf>
    <xf numFmtId="0" fontId="11" fillId="0" borderId="54" xfId="0" applyFont="1" applyBorder="1" applyAlignment="1">
      <alignment vertical="center"/>
    </xf>
    <xf numFmtId="2" fontId="22" fillId="0" borderId="54" xfId="0" applyNumberFormat="1" applyFont="1" applyBorder="1" applyAlignment="1" applyProtection="1">
      <alignment vertical="center"/>
      <protection hidden="1"/>
    </xf>
    <xf numFmtId="2" fontId="22" fillId="0" borderId="55" xfId="0" applyNumberFormat="1" applyFont="1" applyBorder="1" applyAlignment="1" applyProtection="1">
      <alignment vertical="center"/>
      <protection hidden="1"/>
    </xf>
    <xf numFmtId="2" fontId="22" fillId="0" borderId="62" xfId="0" applyNumberFormat="1" applyFont="1" applyBorder="1" applyAlignment="1" applyProtection="1">
      <alignment vertical="center"/>
      <protection hidden="1"/>
    </xf>
    <xf numFmtId="0" fontId="25" fillId="0" borderId="64" xfId="3" applyFont="1" applyBorder="1" applyAlignment="1">
      <alignment horizontal="right"/>
    </xf>
    <xf numFmtId="0" fontId="25" fillId="0" borderId="64" xfId="3" applyFont="1" applyBorder="1" applyAlignment="1">
      <alignment horizontal="center"/>
    </xf>
    <xf numFmtId="0" fontId="25" fillId="0" borderId="64" xfId="3" applyFont="1" applyBorder="1"/>
    <xf numFmtId="0" fontId="25" fillId="0" borderId="65" xfId="3" applyFont="1" applyBorder="1" applyAlignment="1">
      <alignment horizontal="center"/>
    </xf>
    <xf numFmtId="0" fontId="25" fillId="0" borderId="66" xfId="3" applyFont="1" applyBorder="1" applyAlignment="1">
      <alignment horizontal="center"/>
    </xf>
    <xf numFmtId="0" fontId="25" fillId="0" borderId="67" xfId="3" applyFont="1" applyBorder="1" applyAlignment="1">
      <alignment horizontal="right"/>
    </xf>
    <xf numFmtId="0" fontId="25" fillId="0" borderId="67" xfId="3" applyFont="1" applyBorder="1" applyAlignment="1">
      <alignment horizontal="center"/>
    </xf>
    <xf numFmtId="0" fontId="25" fillId="0" borderId="67" xfId="3" applyFont="1" applyBorder="1"/>
    <xf numFmtId="2" fontId="25" fillId="0" borderId="67" xfId="3" applyNumberFormat="1" applyFont="1" applyBorder="1"/>
    <xf numFmtId="0" fontId="25" fillId="0" borderId="68" xfId="3" applyFont="1" applyBorder="1"/>
    <xf numFmtId="166" fontId="25" fillId="0" borderId="67" xfId="3" applyNumberFormat="1" applyFont="1" applyBorder="1"/>
    <xf numFmtId="0" fontId="11" fillId="0" borderId="67" xfId="3" applyFont="1" applyBorder="1" applyAlignment="1">
      <alignment horizontal="right"/>
    </xf>
    <xf numFmtId="0" fontId="25" fillId="0" borderId="72" xfId="3" applyFont="1" applyBorder="1"/>
    <xf numFmtId="0" fontId="25" fillId="0" borderId="73" xfId="3" applyFont="1" applyBorder="1" applyAlignment="1">
      <alignment horizontal="right"/>
    </xf>
    <xf numFmtId="0" fontId="25" fillId="0" borderId="73" xfId="3" applyFont="1" applyBorder="1" applyAlignment="1">
      <alignment horizontal="center"/>
    </xf>
    <xf numFmtId="0" fontId="25" fillId="0" borderId="73" xfId="3" applyFont="1" applyBorder="1"/>
    <xf numFmtId="0" fontId="11" fillId="0" borderId="74" xfId="3" applyFont="1" applyBorder="1" applyAlignment="1">
      <alignment horizontal="right"/>
    </xf>
    <xf numFmtId="0" fontId="0" fillId="0" borderId="5" xfId="0" applyBorder="1"/>
    <xf numFmtId="0" fontId="16" fillId="0" borderId="17" xfId="3" applyFont="1" applyBorder="1" applyAlignment="1">
      <alignment horizontal="center"/>
    </xf>
    <xf numFmtId="0" fontId="0" fillId="0" borderId="17" xfId="0" applyBorder="1"/>
    <xf numFmtId="0" fontId="25" fillId="0" borderId="58" xfId="3" applyFont="1" applyBorder="1"/>
    <xf numFmtId="0" fontId="25" fillId="0" borderId="0" xfId="3" applyFont="1"/>
    <xf numFmtId="0" fontId="20" fillId="0" borderId="0" xfId="3" applyFont="1"/>
    <xf numFmtId="0" fontId="20" fillId="0" borderId="0" xfId="3" applyFont="1" applyAlignment="1">
      <alignment horizontal="center"/>
    </xf>
    <xf numFmtId="0" fontId="20" fillId="0" borderId="50" xfId="3" applyFont="1" applyBorder="1" applyAlignment="1">
      <alignment horizontal="center"/>
    </xf>
    <xf numFmtId="0" fontId="18" fillId="0" borderId="36" xfId="3" applyFont="1" applyBorder="1" applyAlignment="1">
      <alignment horizontal="right"/>
    </xf>
    <xf numFmtId="0" fontId="25" fillId="0" borderId="39" xfId="3" applyFont="1" applyBorder="1"/>
    <xf numFmtId="0" fontId="18" fillId="0" borderId="40" xfId="3" applyFont="1" applyBorder="1" applyAlignment="1">
      <alignment horizontal="right"/>
    </xf>
    <xf numFmtId="0" fontId="18" fillId="0" borderId="39" xfId="3" applyFont="1" applyBorder="1" applyAlignment="1">
      <alignment horizontal="center" vertical="top"/>
    </xf>
    <xf numFmtId="0" fontId="25" fillId="0" borderId="74" xfId="3" applyFont="1" applyBorder="1" applyAlignment="1">
      <alignment horizontal="right"/>
    </xf>
    <xf numFmtId="0" fontId="25" fillId="0" borderId="83" xfId="3" applyFont="1" applyBorder="1"/>
    <xf numFmtId="0" fontId="25" fillId="0" borderId="45" xfId="3" applyFont="1" applyBorder="1"/>
    <xf numFmtId="0" fontId="25" fillId="0" borderId="45" xfId="3" applyFont="1" applyBorder="1" applyAlignment="1">
      <alignment horizontal="center"/>
    </xf>
    <xf numFmtId="0" fontId="25" fillId="0" borderId="38" xfId="3" applyFont="1" applyBorder="1"/>
    <xf numFmtId="0" fontId="25" fillId="0" borderId="48" xfId="3" applyFont="1" applyBorder="1"/>
    <xf numFmtId="0" fontId="25" fillId="0" borderId="49" xfId="3" applyFont="1" applyBorder="1"/>
    <xf numFmtId="0" fontId="34" fillId="0" borderId="84" xfId="3" applyFont="1" applyBorder="1" applyAlignment="1">
      <alignment vertical="top"/>
    </xf>
    <xf numFmtId="0" fontId="25" fillId="0" borderId="85" xfId="3" applyFont="1" applyBorder="1"/>
    <xf numFmtId="0" fontId="25" fillId="0" borderId="86" xfId="3" applyFont="1" applyBorder="1"/>
    <xf numFmtId="0" fontId="25" fillId="0" borderId="82" xfId="3" applyFont="1" applyBorder="1" applyAlignment="1">
      <alignment horizontal="right" vertical="center"/>
    </xf>
    <xf numFmtId="0" fontId="25" fillId="0" borderId="78" xfId="3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2" fontId="22" fillId="0" borderId="10" xfId="0" applyNumberFormat="1" applyFont="1" applyBorder="1" applyAlignment="1" applyProtection="1">
      <alignment vertical="center"/>
      <protection hidden="1"/>
    </xf>
    <xf numFmtId="0" fontId="25" fillId="0" borderId="90" xfId="3" applyFont="1" applyBorder="1" applyAlignment="1">
      <alignment horizontal="right"/>
    </xf>
    <xf numFmtId="0" fontId="0" fillId="0" borderId="21" xfId="0" applyBorder="1"/>
    <xf numFmtId="0" fontId="25" fillId="0" borderId="68" xfId="3" applyFont="1" applyBorder="1" applyAlignment="1">
      <alignment horizontal="center"/>
    </xf>
    <xf numFmtId="0" fontId="11" fillId="0" borderId="66" xfId="3" applyFont="1" applyBorder="1" applyAlignment="1">
      <alignment horizontal="right"/>
    </xf>
    <xf numFmtId="0" fontId="25" fillId="0" borderId="91" xfId="3" applyFont="1" applyBorder="1"/>
    <xf numFmtId="2" fontId="25" fillId="0" borderId="64" xfId="3" applyNumberFormat="1" applyFont="1" applyBorder="1"/>
    <xf numFmtId="167" fontId="25" fillId="0" borderId="67" xfId="3" applyNumberFormat="1" applyFont="1" applyBorder="1"/>
    <xf numFmtId="174" fontId="25" fillId="0" borderId="64" xfId="1" applyNumberFormat="1" applyFont="1" applyBorder="1"/>
    <xf numFmtId="174" fontId="25" fillId="0" borderId="67" xfId="1" applyNumberFormat="1" applyFont="1" applyBorder="1"/>
    <xf numFmtId="174" fontId="25" fillId="0" borderId="73" xfId="1" applyNumberFormat="1" applyFont="1" applyBorder="1"/>
    <xf numFmtId="168" fontId="25" fillId="0" borderId="67" xfId="1" applyNumberFormat="1" applyFont="1" applyBorder="1"/>
    <xf numFmtId="167" fontId="25" fillId="0" borderId="42" xfId="0" applyNumberFormat="1" applyFont="1" applyBorder="1" applyProtection="1">
      <protection hidden="1"/>
    </xf>
    <xf numFmtId="167" fontId="33" fillId="0" borderId="21" xfId="0" applyNumberFormat="1" applyFont="1" applyBorder="1" applyProtection="1">
      <protection hidden="1"/>
    </xf>
    <xf numFmtId="167" fontId="33" fillId="0" borderId="29" xfId="0" applyNumberFormat="1" applyFont="1" applyBorder="1" applyProtection="1">
      <protection hidden="1"/>
    </xf>
    <xf numFmtId="0" fontId="0" fillId="0" borderId="0" xfId="0" applyAlignment="1">
      <alignment horizontal="center"/>
    </xf>
    <xf numFmtId="167" fontId="2" fillId="0" borderId="0" xfId="0" applyNumberFormat="1" applyFont="1" applyAlignment="1">
      <alignment horizontal="center"/>
    </xf>
    <xf numFmtId="0" fontId="25" fillId="0" borderId="21" xfId="3" applyFont="1" applyBorder="1" applyAlignment="1">
      <alignment horizontal="right"/>
    </xf>
    <xf numFmtId="170" fontId="10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2" fontId="25" fillId="0" borderId="21" xfId="0" applyNumberFormat="1" applyFont="1" applyBorder="1" applyAlignment="1" applyProtection="1">
      <alignment horizontal="right"/>
      <protection hidden="1"/>
    </xf>
    <xf numFmtId="3" fontId="2" fillId="0" borderId="23" xfId="0" applyNumberFormat="1" applyFont="1" applyBorder="1" applyProtection="1">
      <protection hidden="1"/>
    </xf>
    <xf numFmtId="3" fontId="10" fillId="0" borderId="21" xfId="0" applyNumberFormat="1" applyFont="1" applyBorder="1" applyAlignment="1" applyProtection="1">
      <alignment horizontal="center"/>
      <protection hidden="1"/>
    </xf>
    <xf numFmtId="3" fontId="2" fillId="0" borderId="31" xfId="0" applyNumberFormat="1" applyFont="1" applyBorder="1" applyProtection="1">
      <protection hidden="1"/>
    </xf>
    <xf numFmtId="3" fontId="13" fillId="0" borderId="31" xfId="0" applyNumberFormat="1" applyFont="1" applyBorder="1" applyAlignment="1" applyProtection="1">
      <alignment horizontal="center"/>
      <protection hidden="1"/>
    </xf>
    <xf numFmtId="0" fontId="25" fillId="0" borderId="68" xfId="3" applyFont="1" applyBorder="1" applyAlignment="1">
      <alignment horizontal="right"/>
    </xf>
    <xf numFmtId="0" fontId="25" fillId="0" borderId="93" xfId="3" applyFont="1" applyBorder="1" applyAlignment="1">
      <alignment horizontal="right"/>
    </xf>
    <xf numFmtId="0" fontId="25" fillId="0" borderId="83" xfId="3" applyFont="1" applyBorder="1" applyAlignment="1">
      <alignment horizontal="center"/>
    </xf>
    <xf numFmtId="167" fontId="33" fillId="0" borderId="10" xfId="0" applyNumberFormat="1" applyFont="1" applyBorder="1" applyProtection="1">
      <protection hidden="1"/>
    </xf>
    <xf numFmtId="0" fontId="25" fillId="0" borderId="21" xfId="3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0" xfId="3" applyFont="1" applyAlignment="1">
      <alignment horizontal="right"/>
    </xf>
    <xf numFmtId="167" fontId="25" fillId="4" borderId="21" xfId="0" applyNumberFormat="1" applyFont="1" applyFill="1" applyBorder="1" applyAlignment="1">
      <alignment horizontal="right"/>
    </xf>
    <xf numFmtId="0" fontId="25" fillId="3" borderId="21" xfId="3" applyFont="1" applyFill="1" applyBorder="1" applyAlignment="1">
      <alignment horizontal="center"/>
    </xf>
    <xf numFmtId="174" fontId="25" fillId="0" borderId="64" xfId="3" applyNumberFormat="1" applyFont="1" applyBorder="1"/>
    <xf numFmtId="0" fontId="25" fillId="0" borderId="94" xfId="3" applyFont="1" applyBorder="1"/>
    <xf numFmtId="1" fontId="22" fillId="0" borderId="19" xfId="0" applyNumberFormat="1" applyFont="1" applyBorder="1" applyAlignment="1" applyProtection="1">
      <alignment horizontal="center"/>
      <protection hidden="1"/>
    </xf>
    <xf numFmtId="2" fontId="25" fillId="0" borderId="67" xfId="3" applyNumberFormat="1" applyFont="1" applyBorder="1" applyAlignment="1">
      <alignment horizontal="center"/>
    </xf>
    <xf numFmtId="2" fontId="25" fillId="0" borderId="73" xfId="3" applyNumberFormat="1" applyFont="1" applyBorder="1" applyAlignment="1">
      <alignment horizontal="center"/>
    </xf>
    <xf numFmtId="0" fontId="18" fillId="0" borderId="0" xfId="3" applyFont="1"/>
    <xf numFmtId="2" fontId="25" fillId="0" borderId="64" xfId="3" applyNumberFormat="1" applyFont="1" applyBorder="1" applyAlignment="1">
      <alignment horizontal="center"/>
    </xf>
    <xf numFmtId="2" fontId="22" fillId="0" borderId="32" xfId="0" applyNumberFormat="1" applyFont="1" applyBorder="1" applyAlignment="1" applyProtection="1">
      <alignment horizontal="center"/>
      <protection hidden="1"/>
    </xf>
    <xf numFmtId="170" fontId="10" fillId="0" borderId="33" xfId="0" applyNumberFormat="1" applyFont="1" applyBorder="1" applyAlignment="1">
      <alignment horizontal="center"/>
    </xf>
    <xf numFmtId="2" fontId="5" fillId="0" borderId="33" xfId="0" applyNumberFormat="1" applyFont="1" applyBorder="1" applyAlignment="1" applyProtection="1">
      <alignment horizontal="center"/>
      <protection hidden="1"/>
    </xf>
    <xf numFmtId="2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5" fontId="2" fillId="0" borderId="0" xfId="2" applyNumberFormat="1" applyFont="1" applyAlignment="1">
      <alignment horizontal="center"/>
    </xf>
    <xf numFmtId="172" fontId="2" fillId="0" borderId="0" xfId="2" applyNumberFormat="1" applyFont="1" applyAlignment="1">
      <alignment horizontal="center"/>
    </xf>
    <xf numFmtId="0" fontId="3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6" fontId="0" fillId="0" borderId="0" xfId="0" applyNumberFormat="1" applyAlignment="1">
      <alignment horizontal="center"/>
    </xf>
    <xf numFmtId="2" fontId="25" fillId="0" borderId="21" xfId="3" applyNumberFormat="1" applyFont="1" applyBorder="1"/>
    <xf numFmtId="0" fontId="25" fillId="0" borderId="95" xfId="3" applyFont="1" applyBorder="1" applyAlignment="1">
      <alignment horizontal="center" vertical="center"/>
    </xf>
    <xf numFmtId="0" fontId="25" fillId="0" borderId="0" xfId="3" applyFont="1" applyAlignment="1">
      <alignment horizontal="center"/>
    </xf>
    <xf numFmtId="0" fontId="25" fillId="0" borderId="5" xfId="3" applyFont="1" applyBorder="1" applyAlignment="1">
      <alignment horizontal="right"/>
    </xf>
    <xf numFmtId="0" fontId="25" fillId="0" borderId="17" xfId="3" applyFont="1" applyBorder="1" applyAlignment="1">
      <alignment horizontal="center"/>
    </xf>
    <xf numFmtId="0" fontId="25" fillId="0" borderId="18" xfId="3" applyFont="1" applyBorder="1"/>
    <xf numFmtId="0" fontId="25" fillId="0" borderId="58" xfId="3" applyFont="1" applyBorder="1" applyAlignment="1">
      <alignment horizontal="right"/>
    </xf>
    <xf numFmtId="0" fontId="25" fillId="0" borderId="50" xfId="3" applyFont="1" applyBorder="1"/>
    <xf numFmtId="0" fontId="18" fillId="0" borderId="36" xfId="3" applyFont="1" applyBorder="1"/>
    <xf numFmtId="0" fontId="25" fillId="0" borderId="39" xfId="3" applyFont="1" applyBorder="1" applyAlignment="1">
      <alignment horizontal="fill"/>
    </xf>
    <xf numFmtId="0" fontId="25" fillId="0" borderId="40" xfId="3" applyFont="1" applyBorder="1" applyAlignment="1">
      <alignment horizontal="fill"/>
    </xf>
    <xf numFmtId="0" fontId="25" fillId="0" borderId="92" xfId="3" applyFont="1" applyBorder="1" applyAlignment="1">
      <alignment horizontal="center"/>
    </xf>
    <xf numFmtId="0" fontId="25" fillId="0" borderId="92" xfId="3" applyFont="1" applyBorder="1"/>
    <xf numFmtId="0" fontId="25" fillId="0" borderId="21" xfId="3" applyFont="1" applyBorder="1"/>
    <xf numFmtId="167" fontId="25" fillId="0" borderId="21" xfId="3" applyNumberFormat="1" applyFont="1" applyBorder="1"/>
    <xf numFmtId="0" fontId="25" fillId="3" borderId="21" xfId="3" applyFont="1" applyFill="1" applyBorder="1" applyAlignment="1">
      <alignment horizontal="right"/>
    </xf>
    <xf numFmtId="2" fontId="5" fillId="0" borderId="56" xfId="0" applyNumberFormat="1" applyFont="1" applyBorder="1" applyAlignment="1" applyProtection="1">
      <alignment horizontal="center" vertical="center" wrapText="1"/>
      <protection hidden="1"/>
    </xf>
    <xf numFmtId="20" fontId="5" fillId="0" borderId="26" xfId="0" applyNumberFormat="1" applyFont="1" applyBorder="1" applyAlignment="1" applyProtection="1">
      <alignment horizontal="center"/>
      <protection hidden="1"/>
    </xf>
    <xf numFmtId="2" fontId="6" fillId="0" borderId="35" xfId="0" applyNumberFormat="1" applyFont="1" applyBorder="1" applyAlignment="1" applyProtection="1">
      <alignment horizontal="center" vertical="center"/>
      <protection hidden="1"/>
    </xf>
    <xf numFmtId="2" fontId="6" fillId="0" borderId="40" xfId="0" applyNumberFormat="1" applyFont="1" applyBorder="1" applyAlignment="1" applyProtection="1">
      <alignment horizontal="center" vertical="center"/>
      <protection hidden="1"/>
    </xf>
    <xf numFmtId="3" fontId="25" fillId="0" borderId="68" xfId="3" applyNumberFormat="1" applyFont="1" applyBorder="1"/>
    <xf numFmtId="0" fontId="25" fillId="3" borderId="21" xfId="0" applyFont="1" applyFill="1" applyBorder="1" applyAlignment="1">
      <alignment horizontal="center"/>
    </xf>
    <xf numFmtId="173" fontId="25" fillId="0" borderId="39" xfId="3" applyNumberFormat="1" applyFont="1" applyBorder="1"/>
    <xf numFmtId="177" fontId="11" fillId="0" borderId="0" xfId="0" applyNumberFormat="1" applyFont="1" applyAlignment="1">
      <alignment vertical="center"/>
    </xf>
    <xf numFmtId="0" fontId="11" fillId="0" borderId="50" xfId="0" applyFont="1" applyBorder="1" applyAlignment="1">
      <alignment vertical="center"/>
    </xf>
    <xf numFmtId="177" fontId="12" fillId="0" borderId="96" xfId="0" applyNumberFormat="1" applyFont="1" applyBorder="1" applyAlignment="1" applyProtection="1">
      <alignment horizontal="center"/>
      <protection hidden="1"/>
    </xf>
    <xf numFmtId="177" fontId="12" fillId="0" borderId="12" xfId="0" applyNumberFormat="1" applyFont="1" applyBorder="1" applyAlignment="1" applyProtection="1">
      <alignment horizontal="center"/>
      <protection hidden="1"/>
    </xf>
    <xf numFmtId="177" fontId="12" fillId="0" borderId="43" xfId="0" applyNumberFormat="1" applyFont="1" applyBorder="1" applyAlignment="1" applyProtection="1">
      <alignment horizontal="center"/>
      <protection hidden="1"/>
    </xf>
    <xf numFmtId="177" fontId="12" fillId="0" borderId="25" xfId="0" applyNumberFormat="1" applyFont="1" applyBorder="1" applyAlignment="1" applyProtection="1">
      <alignment horizontal="center"/>
      <protection hidden="1"/>
    </xf>
    <xf numFmtId="177" fontId="5" fillId="0" borderId="16" xfId="0" applyNumberFormat="1" applyFont="1" applyBorder="1" applyAlignment="1" applyProtection="1">
      <alignment horizontal="center"/>
      <protection locked="0" hidden="1"/>
    </xf>
    <xf numFmtId="177" fontId="12" fillId="0" borderId="59" xfId="0" applyNumberFormat="1" applyFont="1" applyBorder="1" applyAlignment="1" applyProtection="1">
      <alignment horizontal="center"/>
      <protection locked="0" hidden="1"/>
    </xf>
    <xf numFmtId="177" fontId="5" fillId="0" borderId="19" xfId="0" applyNumberFormat="1" applyFont="1" applyBorder="1" applyAlignment="1" applyProtection="1">
      <alignment horizontal="center"/>
      <protection locked="0" hidden="1"/>
    </xf>
    <xf numFmtId="177" fontId="12" fillId="0" borderId="29" xfId="0" applyNumberFormat="1" applyFont="1" applyBorder="1" applyAlignment="1" applyProtection="1">
      <alignment horizontal="center"/>
      <protection locked="0" hidden="1"/>
    </xf>
    <xf numFmtId="177" fontId="5" fillId="0" borderId="27" xfId="0" applyNumberFormat="1" applyFont="1" applyBorder="1" applyAlignment="1" applyProtection="1">
      <alignment horizontal="center"/>
      <protection locked="0" hidden="1"/>
    </xf>
    <xf numFmtId="177" fontId="12" fillId="0" borderId="60" xfId="0" applyNumberFormat="1" applyFont="1" applyBorder="1" applyAlignment="1" applyProtection="1">
      <alignment horizontal="center"/>
      <protection locked="0" hidden="1"/>
    </xf>
    <xf numFmtId="2" fontId="22" fillId="0" borderId="10" xfId="0" applyNumberFormat="1" applyFont="1" applyBorder="1" applyAlignment="1" applyProtection="1">
      <alignment horizontal="center"/>
      <protection hidden="1"/>
    </xf>
    <xf numFmtId="2" fontId="13" fillId="0" borderId="28" xfId="0" applyNumberFormat="1" applyFont="1" applyBorder="1" applyAlignment="1" applyProtection="1">
      <alignment horizontal="center" vertical="center" wrapText="1"/>
      <protection hidden="1"/>
    </xf>
    <xf numFmtId="0" fontId="2" fillId="0" borderId="42" xfId="0" applyFont="1" applyBorder="1" applyProtection="1">
      <protection locked="0"/>
    </xf>
    <xf numFmtId="2" fontId="5" fillId="2" borderId="20" xfId="0" applyNumberFormat="1" applyFont="1" applyFill="1" applyBorder="1" applyAlignment="1" applyProtection="1">
      <alignment horizontal="center"/>
      <protection locked="0"/>
    </xf>
    <xf numFmtId="2" fontId="5" fillId="2" borderId="21" xfId="0" applyNumberFormat="1" applyFont="1" applyFill="1" applyBorder="1" applyAlignment="1" applyProtection="1">
      <alignment horizontal="center"/>
      <protection locked="0"/>
    </xf>
    <xf numFmtId="0" fontId="2" fillId="0" borderId="21" xfId="0" applyFont="1" applyBorder="1" applyProtection="1">
      <protection locked="0"/>
    </xf>
    <xf numFmtId="0" fontId="2" fillId="0" borderId="10" xfId="0" applyFont="1" applyBorder="1" applyProtection="1">
      <protection locked="0"/>
    </xf>
    <xf numFmtId="2" fontId="5" fillId="2" borderId="10" xfId="0" applyNumberFormat="1" applyFont="1" applyFill="1" applyBorder="1" applyAlignment="1" applyProtection="1">
      <alignment horizontal="center"/>
      <protection locked="0"/>
    </xf>
    <xf numFmtId="0" fontId="22" fillId="3" borderId="1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2" fontId="13" fillId="3" borderId="22" xfId="0" applyNumberFormat="1" applyFont="1" applyFill="1" applyBorder="1" applyAlignment="1">
      <alignment horizontal="center"/>
    </xf>
    <xf numFmtId="2" fontId="5" fillId="3" borderId="21" xfId="0" applyNumberFormat="1" applyFont="1" applyFill="1" applyBorder="1" applyAlignment="1">
      <alignment horizontal="center"/>
    </xf>
    <xf numFmtId="0" fontId="5" fillId="2" borderId="20" xfId="0" applyFont="1" applyFill="1" applyBorder="1" applyAlignment="1" applyProtection="1">
      <alignment horizontal="center"/>
      <protection locked="0"/>
    </xf>
    <xf numFmtId="0" fontId="5" fillId="2" borderId="21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 applyProtection="1">
      <alignment horizontal="center"/>
      <protection locked="0"/>
    </xf>
    <xf numFmtId="0" fontId="2" fillId="0" borderId="0" xfId="0" applyFont="1" applyProtection="1">
      <protection locked="0" hidden="1"/>
    </xf>
    <xf numFmtId="0" fontId="10" fillId="0" borderId="0" xfId="0" applyFont="1" applyProtection="1">
      <protection locked="0" hidden="1"/>
    </xf>
    <xf numFmtId="0" fontId="7" fillId="0" borderId="0" xfId="0" applyFont="1" applyProtection="1">
      <protection locked="0" hidden="1"/>
    </xf>
    <xf numFmtId="0" fontId="5" fillId="2" borderId="24" xfId="0" applyFont="1" applyFill="1" applyBorder="1" applyAlignment="1" applyProtection="1">
      <alignment horizontal="center"/>
      <protection locked="0"/>
    </xf>
    <xf numFmtId="0" fontId="5" fillId="2" borderId="31" xfId="0" applyFont="1" applyFill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hidden="1"/>
    </xf>
    <xf numFmtId="0" fontId="19" fillId="0" borderId="0" xfId="0" applyFont="1" applyAlignment="1" applyProtection="1">
      <alignment vertical="top"/>
      <protection hidden="1"/>
    </xf>
    <xf numFmtId="0" fontId="19" fillId="0" borderId="39" xfId="0" applyFont="1" applyBorder="1" applyProtection="1">
      <protection hidden="1"/>
    </xf>
    <xf numFmtId="2" fontId="13" fillId="0" borderId="42" xfId="0" applyNumberFormat="1" applyFont="1" applyBorder="1" applyAlignment="1" applyProtection="1">
      <alignment horizontal="center"/>
      <protection hidden="1"/>
    </xf>
    <xf numFmtId="2" fontId="22" fillId="0" borderId="42" xfId="0" applyNumberFormat="1" applyFont="1" applyBorder="1" applyAlignment="1" applyProtection="1">
      <alignment horizontal="center"/>
      <protection hidden="1"/>
    </xf>
    <xf numFmtId="167" fontId="5" fillId="0" borderId="42" xfId="0" applyNumberFormat="1" applyFont="1" applyBorder="1" applyAlignment="1" applyProtection="1">
      <alignment horizontal="center"/>
      <protection hidden="1"/>
    </xf>
    <xf numFmtId="170" fontId="10" fillId="0" borderId="97" xfId="0" applyNumberFormat="1" applyFont="1" applyBorder="1" applyAlignment="1">
      <alignment horizontal="center"/>
    </xf>
    <xf numFmtId="0" fontId="11" fillId="2" borderId="16" xfId="0" applyFont="1" applyFill="1" applyBorder="1" applyAlignment="1" applyProtection="1">
      <alignment horizontal="center"/>
      <protection locked="0"/>
    </xf>
    <xf numFmtId="20" fontId="5" fillId="0" borderId="20" xfId="0" applyNumberFormat="1" applyFont="1" applyBorder="1" applyAlignment="1" applyProtection="1">
      <alignment horizontal="center"/>
      <protection locked="0"/>
    </xf>
    <xf numFmtId="1" fontId="12" fillId="0" borderId="20" xfId="0" applyNumberFormat="1" applyFont="1" applyBorder="1" applyAlignment="1" applyProtection="1">
      <alignment horizontal="center"/>
      <protection locked="0"/>
    </xf>
    <xf numFmtId="0" fontId="11" fillId="2" borderId="19" xfId="0" applyFont="1" applyFill="1" applyBorder="1" applyAlignment="1" applyProtection="1">
      <alignment horizontal="center"/>
      <protection locked="0"/>
    </xf>
    <xf numFmtId="20" fontId="5" fillId="0" borderId="21" xfId="0" applyNumberFormat="1" applyFont="1" applyBorder="1" applyAlignment="1" applyProtection="1">
      <alignment horizontal="center"/>
      <protection locked="0"/>
    </xf>
    <xf numFmtId="1" fontId="12" fillId="0" borderId="21" xfId="0" applyNumberFormat="1" applyFont="1" applyBorder="1" applyAlignment="1" applyProtection="1">
      <alignment horizontal="center"/>
      <protection locked="0"/>
    </xf>
    <xf numFmtId="0" fontId="11" fillId="2" borderId="37" xfId="0" applyFont="1" applyFill="1" applyBorder="1" applyAlignment="1" applyProtection="1">
      <alignment horizontal="center"/>
      <protection locked="0"/>
    </xf>
    <xf numFmtId="20" fontId="5" fillId="0" borderId="10" xfId="0" applyNumberFormat="1" applyFont="1" applyBorder="1" applyAlignment="1" applyProtection="1">
      <alignment horizontal="center"/>
      <protection locked="0"/>
    </xf>
    <xf numFmtId="1" fontId="12" fillId="0" borderId="10" xfId="0" applyNumberFormat="1" applyFont="1" applyBorder="1" applyAlignment="1" applyProtection="1">
      <alignment horizontal="center"/>
      <protection locked="0"/>
    </xf>
    <xf numFmtId="2" fontId="5" fillId="0" borderId="41" xfId="0" applyNumberFormat="1" applyFont="1" applyBorder="1" applyAlignment="1" applyProtection="1">
      <alignment horizontal="center"/>
      <protection locked="0"/>
    </xf>
    <xf numFmtId="2" fontId="5" fillId="0" borderId="20" xfId="0" applyNumberFormat="1" applyFont="1" applyBorder="1" applyAlignment="1" applyProtection="1">
      <alignment horizontal="center"/>
      <protection locked="0"/>
    </xf>
    <xf numFmtId="2" fontId="5" fillId="0" borderId="23" xfId="0" applyNumberFormat="1" applyFont="1" applyBorder="1" applyAlignment="1" applyProtection="1">
      <alignment horizontal="center"/>
      <protection locked="0"/>
    </xf>
    <xf numFmtId="2" fontId="5" fillId="0" borderId="21" xfId="0" applyNumberFormat="1" applyFont="1" applyBorder="1" applyAlignment="1" applyProtection="1">
      <alignment horizontal="center"/>
      <protection locked="0"/>
    </xf>
    <xf numFmtId="2" fontId="5" fillId="0" borderId="38" xfId="0" applyNumberFormat="1" applyFont="1" applyBorder="1" applyAlignment="1" applyProtection="1">
      <alignment horizontal="center"/>
      <protection locked="0"/>
    </xf>
    <xf numFmtId="2" fontId="5" fillId="0" borderId="10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1" fontId="5" fillId="0" borderId="21" xfId="0" applyNumberFormat="1" applyFont="1" applyBorder="1" applyAlignment="1" applyProtection="1">
      <alignment horizontal="center"/>
      <protection locked="0"/>
    </xf>
    <xf numFmtId="4" fontId="5" fillId="0" borderId="20" xfId="0" applyNumberFormat="1" applyFont="1" applyBorder="1" applyAlignment="1" applyProtection="1">
      <alignment horizontal="center"/>
      <protection locked="0"/>
    </xf>
    <xf numFmtId="4" fontId="5" fillId="0" borderId="21" xfId="0" applyNumberFormat="1" applyFont="1" applyBorder="1" applyAlignment="1" applyProtection="1">
      <alignment horizontal="center"/>
      <protection locked="0"/>
    </xf>
    <xf numFmtId="3" fontId="5" fillId="0" borderId="21" xfId="0" applyNumberFormat="1" applyFont="1" applyBorder="1" applyAlignment="1" applyProtection="1">
      <alignment horizontal="center"/>
      <protection locked="0"/>
    </xf>
    <xf numFmtId="4" fontId="10" fillId="0" borderId="21" xfId="0" applyNumberFormat="1" applyFont="1" applyBorder="1" applyProtection="1">
      <protection locked="0"/>
    </xf>
    <xf numFmtId="2" fontId="5" fillId="0" borderId="24" xfId="0" applyNumberFormat="1" applyFont="1" applyBorder="1" applyAlignment="1" applyProtection="1">
      <alignment horizontal="center"/>
      <protection locked="0"/>
    </xf>
    <xf numFmtId="2" fontId="5" fillId="0" borderId="31" xfId="0" applyNumberFormat="1" applyFont="1" applyBorder="1" applyAlignment="1" applyProtection="1">
      <alignment horizontal="center"/>
      <protection locked="0"/>
    </xf>
    <xf numFmtId="0" fontId="2" fillId="0" borderId="31" xfId="0" applyFont="1" applyBorder="1" applyProtection="1">
      <protection locked="0"/>
    </xf>
    <xf numFmtId="2" fontId="13" fillId="0" borderId="7" xfId="0" applyNumberFormat="1" applyFont="1" applyBorder="1" applyAlignment="1" applyProtection="1">
      <alignment horizontal="center" vertical="center" wrapText="1"/>
      <protection hidden="1"/>
    </xf>
    <xf numFmtId="3" fontId="5" fillId="0" borderId="20" xfId="0" applyNumberFormat="1" applyFont="1" applyBorder="1" applyAlignment="1" applyProtection="1">
      <alignment horizontal="center"/>
      <protection locked="0"/>
    </xf>
    <xf numFmtId="170" fontId="10" fillId="0" borderId="31" xfId="0" applyNumberFormat="1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170" fontId="10" fillId="0" borderId="28" xfId="0" applyNumberFormat="1" applyFont="1" applyBorder="1" applyAlignment="1" applyProtection="1">
      <alignment horizontal="center" vertical="center"/>
      <protection hidden="1"/>
    </xf>
    <xf numFmtId="2" fontId="5" fillId="0" borderId="59" xfId="0" applyNumberFormat="1" applyFont="1" applyBorder="1" applyAlignment="1" applyProtection="1">
      <alignment horizontal="center"/>
      <protection locked="0"/>
    </xf>
    <xf numFmtId="2" fontId="5" fillId="0" borderId="29" xfId="0" applyNumberFormat="1" applyFont="1" applyBorder="1" applyAlignment="1" applyProtection="1">
      <alignment horizontal="center"/>
      <protection locked="0"/>
    </xf>
    <xf numFmtId="20" fontId="5" fillId="0" borderId="16" xfId="0" applyNumberFormat="1" applyFont="1" applyBorder="1" applyAlignment="1" applyProtection="1">
      <alignment horizontal="center"/>
      <protection locked="0"/>
    </xf>
    <xf numFmtId="20" fontId="5" fillId="0" borderId="19" xfId="0" applyNumberFormat="1" applyFont="1" applyBorder="1" applyAlignment="1" applyProtection="1">
      <alignment horizontal="center"/>
      <protection locked="0"/>
    </xf>
    <xf numFmtId="20" fontId="5" fillId="0" borderId="27" xfId="0" applyNumberFormat="1" applyFont="1" applyBorder="1" applyAlignment="1" applyProtection="1">
      <alignment horizontal="center"/>
      <protection locked="0"/>
    </xf>
    <xf numFmtId="2" fontId="5" fillId="0" borderId="32" xfId="0" applyNumberFormat="1" applyFont="1" applyBorder="1" applyAlignment="1" applyProtection="1">
      <alignment horizontal="center"/>
      <protection locked="0"/>
    </xf>
    <xf numFmtId="4" fontId="30" fillId="3" borderId="20" xfId="0" applyNumberFormat="1" applyFont="1" applyFill="1" applyBorder="1" applyAlignment="1" applyProtection="1">
      <alignment horizontal="center" vertical="center"/>
      <protection locked="0"/>
    </xf>
    <xf numFmtId="3" fontId="30" fillId="3" borderId="21" xfId="0" applyNumberFormat="1" applyFont="1" applyFill="1" applyBorder="1" applyAlignment="1" applyProtection="1">
      <alignment horizontal="center" vertical="center"/>
      <protection locked="0"/>
    </xf>
    <xf numFmtId="2" fontId="13" fillId="0" borderId="9" xfId="0" applyNumberFormat="1" applyFont="1" applyBorder="1" applyAlignment="1" applyProtection="1">
      <alignment horizontal="center" vertical="center" wrapText="1"/>
      <protection hidden="1"/>
    </xf>
    <xf numFmtId="2" fontId="13" fillId="0" borderId="4" xfId="0" applyNumberFormat="1" applyFont="1" applyBorder="1" applyAlignment="1" applyProtection="1">
      <alignment horizontal="center" vertical="center" wrapText="1"/>
      <protection hidden="1"/>
    </xf>
    <xf numFmtId="172" fontId="30" fillId="0" borderId="21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3" fontId="40" fillId="0" borderId="0" xfId="0" applyNumberFormat="1" applyFont="1" applyAlignment="1" applyProtection="1">
      <alignment horizontal="center" vertical="center"/>
      <protection hidden="1"/>
    </xf>
    <xf numFmtId="4" fontId="2" fillId="0" borderId="0" xfId="0" applyNumberFormat="1" applyFont="1" applyProtection="1">
      <protection hidden="1"/>
    </xf>
    <xf numFmtId="2" fontId="6" fillId="0" borderId="11" xfId="0" applyNumberFormat="1" applyFont="1" applyBorder="1" applyAlignment="1" applyProtection="1">
      <alignment horizontal="center" vertical="center"/>
      <protection hidden="1"/>
    </xf>
    <xf numFmtId="2" fontId="6" fillId="0" borderId="1" xfId="0" applyNumberFormat="1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/>
      <protection hidden="1"/>
    </xf>
    <xf numFmtId="0" fontId="11" fillId="0" borderId="98" xfId="0" applyFont="1" applyBorder="1" applyAlignment="1">
      <alignment vertical="center"/>
    </xf>
    <xf numFmtId="0" fontId="11" fillId="0" borderId="98" xfId="0" applyFont="1" applyBorder="1" applyAlignment="1">
      <alignment horizontal="right" vertical="center"/>
    </xf>
    <xf numFmtId="0" fontId="11" fillId="0" borderId="9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5" fillId="0" borderId="16" xfId="0" applyNumberFormat="1" applyFont="1" applyBorder="1" applyAlignment="1" applyProtection="1">
      <alignment horizontal="center"/>
      <protection locked="0"/>
    </xf>
    <xf numFmtId="171" fontId="12" fillId="0" borderId="20" xfId="0" applyNumberFormat="1" applyFont="1" applyBorder="1" applyAlignment="1" applyProtection="1">
      <alignment horizontal="center"/>
      <protection locked="0"/>
    </xf>
    <xf numFmtId="171" fontId="5" fillId="0" borderId="20" xfId="0" applyNumberFormat="1" applyFont="1" applyBorder="1" applyAlignment="1" applyProtection="1">
      <alignment horizontal="center"/>
      <protection locked="0"/>
    </xf>
    <xf numFmtId="171" fontId="13" fillId="0" borderId="24" xfId="0" applyNumberFormat="1" applyFont="1" applyBorder="1" applyAlignment="1" applyProtection="1">
      <alignment horizontal="center"/>
      <protection locked="0"/>
    </xf>
    <xf numFmtId="1" fontId="22" fillId="0" borderId="41" xfId="0" applyNumberFormat="1" applyFont="1" applyBorder="1" applyAlignment="1" applyProtection="1">
      <alignment horizontal="center"/>
      <protection locked="0"/>
    </xf>
    <xf numFmtId="3" fontId="26" fillId="0" borderId="20" xfId="1" applyNumberFormat="1" applyFont="1" applyBorder="1" applyAlignment="1" applyProtection="1">
      <alignment horizontal="center"/>
      <protection locked="0"/>
    </xf>
    <xf numFmtId="171" fontId="5" fillId="0" borderId="19" xfId="0" applyNumberFormat="1" applyFont="1" applyBorder="1" applyAlignment="1" applyProtection="1">
      <alignment horizontal="center"/>
      <protection locked="0"/>
    </xf>
    <xf numFmtId="171" fontId="12" fillId="0" borderId="21" xfId="0" applyNumberFormat="1" applyFont="1" applyBorder="1" applyAlignment="1" applyProtection="1">
      <alignment horizontal="center"/>
      <protection locked="0"/>
    </xf>
    <xf numFmtId="171" fontId="5" fillId="0" borderId="21" xfId="0" applyNumberFormat="1" applyFont="1" applyBorder="1" applyAlignment="1" applyProtection="1">
      <alignment horizontal="center"/>
      <protection locked="0"/>
    </xf>
    <xf numFmtId="171" fontId="13" fillId="0" borderId="31" xfId="0" applyNumberFormat="1" applyFont="1" applyBorder="1" applyAlignment="1" applyProtection="1">
      <alignment horizontal="center"/>
      <protection locked="0"/>
    </xf>
    <xf numFmtId="3" fontId="22" fillId="0" borderId="23" xfId="0" applyNumberFormat="1" applyFont="1" applyBorder="1" applyAlignment="1" applyProtection="1">
      <alignment horizontal="center"/>
      <protection locked="0"/>
    </xf>
    <xf numFmtId="3" fontId="26" fillId="0" borderId="21" xfId="0" applyNumberFormat="1" applyFont="1" applyBorder="1" applyAlignment="1" applyProtection="1">
      <alignment horizontal="center"/>
      <protection locked="0"/>
    </xf>
    <xf numFmtId="171" fontId="2" fillId="0" borderId="21" xfId="0" applyNumberFormat="1" applyFont="1" applyBorder="1" applyProtection="1">
      <protection locked="0"/>
    </xf>
    <xf numFmtId="3" fontId="10" fillId="0" borderId="23" xfId="0" applyNumberFormat="1" applyFont="1" applyBorder="1" applyProtection="1">
      <protection locked="0"/>
    </xf>
    <xf numFmtId="3" fontId="2" fillId="0" borderId="23" xfId="0" applyNumberFormat="1" applyFont="1" applyBorder="1" applyProtection="1">
      <protection locked="0"/>
    </xf>
    <xf numFmtId="2" fontId="22" fillId="0" borderId="16" xfId="0" applyNumberFormat="1" applyFont="1" applyBorder="1" applyAlignment="1" applyProtection="1">
      <alignment horizontal="center"/>
      <protection locked="0"/>
    </xf>
    <xf numFmtId="2" fontId="22" fillId="0" borderId="19" xfId="0" applyNumberFormat="1" applyFont="1" applyBorder="1" applyAlignment="1" applyProtection="1">
      <alignment horizontal="center"/>
      <protection locked="0"/>
    </xf>
    <xf numFmtId="4" fontId="10" fillId="0" borderId="19" xfId="0" applyNumberFormat="1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10" fillId="0" borderId="21" xfId="0" applyFont="1" applyBorder="1" applyAlignment="1" applyProtection="1">
      <alignment horizontal="center"/>
      <protection locked="0"/>
    </xf>
    <xf numFmtId="167" fontId="5" fillId="0" borderId="24" xfId="0" applyNumberFormat="1" applyFont="1" applyBorder="1" applyAlignment="1" applyProtection="1">
      <alignment horizontal="center"/>
      <protection locked="0"/>
    </xf>
    <xf numFmtId="167" fontId="5" fillId="0" borderId="31" xfId="0" applyNumberFormat="1" applyFont="1" applyBorder="1" applyAlignment="1" applyProtection="1">
      <alignment horizontal="center"/>
      <protection locked="0"/>
    </xf>
    <xf numFmtId="4" fontId="10" fillId="0" borderId="31" xfId="0" applyNumberFormat="1" applyFont="1" applyBorder="1" applyProtection="1">
      <protection locked="0"/>
    </xf>
    <xf numFmtId="0" fontId="10" fillId="0" borderId="31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right" vertical="center"/>
    </xf>
    <xf numFmtId="3" fontId="5" fillId="0" borderId="24" xfId="0" applyNumberFormat="1" applyFont="1" applyBorder="1" applyAlignment="1" applyProtection="1">
      <alignment horizontal="center"/>
      <protection hidden="1"/>
    </xf>
    <xf numFmtId="171" fontId="5" fillId="0" borderId="37" xfId="0" applyNumberFormat="1" applyFont="1" applyBorder="1" applyAlignment="1" applyProtection="1">
      <alignment horizontal="center"/>
      <protection locked="0"/>
    </xf>
    <xf numFmtId="171" fontId="12" fillId="0" borderId="10" xfId="0" applyNumberFormat="1" applyFont="1" applyBorder="1" applyAlignment="1" applyProtection="1">
      <alignment horizontal="center"/>
      <protection locked="0"/>
    </xf>
    <xf numFmtId="171" fontId="2" fillId="0" borderId="10" xfId="0" applyNumberFormat="1" applyFont="1" applyBorder="1" applyProtection="1">
      <protection locked="0"/>
    </xf>
    <xf numFmtId="171" fontId="5" fillId="0" borderId="10" xfId="0" applyNumberFormat="1" applyFont="1" applyBorder="1" applyAlignment="1" applyProtection="1">
      <alignment horizontal="center"/>
      <protection locked="0"/>
    </xf>
    <xf numFmtId="171" fontId="13" fillId="0" borderId="10" xfId="0" applyNumberFormat="1" applyFont="1" applyBorder="1" applyAlignment="1" applyProtection="1">
      <alignment horizontal="center"/>
      <protection locked="0"/>
    </xf>
    <xf numFmtId="171" fontId="13" fillId="0" borderId="44" xfId="0" applyNumberFormat="1" applyFont="1" applyBorder="1" applyAlignment="1" applyProtection="1">
      <alignment horizontal="center"/>
      <protection locked="0"/>
    </xf>
    <xf numFmtId="177" fontId="11" fillId="0" borderId="0" xfId="0" applyNumberFormat="1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177" fontId="12" fillId="0" borderId="99" xfId="0" applyNumberFormat="1" applyFont="1" applyBorder="1" applyAlignment="1" applyProtection="1">
      <alignment horizontal="center"/>
      <protection hidden="1"/>
    </xf>
    <xf numFmtId="168" fontId="2" fillId="0" borderId="54" xfId="1" applyNumberFormat="1" applyFont="1" applyBorder="1"/>
    <xf numFmtId="3" fontId="25" fillId="3" borderId="21" xfId="3" applyNumberFormat="1" applyFont="1" applyFill="1" applyBorder="1" applyAlignment="1" applyProtection="1">
      <alignment horizontal="right"/>
      <protection locked="0"/>
    </xf>
    <xf numFmtId="0" fontId="25" fillId="3" borderId="67" xfId="3" applyFont="1" applyFill="1" applyBorder="1" applyProtection="1">
      <protection locked="0"/>
    </xf>
    <xf numFmtId="0" fontId="25" fillId="3" borderId="64" xfId="3" applyFont="1" applyFill="1" applyBorder="1" applyProtection="1">
      <protection locked="0"/>
    </xf>
    <xf numFmtId="0" fontId="25" fillId="3" borderId="64" xfId="3" applyFont="1" applyFill="1" applyBorder="1" applyAlignment="1" applyProtection="1">
      <alignment horizontal="center"/>
      <protection locked="0"/>
    </xf>
    <xf numFmtId="2" fontId="25" fillId="0" borderId="67" xfId="3" applyNumberFormat="1" applyFont="1" applyBorder="1" applyProtection="1">
      <protection hidden="1"/>
    </xf>
    <xf numFmtId="0" fontId="25" fillId="0" borderId="73" xfId="3" applyFont="1" applyBorder="1" applyProtection="1">
      <protection hidden="1"/>
    </xf>
    <xf numFmtId="3" fontId="39" fillId="0" borderId="4" xfId="0" applyNumberFormat="1" applyFont="1" applyBorder="1" applyAlignment="1" applyProtection="1">
      <alignment horizontal="center"/>
      <protection locked="0"/>
    </xf>
    <xf numFmtId="2" fontId="13" fillId="0" borderId="10" xfId="0" applyNumberFormat="1" applyFont="1" applyBorder="1" applyAlignment="1" applyProtection="1">
      <alignment horizontal="center"/>
      <protection hidden="1"/>
    </xf>
    <xf numFmtId="2" fontId="5" fillId="0" borderId="44" xfId="0" applyNumberFormat="1" applyFont="1" applyBorder="1" applyAlignment="1" applyProtection="1">
      <alignment horizontal="center"/>
      <protection hidden="1"/>
    </xf>
    <xf numFmtId="1" fontId="12" fillId="0" borderId="42" xfId="0" applyNumberFormat="1" applyFont="1" applyBorder="1" applyAlignment="1" applyProtection="1">
      <alignment horizontal="center"/>
      <protection hidden="1"/>
    </xf>
    <xf numFmtId="2" fontId="13" fillId="0" borderId="59" xfId="0" applyNumberFormat="1" applyFont="1" applyBorder="1" applyAlignment="1" applyProtection="1">
      <alignment horizontal="center"/>
      <protection hidden="1"/>
    </xf>
    <xf numFmtId="3" fontId="39" fillId="0" borderId="15" xfId="0" applyNumberFormat="1" applyFont="1" applyBorder="1" applyAlignment="1" applyProtection="1">
      <alignment horizontal="center" vertical="center"/>
      <protection hidden="1"/>
    </xf>
    <xf numFmtId="3" fontId="39" fillId="0" borderId="52" xfId="0" applyNumberFormat="1" applyFont="1" applyBorder="1" applyAlignment="1" applyProtection="1">
      <alignment horizontal="center" vertical="center"/>
      <protection hidden="1"/>
    </xf>
    <xf numFmtId="3" fontId="39" fillId="0" borderId="16" xfId="0" applyNumberFormat="1" applyFont="1" applyBorder="1" applyAlignment="1" applyProtection="1">
      <alignment horizontal="center" vertical="center"/>
      <protection locked="0"/>
    </xf>
    <xf numFmtId="3" fontId="39" fillId="0" borderId="20" xfId="0" applyNumberFormat="1" applyFont="1" applyBorder="1" applyAlignment="1" applyProtection="1">
      <alignment horizontal="center" vertical="center"/>
      <protection locked="0"/>
    </xf>
    <xf numFmtId="3" fontId="39" fillId="0" borderId="24" xfId="0" applyNumberFormat="1" applyFont="1" applyBorder="1" applyAlignment="1" applyProtection="1">
      <alignment horizontal="center" vertical="center"/>
      <protection locked="0"/>
    </xf>
    <xf numFmtId="3" fontId="39" fillId="0" borderId="19" xfId="0" applyNumberFormat="1" applyFont="1" applyBorder="1" applyAlignment="1" applyProtection="1">
      <alignment horizontal="center" vertical="center"/>
      <protection locked="0"/>
    </xf>
    <xf numFmtId="3" fontId="39" fillId="0" borderId="21" xfId="0" applyNumberFormat="1" applyFont="1" applyBorder="1" applyAlignment="1" applyProtection="1">
      <alignment horizontal="center" vertical="center"/>
      <protection locked="0"/>
    </xf>
    <xf numFmtId="3" fontId="39" fillId="0" borderId="31" xfId="0" applyNumberFormat="1" applyFont="1" applyBorder="1" applyAlignment="1" applyProtection="1">
      <alignment horizontal="center" vertical="center"/>
      <protection locked="0"/>
    </xf>
    <xf numFmtId="3" fontId="39" fillId="0" borderId="27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/>
    <xf numFmtId="0" fontId="2" fillId="0" borderId="100" xfId="0" applyFont="1" applyBorder="1"/>
    <xf numFmtId="3" fontId="39" fillId="0" borderId="10" xfId="0" applyNumberFormat="1" applyFont="1" applyBorder="1" applyAlignment="1" applyProtection="1">
      <alignment horizontal="center" vertical="center"/>
      <protection locked="0"/>
    </xf>
    <xf numFmtId="3" fontId="39" fillId="0" borderId="44" xfId="0" applyNumberFormat="1" applyFont="1" applyBorder="1" applyAlignment="1" applyProtection="1">
      <alignment horizontal="center" vertical="center"/>
      <protection locked="0"/>
    </xf>
    <xf numFmtId="3" fontId="39" fillId="0" borderId="57" xfId="0" applyNumberFormat="1" applyFont="1" applyBorder="1" applyAlignment="1" applyProtection="1">
      <alignment horizontal="center" vertical="center"/>
      <protection hidden="1"/>
    </xf>
    <xf numFmtId="0" fontId="11" fillId="0" borderId="39" xfId="3" applyFont="1" applyBorder="1" applyAlignment="1">
      <alignment horizontal="right"/>
    </xf>
    <xf numFmtId="0" fontId="11" fillId="0" borderId="39" xfId="3" applyFont="1" applyBorder="1" applyAlignment="1">
      <alignment horizontal="center"/>
    </xf>
    <xf numFmtId="0" fontId="19" fillId="0" borderId="39" xfId="0" applyFont="1" applyBorder="1" applyAlignment="1" applyProtection="1">
      <alignment horizontal="center"/>
      <protection locked="0"/>
    </xf>
    <xf numFmtId="170" fontId="10" fillId="0" borderId="28" xfId="0" applyNumberFormat="1" applyFont="1" applyBorder="1" applyAlignment="1" applyProtection="1">
      <alignment horizontal="center" vertical="center"/>
      <protection locked="0"/>
    </xf>
    <xf numFmtId="3" fontId="39" fillId="0" borderId="28" xfId="0" applyNumberFormat="1" applyFont="1" applyBorder="1" applyAlignment="1" applyProtection="1">
      <alignment horizontal="center"/>
      <protection hidden="1"/>
    </xf>
    <xf numFmtId="3" fontId="5" fillId="0" borderId="20" xfId="0" applyNumberFormat="1" applyFont="1" applyBorder="1" applyAlignment="1" applyProtection="1">
      <alignment horizontal="center"/>
      <protection locked="0" hidden="1"/>
    </xf>
    <xf numFmtId="3" fontId="5" fillId="0" borderId="21" xfId="0" applyNumberFormat="1" applyFont="1" applyBorder="1" applyAlignment="1" applyProtection="1">
      <alignment horizontal="center"/>
      <protection locked="0" hidden="1"/>
    </xf>
    <xf numFmtId="0" fontId="2" fillId="0" borderId="21" xfId="0" applyFont="1" applyBorder="1" applyProtection="1">
      <protection locked="0" hidden="1"/>
    </xf>
    <xf numFmtId="0" fontId="2" fillId="0" borderId="10" xfId="0" applyFont="1" applyBorder="1" applyProtection="1">
      <protection locked="0" hidden="1"/>
    </xf>
    <xf numFmtId="2" fontId="5" fillId="0" borderId="20" xfId="0" applyNumberFormat="1" applyFont="1" applyBorder="1" applyAlignment="1" applyProtection="1">
      <alignment horizontal="center"/>
      <protection locked="0" hidden="1"/>
    </xf>
    <xf numFmtId="2" fontId="5" fillId="0" borderId="21" xfId="0" applyNumberFormat="1" applyFont="1" applyBorder="1" applyAlignment="1" applyProtection="1">
      <alignment horizontal="center"/>
      <protection locked="0" hidden="1"/>
    </xf>
    <xf numFmtId="4" fontId="10" fillId="0" borderId="21" xfId="0" applyNumberFormat="1" applyFont="1" applyBorder="1" applyProtection="1">
      <protection locked="0" hidden="1"/>
    </xf>
    <xf numFmtId="2" fontId="5" fillId="0" borderId="10" xfId="0" applyNumberFormat="1" applyFont="1" applyBorder="1" applyAlignment="1" applyProtection="1">
      <alignment horizontal="center"/>
      <protection locked="0" hidden="1"/>
    </xf>
    <xf numFmtId="4" fontId="10" fillId="0" borderId="19" xfId="0" applyNumberFormat="1" applyFont="1" applyBorder="1" applyAlignment="1" applyProtection="1">
      <alignment horizontal="center"/>
      <protection locked="0"/>
    </xf>
    <xf numFmtId="1" fontId="5" fillId="0" borderId="31" xfId="0" applyNumberFormat="1" applyFont="1" applyBorder="1" applyAlignment="1" applyProtection="1">
      <alignment horizontal="center"/>
      <protection locked="0"/>
    </xf>
    <xf numFmtId="1" fontId="10" fillId="0" borderId="31" xfId="0" applyNumberFormat="1" applyFont="1" applyBorder="1" applyAlignment="1" applyProtection="1">
      <alignment horizontal="center"/>
      <protection locked="0"/>
    </xf>
    <xf numFmtId="1" fontId="43" fillId="0" borderId="31" xfId="0" applyNumberFormat="1" applyFont="1" applyBorder="1" applyAlignment="1" applyProtection="1">
      <alignment horizontal="center"/>
      <protection locked="0"/>
    </xf>
    <xf numFmtId="4" fontId="2" fillId="0" borderId="19" xfId="0" applyNumberFormat="1" applyFont="1" applyBorder="1" applyAlignment="1" applyProtection="1">
      <alignment horizontal="center"/>
      <protection locked="0"/>
    </xf>
    <xf numFmtId="3" fontId="10" fillId="0" borderId="31" xfId="0" applyNumberFormat="1" applyFont="1" applyBorder="1" applyAlignment="1" applyProtection="1">
      <alignment horizontal="center"/>
      <protection locked="0"/>
    </xf>
    <xf numFmtId="1" fontId="43" fillId="0" borderId="24" xfId="0" applyNumberFormat="1" applyFont="1" applyBorder="1" applyAlignment="1" applyProtection="1">
      <alignment horizontal="center"/>
      <protection locked="0"/>
    </xf>
    <xf numFmtId="3" fontId="43" fillId="0" borderId="31" xfId="0" applyNumberFormat="1" applyFont="1" applyBorder="1" applyAlignment="1" applyProtection="1">
      <alignment horizontal="center"/>
      <protection locked="0"/>
    </xf>
    <xf numFmtId="0" fontId="5" fillId="0" borderId="58" xfId="0" applyFont="1" applyBorder="1" applyAlignment="1">
      <alignment horizontal="center"/>
    </xf>
    <xf numFmtId="0" fontId="5" fillId="0" borderId="0" xfId="0" applyFont="1" applyAlignment="1">
      <alignment horizontal="center"/>
    </xf>
    <xf numFmtId="172" fontId="5" fillId="0" borderId="101" xfId="0" applyNumberFormat="1" applyFont="1" applyBorder="1" applyAlignment="1" applyProtection="1">
      <alignment horizontal="center"/>
      <protection hidden="1"/>
    </xf>
    <xf numFmtId="172" fontId="5" fillId="0" borderId="98" xfId="0" applyNumberFormat="1" applyFont="1" applyBorder="1" applyAlignment="1" applyProtection="1">
      <alignment horizontal="center"/>
      <protection hidden="1"/>
    </xf>
    <xf numFmtId="172" fontId="5" fillId="0" borderId="96" xfId="0" applyNumberFormat="1" applyFont="1" applyBorder="1" applyAlignment="1" applyProtection="1">
      <alignment horizontal="center"/>
      <protection hidden="1"/>
    </xf>
    <xf numFmtId="172" fontId="31" fillId="0" borderId="50" xfId="0" applyNumberFormat="1" applyFont="1" applyBorder="1" applyAlignment="1" applyProtection="1">
      <alignment horizontal="center" vertical="center"/>
      <protection hidden="1"/>
    </xf>
    <xf numFmtId="4" fontId="30" fillId="3" borderId="21" xfId="0" applyNumberFormat="1" applyFont="1" applyFill="1" applyBorder="1" applyAlignment="1" applyProtection="1">
      <alignment horizontal="center" vertical="center"/>
      <protection locked="0"/>
    </xf>
    <xf numFmtId="4" fontId="31" fillId="0" borderId="24" xfId="0" applyNumberFormat="1" applyFont="1" applyBorder="1" applyAlignment="1" applyProtection="1">
      <alignment horizontal="center" vertical="center"/>
      <protection hidden="1"/>
    </xf>
    <xf numFmtId="4" fontId="31" fillId="0" borderId="31" xfId="0" applyNumberFormat="1" applyFont="1" applyBorder="1" applyAlignment="1" applyProtection="1">
      <alignment horizontal="center" vertical="center"/>
      <protection hidden="1"/>
    </xf>
    <xf numFmtId="3" fontId="31" fillId="0" borderId="31" xfId="0" applyNumberFormat="1" applyFont="1" applyBorder="1" applyAlignment="1" applyProtection="1">
      <alignment horizontal="center" vertical="center"/>
      <protection hidden="1"/>
    </xf>
    <xf numFmtId="172" fontId="31" fillId="0" borderId="31" xfId="0" applyNumberFormat="1" applyFont="1" applyBorder="1" applyAlignment="1" applyProtection="1">
      <alignment horizontal="center" vertical="center"/>
      <protection hidden="1"/>
    </xf>
    <xf numFmtId="172" fontId="30" fillId="0" borderId="32" xfId="0" applyNumberFormat="1" applyFont="1" applyBorder="1" applyAlignment="1" applyProtection="1">
      <alignment horizontal="center" vertical="center"/>
      <protection hidden="1"/>
    </xf>
    <xf numFmtId="172" fontId="31" fillId="0" borderId="33" xfId="0" applyNumberFormat="1" applyFont="1" applyBorder="1" applyAlignment="1" applyProtection="1">
      <alignment horizontal="center" vertical="center"/>
      <protection hidden="1"/>
    </xf>
    <xf numFmtId="172" fontId="25" fillId="0" borderId="67" xfId="3" applyNumberFormat="1" applyFont="1" applyBorder="1" applyProtection="1">
      <protection hidden="1"/>
    </xf>
    <xf numFmtId="172" fontId="25" fillId="0" borderId="67" xfId="3" applyNumberFormat="1" applyFont="1" applyBorder="1" applyAlignment="1">
      <alignment horizontal="center"/>
    </xf>
    <xf numFmtId="172" fontId="44" fillId="0" borderId="28" xfId="0" applyNumberFormat="1" applyFont="1" applyBorder="1" applyAlignment="1" applyProtection="1">
      <alignment horizontal="center" vertical="center"/>
      <protection hidden="1"/>
    </xf>
    <xf numFmtId="2" fontId="44" fillId="0" borderId="7" xfId="0" applyNumberFormat="1" applyFont="1" applyBorder="1" applyAlignment="1" applyProtection="1">
      <alignment horizontal="center" vertical="center"/>
      <protection hidden="1"/>
    </xf>
    <xf numFmtId="167" fontId="44" fillId="0" borderId="8" xfId="0" applyNumberFormat="1" applyFont="1" applyBorder="1" applyAlignment="1" applyProtection="1">
      <alignment horizontal="center" vertical="center"/>
      <protection hidden="1"/>
    </xf>
    <xf numFmtId="0" fontId="45" fillId="0" borderId="0" xfId="0" applyFont="1" applyAlignment="1">
      <alignment horizontal="center"/>
    </xf>
    <xf numFmtId="0" fontId="45" fillId="0" borderId="4" xfId="0" applyFont="1" applyBorder="1" applyAlignment="1" applyProtection="1">
      <alignment horizontal="center" vertical="center" wrapText="1"/>
      <protection hidden="1"/>
    </xf>
    <xf numFmtId="3" fontId="2" fillId="0" borderId="0" xfId="0" applyNumberFormat="1" applyFont="1"/>
    <xf numFmtId="3" fontId="2" fillId="0" borderId="21" xfId="0" applyNumberFormat="1" applyFont="1" applyBorder="1" applyProtection="1">
      <protection locked="0"/>
    </xf>
    <xf numFmtId="0" fontId="45" fillId="0" borderId="0" xfId="0" applyFont="1" applyAlignment="1" applyProtection="1">
      <alignment horizontal="center"/>
      <protection locked="0"/>
    </xf>
    <xf numFmtId="3" fontId="45" fillId="0" borderId="21" xfId="0" applyNumberFormat="1" applyFont="1" applyBorder="1" applyAlignment="1" applyProtection="1">
      <alignment horizontal="center"/>
      <protection locked="0"/>
    </xf>
    <xf numFmtId="0" fontId="25" fillId="0" borderId="67" xfId="3" applyFont="1" applyBorder="1" applyAlignment="1" applyProtection="1">
      <alignment horizontal="center"/>
      <protection locked="0"/>
    </xf>
    <xf numFmtId="0" fontId="25" fillId="0" borderId="68" xfId="3" applyFont="1" applyBorder="1" applyAlignment="1" applyProtection="1">
      <alignment horizontal="center"/>
      <protection locked="0"/>
    </xf>
    <xf numFmtId="20" fontId="25" fillId="0" borderId="67" xfId="3" applyNumberFormat="1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169" fontId="5" fillId="0" borderId="39" xfId="0" applyNumberFormat="1" applyFont="1" applyBorder="1" applyAlignment="1" applyProtection="1">
      <alignment horizontal="center"/>
      <protection locked="0"/>
    </xf>
    <xf numFmtId="165" fontId="18" fillId="0" borderId="17" xfId="0" applyNumberFormat="1" applyFont="1" applyBorder="1" applyAlignment="1" applyProtection="1">
      <alignment horizontal="center" vertical="top"/>
      <protection hidden="1"/>
    </xf>
    <xf numFmtId="0" fontId="5" fillId="0" borderId="3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2" fillId="0" borderId="7" xfId="0" applyFont="1" applyBorder="1" applyAlignment="1">
      <alignment horizontal="right"/>
    </xf>
    <xf numFmtId="0" fontId="42" fillId="0" borderId="8" xfId="0" applyFont="1" applyBorder="1" applyAlignment="1">
      <alignment horizontal="right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69" fontId="5" fillId="0" borderId="39" xfId="0" applyNumberFormat="1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2" fontId="32" fillId="0" borderId="0" xfId="0" applyNumberFormat="1" applyFont="1" applyAlignment="1" applyProtection="1">
      <alignment horizontal="center" vertical="top"/>
      <protection hidden="1"/>
    </xf>
    <xf numFmtId="0" fontId="18" fillId="3" borderId="87" xfId="3" applyFont="1" applyFill="1" applyBorder="1" applyAlignment="1">
      <alignment horizontal="center"/>
    </xf>
    <xf numFmtId="0" fontId="18" fillId="3" borderId="88" xfId="3" applyFont="1" applyFill="1" applyBorder="1" applyAlignment="1">
      <alignment horizontal="center"/>
    </xf>
    <xf numFmtId="0" fontId="18" fillId="3" borderId="89" xfId="3" applyFont="1" applyFill="1" applyBorder="1" applyAlignment="1">
      <alignment horizontal="center"/>
    </xf>
    <xf numFmtId="0" fontId="37" fillId="0" borderId="17" xfId="3" applyFont="1" applyBorder="1" applyAlignment="1">
      <alignment horizontal="center"/>
    </xf>
    <xf numFmtId="0" fontId="15" fillId="0" borderId="0" xfId="3" applyFont="1" applyAlignment="1">
      <alignment horizontal="center" vertical="top"/>
    </xf>
    <xf numFmtId="173" fontId="36" fillId="0" borderId="17" xfId="3" applyNumberFormat="1" applyFont="1" applyBorder="1" applyAlignment="1">
      <alignment horizontal="right" vertical="top"/>
    </xf>
    <xf numFmtId="173" fontId="36" fillId="0" borderId="18" xfId="3" applyNumberFormat="1" applyFont="1" applyBorder="1" applyAlignment="1">
      <alignment horizontal="right" vertical="top"/>
    </xf>
    <xf numFmtId="0" fontId="18" fillId="0" borderId="1" xfId="3" applyFont="1" applyBorder="1" applyAlignment="1">
      <alignment horizontal="center"/>
    </xf>
    <xf numFmtId="0" fontId="18" fillId="0" borderId="2" xfId="3" applyFont="1" applyBorder="1" applyAlignment="1">
      <alignment horizontal="center"/>
    </xf>
    <xf numFmtId="0" fontId="18" fillId="0" borderId="3" xfId="3" applyFont="1" applyBorder="1" applyAlignment="1">
      <alignment horizontal="center"/>
    </xf>
    <xf numFmtId="0" fontId="18" fillId="3" borderId="1" xfId="3" applyFont="1" applyFill="1" applyBorder="1" applyAlignment="1">
      <alignment horizontal="center"/>
    </xf>
    <xf numFmtId="0" fontId="18" fillId="3" borderId="2" xfId="3" applyFont="1" applyFill="1" applyBorder="1" applyAlignment="1">
      <alignment horizontal="center"/>
    </xf>
    <xf numFmtId="0" fontId="18" fillId="3" borderId="3" xfId="3" applyFont="1" applyFill="1" applyBorder="1" applyAlignment="1">
      <alignment horizontal="center"/>
    </xf>
    <xf numFmtId="0" fontId="18" fillId="0" borderId="69" xfId="3" applyFont="1" applyBorder="1" applyAlignment="1">
      <alignment horizontal="center"/>
    </xf>
    <xf numFmtId="0" fontId="18" fillId="0" borderId="70" xfId="3" applyFont="1" applyBorder="1" applyAlignment="1">
      <alignment horizontal="center"/>
    </xf>
    <xf numFmtId="0" fontId="18" fillId="0" borderId="71" xfId="3" applyFont="1" applyBorder="1" applyAlignment="1">
      <alignment horizontal="center"/>
    </xf>
    <xf numFmtId="0" fontId="18" fillId="3" borderId="75" xfId="3" applyFont="1" applyFill="1" applyBorder="1" applyAlignment="1">
      <alignment horizontal="center"/>
    </xf>
    <xf numFmtId="0" fontId="18" fillId="3" borderId="76" xfId="3" applyFont="1" applyFill="1" applyBorder="1" applyAlignment="1">
      <alignment horizontal="center"/>
    </xf>
    <xf numFmtId="0" fontId="18" fillId="3" borderId="77" xfId="3" applyFont="1" applyFill="1" applyBorder="1" applyAlignment="1">
      <alignment horizontal="center"/>
    </xf>
    <xf numFmtId="0" fontId="18" fillId="0" borderId="63" xfId="3" applyFont="1" applyBorder="1" applyAlignment="1">
      <alignment horizontal="center"/>
    </xf>
    <xf numFmtId="0" fontId="18" fillId="0" borderId="79" xfId="3" applyFont="1" applyBorder="1" applyAlignment="1">
      <alignment horizontal="center"/>
    </xf>
    <xf numFmtId="0" fontId="18" fillId="0" borderId="87" xfId="3" applyFont="1" applyBorder="1" applyAlignment="1">
      <alignment horizontal="center"/>
    </xf>
    <xf numFmtId="0" fontId="18" fillId="0" borderId="88" xfId="3" applyFont="1" applyBorder="1" applyAlignment="1">
      <alignment horizontal="center"/>
    </xf>
    <xf numFmtId="0" fontId="18" fillId="0" borderId="89" xfId="3" applyFont="1" applyBorder="1" applyAlignment="1">
      <alignment horizontal="center"/>
    </xf>
    <xf numFmtId="0" fontId="18" fillId="0" borderId="80" xfId="3" applyFont="1" applyBorder="1" applyAlignment="1">
      <alignment horizontal="center"/>
    </xf>
    <xf numFmtId="0" fontId="18" fillId="0" borderId="81" xfId="3" applyFont="1" applyBorder="1" applyAlignment="1">
      <alignment horizontal="center"/>
    </xf>
  </cellXfs>
  <cellStyles count="4">
    <cellStyle name="Millares" xfId="1" builtinId="3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colors>
    <mruColors>
      <color rgb="FF0000FF"/>
      <color rgb="FFFFFFCC"/>
      <color rgb="FFCC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204844</xdr:colOff>
      <xdr:row>0</xdr:row>
      <xdr:rowOff>0</xdr:rowOff>
    </xdr:from>
    <xdr:to>
      <xdr:col>4</xdr:col>
      <xdr:colOff>361726</xdr:colOff>
      <xdr:row>5</xdr:row>
      <xdr:rowOff>34961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808E5B-A1C0-5E44-08D1-7B89E432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64" y="0"/>
          <a:ext cx="2031402" cy="1360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555364</xdr:colOff>
      <xdr:row>0</xdr:row>
      <xdr:rowOff>91440</xdr:rowOff>
    </xdr:from>
    <xdr:to>
      <xdr:col>5</xdr:col>
      <xdr:colOff>358140</xdr:colOff>
      <xdr:row>5</xdr:row>
      <xdr:rowOff>12101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24EBE2-BCDE-40F3-B011-7A04F2EDB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7844" y="91440"/>
          <a:ext cx="2370716" cy="1360841"/>
        </a:xfrm>
        <a:prstGeom prst="rect">
          <a:avLst/>
        </a:prstGeom>
      </xdr:spPr>
    </xdr:pic>
    <xdr:clientData/>
  </xdr:twoCellAnchor>
  <xdr:twoCellAnchor editAs="oneCell">
    <xdr:from>
      <xdr:col>21</xdr:col>
      <xdr:colOff>548640</xdr:colOff>
      <xdr:row>30</xdr:row>
      <xdr:rowOff>30480</xdr:rowOff>
    </xdr:from>
    <xdr:to>
      <xdr:col>23</xdr:col>
      <xdr:colOff>512444</xdr:colOff>
      <xdr:row>33</xdr:row>
      <xdr:rowOff>170914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8568EC-4E64-4DD5-BB1E-CC57E0093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5780" y="6888480"/>
          <a:ext cx="1402079" cy="887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555364</xdr:colOff>
      <xdr:row>0</xdr:row>
      <xdr:rowOff>91440</xdr:rowOff>
    </xdr:from>
    <xdr:to>
      <xdr:col>4</xdr:col>
      <xdr:colOff>742950</xdr:colOff>
      <xdr:row>5</xdr:row>
      <xdr:rowOff>15911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FE9B0F-52C0-47E7-A3BA-5CAD99BD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7844" y="91440"/>
          <a:ext cx="2370716" cy="1360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53340</xdr:rowOff>
    </xdr:from>
    <xdr:to>
      <xdr:col>1</xdr:col>
      <xdr:colOff>19050</xdr:colOff>
      <xdr:row>2</xdr:row>
      <xdr:rowOff>287781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5808DC-E7B7-404E-9095-BA03572FC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53340"/>
          <a:ext cx="1623060" cy="931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2%20proyectos\00%20Planta%20Tuxtepec\Captura_Laboratorio%2018%20abr%202019.xlsm" TargetMode="External"/><Relationship Id="rId1" Type="http://schemas.openxmlformats.org/officeDocument/2006/relationships/externalLinkPath" Target="file:///D:\2022%20proyectos\00%20Planta%20Tuxtepec\Captura_Laboratorio%2018%20abr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RBE"/>
      <sheetName val="EXTRACCIÓN"/>
      <sheetName val="AZÚCAR_PRODUCIDO"/>
      <sheetName val="CRISTALIZACIÓN"/>
      <sheetName val="EXTRAC_CLARI_EVAP"/>
      <sheetName val="PRODUC_TERMINADO"/>
      <sheetName val="Hoja7"/>
      <sheetName val="M3_TACHOS"/>
      <sheetName val="CAPTURA NORMAL"/>
    </sheetNames>
    <sheetDataSet>
      <sheetData sheetId="0"/>
      <sheetData sheetId="1"/>
      <sheetData sheetId="2"/>
      <sheetData sheetId="3">
        <row r="55">
          <cell r="L55" t="str">
            <v/>
          </cell>
        </row>
      </sheetData>
      <sheetData sheetId="4">
        <row r="14">
          <cell r="L14" t="str">
            <v/>
          </cell>
          <cell r="N14" t="str">
            <v/>
          </cell>
          <cell r="Z14" t="str">
            <v/>
          </cell>
        </row>
        <row r="43">
          <cell r="AA43" t="str">
            <v/>
          </cell>
        </row>
      </sheetData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topLeftCell="A29" zoomScaleNormal="100" workbookViewId="0">
      <selection activeCell="P34" sqref="P34"/>
    </sheetView>
  </sheetViews>
  <sheetFormatPr baseColWidth="10" defaultColWidth="11.5546875" defaultRowHeight="13.2"/>
  <cols>
    <col min="1" max="1" width="9.5546875" style="1" customWidth="1"/>
    <col min="2" max="2" width="8.44140625" style="1" customWidth="1"/>
    <col min="3" max="3" width="9" style="1" customWidth="1"/>
    <col min="4" max="4" width="9.88671875" style="1" customWidth="1"/>
    <col min="5" max="6" width="8.44140625" style="1" customWidth="1"/>
    <col min="7" max="7" width="9.5546875" style="1" customWidth="1"/>
    <col min="8" max="8" width="10.88671875" style="1" customWidth="1"/>
    <col min="9" max="9" width="9.44140625" style="1" customWidth="1"/>
    <col min="10" max="10" width="3.5546875" style="1" customWidth="1"/>
    <col min="11" max="11" width="10.109375" style="1" customWidth="1"/>
    <col min="12" max="12" width="10.88671875" style="1" customWidth="1"/>
    <col min="13" max="13" width="10.109375" style="1" customWidth="1"/>
    <col min="14" max="15" width="8.5546875" style="1" customWidth="1"/>
    <col min="16" max="16" width="12.88671875" style="1" customWidth="1"/>
    <col min="17" max="17" width="14.109375" style="1" customWidth="1"/>
    <col min="18" max="18" width="11.109375" style="1" customWidth="1"/>
    <col min="19" max="16384" width="11.5546875" style="1"/>
  </cols>
  <sheetData>
    <row r="1" spans="1:18" ht="12" customHeight="1">
      <c r="N1" s="53"/>
      <c r="O1" s="53"/>
      <c r="P1" s="470" t="s">
        <v>15</v>
      </c>
      <c r="Q1" s="470"/>
      <c r="R1" s="470"/>
    </row>
    <row r="2" spans="1:18" ht="12" customHeight="1">
      <c r="M2" s="53"/>
      <c r="N2" s="53"/>
      <c r="O2" s="53"/>
      <c r="P2" s="470"/>
      <c r="Q2" s="470"/>
      <c r="R2" s="470"/>
    </row>
    <row r="3" spans="1:18" ht="30">
      <c r="B3" s="26"/>
      <c r="C3" s="26"/>
      <c r="D3" s="26"/>
      <c r="E3" s="26"/>
      <c r="F3" s="26"/>
      <c r="G3" s="26"/>
      <c r="H3" s="468" t="s">
        <v>12</v>
      </c>
      <c r="I3" s="468"/>
      <c r="J3" s="468"/>
      <c r="K3" s="468"/>
      <c r="L3" s="468"/>
      <c r="M3" s="468"/>
      <c r="N3" s="468"/>
      <c r="O3" s="468"/>
      <c r="P3" s="470"/>
      <c r="Q3" s="470"/>
      <c r="R3" s="470"/>
    </row>
    <row r="4" spans="1:18" ht="23.4" thickBot="1">
      <c r="J4" s="24"/>
      <c r="K4" s="24" t="s">
        <v>27</v>
      </c>
      <c r="L4" s="24"/>
      <c r="M4" s="54"/>
      <c r="N4" s="54"/>
      <c r="O4" s="54"/>
      <c r="P4" s="58" t="s">
        <v>26</v>
      </c>
      <c r="Q4" s="471">
        <v>45268</v>
      </c>
      <c r="R4" s="471"/>
    </row>
    <row r="5" spans="1:18" ht="27" customHeight="1">
      <c r="A5" s="2"/>
      <c r="B5" s="2"/>
      <c r="C5" s="2"/>
      <c r="D5" s="2"/>
      <c r="E5" s="2"/>
      <c r="F5" s="2"/>
      <c r="G5" s="2"/>
      <c r="H5" s="469" t="s">
        <v>72</v>
      </c>
      <c r="I5" s="469"/>
      <c r="J5" s="469"/>
      <c r="K5" s="469"/>
      <c r="L5" s="469"/>
      <c r="M5" s="469"/>
      <c r="N5" s="469"/>
      <c r="O5" s="469"/>
      <c r="P5" s="27"/>
      <c r="Q5" s="472">
        <f>+Q4</f>
        <v>45268</v>
      </c>
      <c r="R5" s="472"/>
    </row>
    <row r="6" spans="1:18" ht="22.65" customHeight="1" thickBot="1">
      <c r="A6" s="464" t="s">
        <v>13</v>
      </c>
      <c r="B6" s="464"/>
      <c r="C6" s="464"/>
      <c r="D6" s="464"/>
      <c r="E6" s="464"/>
      <c r="F6" s="464"/>
      <c r="G6" s="464"/>
      <c r="H6" s="3"/>
      <c r="I6" s="4"/>
      <c r="J6" s="5"/>
      <c r="K6" s="6"/>
      <c r="L6" s="7"/>
      <c r="M6" s="7"/>
      <c r="N6" s="7"/>
      <c r="O6" s="6"/>
      <c r="P6" s="58" t="s">
        <v>25</v>
      </c>
      <c r="Q6" s="418">
        <v>5</v>
      </c>
      <c r="R6" s="55"/>
    </row>
    <row r="7" spans="1:18" ht="18.600000000000001" customHeight="1" thickBot="1">
      <c r="A7" s="465" t="s">
        <v>14</v>
      </c>
      <c r="B7" s="466"/>
      <c r="C7" s="466"/>
      <c r="D7" s="466"/>
      <c r="E7" s="466"/>
      <c r="F7" s="466"/>
      <c r="G7" s="466"/>
      <c r="H7" s="466"/>
      <c r="I7" s="467"/>
      <c r="J7" s="9"/>
      <c r="K7" s="465" t="s">
        <v>23</v>
      </c>
      <c r="L7" s="466"/>
      <c r="M7" s="466"/>
      <c r="N7" s="466"/>
      <c r="O7" s="466"/>
      <c r="P7" s="466"/>
      <c r="Q7" s="466"/>
      <c r="R7" s="467"/>
    </row>
    <row r="8" spans="1:18" s="10" customFormat="1" ht="28.2" thickBot="1">
      <c r="A8" s="28" t="s">
        <v>2</v>
      </c>
      <c r="B8" s="29" t="s">
        <v>17</v>
      </c>
      <c r="C8" s="30"/>
      <c r="D8" s="31" t="s">
        <v>3</v>
      </c>
      <c r="E8" s="32" t="s">
        <v>4</v>
      </c>
      <c r="F8" s="283" t="s">
        <v>1</v>
      </c>
      <c r="G8" s="284" t="s">
        <v>18</v>
      </c>
      <c r="H8" s="33" t="s">
        <v>19</v>
      </c>
      <c r="I8" s="47"/>
      <c r="J8" s="56"/>
      <c r="K8" s="28" t="s">
        <v>2</v>
      </c>
      <c r="L8" s="29" t="s">
        <v>17</v>
      </c>
      <c r="M8" s="456" t="s">
        <v>45</v>
      </c>
      <c r="N8" s="31" t="s">
        <v>3</v>
      </c>
      <c r="O8" s="32" t="s">
        <v>4</v>
      </c>
      <c r="P8" s="34" t="s">
        <v>1</v>
      </c>
      <c r="Q8" s="35" t="s">
        <v>18</v>
      </c>
      <c r="R8" s="52" t="s">
        <v>19</v>
      </c>
    </row>
    <row r="9" spans="1:18" s="10" customFormat="1" ht="18" customHeight="1">
      <c r="A9" s="11">
        <v>0.25</v>
      </c>
      <c r="B9" s="277"/>
      <c r="C9" s="277"/>
      <c r="D9" s="278"/>
      <c r="E9" s="279"/>
      <c r="F9" s="285" t="str">
        <f>IF(D9="","",ROUND(E9*100/D9,2))</f>
        <v/>
      </c>
      <c r="G9" s="286" t="str">
        <f t="shared" ref="G9:G15" si="0">IF(H9="","",ROUND(12.5/H9,2))</f>
        <v/>
      </c>
      <c r="H9" s="287"/>
      <c r="I9" s="48"/>
      <c r="J9" s="46"/>
      <c r="K9" s="11">
        <v>0.25</v>
      </c>
      <c r="L9" s="277"/>
      <c r="M9" s="277"/>
      <c r="N9" s="278"/>
      <c r="O9" s="279"/>
      <c r="P9" s="36" t="str">
        <f t="shared" ref="P9:P32" si="1">IF(N9="","",ROUND(O9*100/N9,2))</f>
        <v/>
      </c>
      <c r="Q9" s="37" t="str">
        <f t="shared" ref="Q9:Q23" si="2">IF(R9="","",ROUND(12.5/R9,2))</f>
        <v/>
      </c>
      <c r="R9" s="287"/>
    </row>
    <row r="10" spans="1:18" s="10" customFormat="1" ht="18" customHeight="1">
      <c r="A10" s="11">
        <v>0.29166666666666669</v>
      </c>
      <c r="B10" s="280"/>
      <c r="C10" s="280"/>
      <c r="D10" s="279">
        <v>13.95</v>
      </c>
      <c r="E10" s="279">
        <v>10.89</v>
      </c>
      <c r="F10" s="285">
        <f>IF(D10="","",ROUND(E10*100/D10,2))</f>
        <v>78.06</v>
      </c>
      <c r="G10" s="286" t="str">
        <f t="shared" si="0"/>
        <v/>
      </c>
      <c r="H10" s="288"/>
      <c r="I10" s="49"/>
      <c r="J10" s="46"/>
      <c r="K10" s="11">
        <v>0.29166666666666669</v>
      </c>
      <c r="L10" s="280"/>
      <c r="M10" s="280"/>
      <c r="N10" s="279"/>
      <c r="O10" s="279"/>
      <c r="P10" s="36" t="str">
        <f t="shared" si="1"/>
        <v/>
      </c>
      <c r="Q10" s="37" t="str">
        <f t="shared" si="2"/>
        <v/>
      </c>
      <c r="R10" s="288"/>
    </row>
    <row r="11" spans="1:18" s="10" customFormat="1" ht="18" customHeight="1">
      <c r="A11" s="11">
        <v>0.33333333333333331</v>
      </c>
      <c r="B11" s="280"/>
      <c r="C11" s="280"/>
      <c r="D11" s="279">
        <v>13.86</v>
      </c>
      <c r="E11" s="279">
        <v>11.28</v>
      </c>
      <c r="F11" s="285">
        <f t="shared" ref="F11:F15" si="3">IF(D11="","",ROUND(E11*100/D11,2))</f>
        <v>81.39</v>
      </c>
      <c r="G11" s="286">
        <f t="shared" si="0"/>
        <v>0.47</v>
      </c>
      <c r="H11" s="288">
        <v>26.7</v>
      </c>
      <c r="I11" s="49"/>
      <c r="J11" s="46"/>
      <c r="K11" s="11">
        <v>0.33333333333333331</v>
      </c>
      <c r="L11" s="280"/>
      <c r="M11" s="460">
        <v>13523</v>
      </c>
      <c r="N11" s="279">
        <v>13.45</v>
      </c>
      <c r="O11" s="279">
        <v>10.63</v>
      </c>
      <c r="P11" s="36">
        <f t="shared" si="1"/>
        <v>79.03</v>
      </c>
      <c r="Q11" s="37" t="str">
        <f t="shared" si="2"/>
        <v/>
      </c>
      <c r="R11" s="288"/>
    </row>
    <row r="12" spans="1:18" s="10" customFormat="1" ht="18" customHeight="1">
      <c r="A12" s="11">
        <v>0.375</v>
      </c>
      <c r="B12" s="280"/>
      <c r="C12" s="280"/>
      <c r="D12" s="279"/>
      <c r="E12" s="279"/>
      <c r="F12" s="285" t="str">
        <f t="shared" si="3"/>
        <v/>
      </c>
      <c r="G12" s="286" t="str">
        <f t="shared" si="0"/>
        <v/>
      </c>
      <c r="H12" s="288"/>
      <c r="I12" s="49"/>
      <c r="J12" s="46"/>
      <c r="K12" s="11">
        <v>0.375</v>
      </c>
      <c r="L12" s="280"/>
      <c r="M12" s="280"/>
      <c r="N12" s="279"/>
      <c r="O12" s="279"/>
      <c r="P12" s="36" t="str">
        <f t="shared" si="1"/>
        <v/>
      </c>
      <c r="Q12" s="37" t="str">
        <f t="shared" si="2"/>
        <v/>
      </c>
      <c r="R12" s="288"/>
    </row>
    <row r="13" spans="1:18" s="10" customFormat="1" ht="18" customHeight="1">
      <c r="A13" s="11">
        <v>0.41666666666666669</v>
      </c>
      <c r="B13" s="280"/>
      <c r="C13" s="280"/>
      <c r="D13" s="279">
        <v>19.22</v>
      </c>
      <c r="E13" s="279">
        <v>15.99</v>
      </c>
      <c r="F13" s="285">
        <f t="shared" si="3"/>
        <v>83.19</v>
      </c>
      <c r="G13" s="286" t="str">
        <f t="shared" si="0"/>
        <v/>
      </c>
      <c r="H13" s="288"/>
      <c r="I13" s="49"/>
      <c r="J13" s="46"/>
      <c r="K13" s="11">
        <v>0.41666666666666669</v>
      </c>
      <c r="L13" s="280"/>
      <c r="M13" s="280"/>
      <c r="N13" s="279">
        <v>13.15</v>
      </c>
      <c r="O13" s="279">
        <v>10.82</v>
      </c>
      <c r="P13" s="36">
        <f>IF(N13="","",ROUND(O13*100/N13,2))</f>
        <v>82.28</v>
      </c>
      <c r="Q13" s="37" t="str">
        <f t="shared" si="2"/>
        <v/>
      </c>
      <c r="R13" s="288"/>
    </row>
    <row r="14" spans="1:18" s="10" customFormat="1" ht="18" customHeight="1">
      <c r="A14" s="11">
        <v>0.45833333333333331</v>
      </c>
      <c r="B14" s="280"/>
      <c r="C14" s="280"/>
      <c r="D14" s="279">
        <v>17.989999999999998</v>
      </c>
      <c r="E14" s="279">
        <v>15.04</v>
      </c>
      <c r="F14" s="285">
        <f t="shared" si="3"/>
        <v>83.6</v>
      </c>
      <c r="G14" s="286" t="str">
        <f t="shared" si="0"/>
        <v/>
      </c>
      <c r="H14" s="288"/>
      <c r="I14" s="49"/>
      <c r="J14" s="46"/>
      <c r="K14" s="11">
        <v>0.45833333333333331</v>
      </c>
      <c r="L14" s="280"/>
      <c r="M14" s="280"/>
      <c r="N14" s="279">
        <v>13.9</v>
      </c>
      <c r="O14" s="279">
        <v>11.62</v>
      </c>
      <c r="P14" s="36">
        <f t="shared" si="1"/>
        <v>83.6</v>
      </c>
      <c r="Q14" s="37" t="str">
        <f t="shared" si="2"/>
        <v/>
      </c>
      <c r="R14" s="288"/>
    </row>
    <row r="15" spans="1:18" s="10" customFormat="1" ht="18" customHeight="1">
      <c r="A15" s="11">
        <v>0.5</v>
      </c>
      <c r="B15" s="280"/>
      <c r="C15" s="280"/>
      <c r="D15" s="279">
        <v>16.75</v>
      </c>
      <c r="E15" s="279">
        <v>14.1</v>
      </c>
      <c r="F15" s="285">
        <f t="shared" si="3"/>
        <v>84.18</v>
      </c>
      <c r="G15" s="286" t="str">
        <f t="shared" si="0"/>
        <v/>
      </c>
      <c r="H15" s="288"/>
      <c r="I15" s="49"/>
      <c r="J15" s="46"/>
      <c r="K15" s="11">
        <v>0.5</v>
      </c>
      <c r="L15" s="280"/>
      <c r="M15" s="280"/>
      <c r="N15" s="279">
        <v>14</v>
      </c>
      <c r="O15" s="279">
        <v>11.68</v>
      </c>
      <c r="P15" s="36">
        <f t="shared" si="1"/>
        <v>83.43</v>
      </c>
      <c r="Q15" s="37">
        <f t="shared" si="2"/>
        <v>0.56000000000000005</v>
      </c>
      <c r="R15" s="288">
        <v>22.5</v>
      </c>
    </row>
    <row r="16" spans="1:18" s="10" customFormat="1" ht="18" customHeight="1">
      <c r="A16" s="11">
        <v>0.54166666666666663</v>
      </c>
      <c r="B16" s="280"/>
      <c r="C16" s="280"/>
      <c r="D16" s="279"/>
      <c r="E16" s="279"/>
      <c r="F16" s="285" t="str">
        <f t="shared" ref="F16:F33" si="4">IF(D16="","",ROUND(E16*100/D16,2))</f>
        <v/>
      </c>
      <c r="G16" s="286" t="str">
        <f t="shared" ref="G16:G33" si="5">IF(H16="","",ROUND(12.5/H16,2))</f>
        <v/>
      </c>
      <c r="H16" s="288"/>
      <c r="I16" s="49"/>
      <c r="J16" s="46"/>
      <c r="K16" s="11">
        <v>0.54166666666666663</v>
      </c>
      <c r="L16" s="280"/>
      <c r="M16" s="280"/>
      <c r="N16" s="279"/>
      <c r="O16" s="279"/>
      <c r="P16" s="36" t="str">
        <f t="shared" si="1"/>
        <v/>
      </c>
      <c r="Q16" s="37" t="str">
        <f t="shared" si="2"/>
        <v/>
      </c>
      <c r="R16" s="288"/>
    </row>
    <row r="17" spans="1:18" s="10" customFormat="1" ht="18" customHeight="1">
      <c r="A17" s="11">
        <v>0.58333333333333337</v>
      </c>
      <c r="B17" s="280"/>
      <c r="C17" s="280"/>
      <c r="D17" s="279">
        <v>15.29</v>
      </c>
      <c r="E17" s="279">
        <v>12.65</v>
      </c>
      <c r="F17" s="285">
        <f t="shared" si="4"/>
        <v>82.73</v>
      </c>
      <c r="G17" s="286" t="str">
        <f t="shared" si="5"/>
        <v/>
      </c>
      <c r="H17" s="288"/>
      <c r="I17" s="49"/>
      <c r="J17" s="46"/>
      <c r="K17" s="11">
        <v>0.58333333333333337</v>
      </c>
      <c r="L17" s="280"/>
      <c r="M17" s="280"/>
      <c r="N17" s="279">
        <v>14.4</v>
      </c>
      <c r="O17" s="279">
        <v>11.75</v>
      </c>
      <c r="P17" s="36">
        <f t="shared" si="1"/>
        <v>81.599999999999994</v>
      </c>
      <c r="Q17" s="37" t="str">
        <f t="shared" si="2"/>
        <v/>
      </c>
      <c r="R17" s="288"/>
    </row>
    <row r="18" spans="1:18" s="10" customFormat="1" ht="18" customHeight="1">
      <c r="A18" s="11">
        <v>0.625</v>
      </c>
      <c r="B18" s="280"/>
      <c r="C18" s="280"/>
      <c r="D18" s="279">
        <v>16.28</v>
      </c>
      <c r="E18" s="279">
        <v>13.87</v>
      </c>
      <c r="F18" s="285">
        <f t="shared" si="4"/>
        <v>85.2</v>
      </c>
      <c r="G18" s="286" t="str">
        <f t="shared" si="5"/>
        <v/>
      </c>
      <c r="H18" s="288"/>
      <c r="I18" s="49"/>
      <c r="J18" s="46"/>
      <c r="K18" s="11">
        <v>0.625</v>
      </c>
      <c r="L18" s="280"/>
      <c r="M18" s="280"/>
      <c r="N18" s="279">
        <v>16.420000000000002</v>
      </c>
      <c r="O18" s="279">
        <v>13.83</v>
      </c>
      <c r="P18" s="36">
        <f t="shared" si="1"/>
        <v>84.23</v>
      </c>
      <c r="Q18" s="37" t="str">
        <f t="shared" si="2"/>
        <v/>
      </c>
      <c r="R18" s="288"/>
    </row>
    <row r="19" spans="1:18" s="10" customFormat="1" ht="18" customHeight="1">
      <c r="A19" s="11">
        <v>0.66666666666666663</v>
      </c>
      <c r="B19" s="280"/>
      <c r="C19" s="280"/>
      <c r="D19" s="279">
        <v>18.010000000000002</v>
      </c>
      <c r="E19" s="279">
        <v>14.65</v>
      </c>
      <c r="F19" s="285">
        <f t="shared" si="4"/>
        <v>81.34</v>
      </c>
      <c r="G19" s="286">
        <f t="shared" si="5"/>
        <v>0.5</v>
      </c>
      <c r="H19" s="288">
        <v>25.2</v>
      </c>
      <c r="I19" s="49"/>
      <c r="J19" s="46"/>
      <c r="K19" s="11">
        <v>0.66666666666666663</v>
      </c>
      <c r="L19" s="280"/>
      <c r="M19" s="280"/>
      <c r="N19" s="279">
        <v>16.53</v>
      </c>
      <c r="O19" s="279">
        <v>13.51</v>
      </c>
      <c r="P19" s="36">
        <f t="shared" si="1"/>
        <v>81.73</v>
      </c>
      <c r="Q19" s="37">
        <f t="shared" si="2"/>
        <v>0.61</v>
      </c>
      <c r="R19" s="288">
        <v>20.6</v>
      </c>
    </row>
    <row r="20" spans="1:18" s="10" customFormat="1" ht="18" customHeight="1">
      <c r="A20" s="11">
        <v>0.70833333333333337</v>
      </c>
      <c r="B20" s="280"/>
      <c r="C20" s="280"/>
      <c r="D20" s="279"/>
      <c r="E20" s="279"/>
      <c r="F20" s="285" t="str">
        <f t="shared" si="4"/>
        <v/>
      </c>
      <c r="G20" s="286" t="str">
        <f t="shared" si="5"/>
        <v/>
      </c>
      <c r="H20" s="288"/>
      <c r="I20" s="49"/>
      <c r="J20" s="46"/>
      <c r="K20" s="11">
        <v>0.70833333333333337</v>
      </c>
      <c r="L20" s="280"/>
      <c r="M20" s="280"/>
      <c r="N20" s="279">
        <v>15.69</v>
      </c>
      <c r="O20" s="279">
        <v>12.59</v>
      </c>
      <c r="P20" s="36">
        <f t="shared" si="1"/>
        <v>80.239999999999995</v>
      </c>
      <c r="Q20" s="37" t="str">
        <f t="shared" si="2"/>
        <v/>
      </c>
      <c r="R20" s="288"/>
    </row>
    <row r="21" spans="1:18" s="10" customFormat="1" ht="18" customHeight="1">
      <c r="A21" s="11">
        <v>0.75</v>
      </c>
      <c r="B21" s="280"/>
      <c r="C21" s="280"/>
      <c r="D21" s="279">
        <v>16.670000000000002</v>
      </c>
      <c r="E21" s="279">
        <v>13.97</v>
      </c>
      <c r="F21" s="285">
        <f t="shared" si="4"/>
        <v>83.8</v>
      </c>
      <c r="G21" s="286" t="str">
        <f t="shared" si="5"/>
        <v/>
      </c>
      <c r="H21" s="288"/>
      <c r="I21" s="49"/>
      <c r="J21" s="46"/>
      <c r="K21" s="11">
        <v>0.75</v>
      </c>
      <c r="L21" s="280"/>
      <c r="M21" s="280"/>
      <c r="N21" s="279">
        <v>14.66</v>
      </c>
      <c r="O21" s="279">
        <v>12.19</v>
      </c>
      <c r="P21" s="36">
        <f t="shared" si="1"/>
        <v>83.15</v>
      </c>
      <c r="Q21" s="37" t="str">
        <f t="shared" si="2"/>
        <v/>
      </c>
      <c r="R21" s="288"/>
    </row>
    <row r="22" spans="1:18" s="10" customFormat="1" ht="18" customHeight="1">
      <c r="A22" s="11">
        <v>0.79166666666666663</v>
      </c>
      <c r="B22" s="280"/>
      <c r="C22" s="280"/>
      <c r="D22" s="279">
        <v>15.26</v>
      </c>
      <c r="E22" s="279">
        <v>12.48</v>
      </c>
      <c r="F22" s="285">
        <f t="shared" si="4"/>
        <v>81.78</v>
      </c>
      <c r="G22" s="286" t="str">
        <f t="shared" si="5"/>
        <v/>
      </c>
      <c r="H22" s="288"/>
      <c r="I22" s="49"/>
      <c r="J22" s="46"/>
      <c r="K22" s="11">
        <v>0.79166666666666663</v>
      </c>
      <c r="L22" s="280"/>
      <c r="M22" s="280"/>
      <c r="N22" s="279">
        <v>15.34</v>
      </c>
      <c r="O22" s="279">
        <v>12.4</v>
      </c>
      <c r="P22" s="36">
        <f t="shared" si="1"/>
        <v>80.83</v>
      </c>
      <c r="Q22" s="37" t="str">
        <f t="shared" si="2"/>
        <v/>
      </c>
      <c r="R22" s="288"/>
    </row>
    <row r="23" spans="1:18" s="10" customFormat="1" ht="18" customHeight="1">
      <c r="A23" s="11">
        <v>0.83333333333333337</v>
      </c>
      <c r="B23" s="280"/>
      <c r="C23" s="280"/>
      <c r="D23" s="279"/>
      <c r="E23" s="279"/>
      <c r="F23" s="285" t="str">
        <f t="shared" si="4"/>
        <v/>
      </c>
      <c r="G23" s="286" t="str">
        <f t="shared" si="5"/>
        <v/>
      </c>
      <c r="H23" s="288"/>
      <c r="I23" s="49"/>
      <c r="J23" s="46"/>
      <c r="K23" s="11">
        <v>0.83333333333333337</v>
      </c>
      <c r="L23" s="280"/>
      <c r="M23" s="280"/>
      <c r="N23" s="279"/>
      <c r="O23" s="279"/>
      <c r="P23" s="36" t="str">
        <f t="shared" si="1"/>
        <v/>
      </c>
      <c r="Q23" s="37" t="str">
        <f t="shared" si="2"/>
        <v/>
      </c>
      <c r="R23" s="288"/>
    </row>
    <row r="24" spans="1:18" s="10" customFormat="1" ht="18" customHeight="1">
      <c r="A24" s="11">
        <v>0.875</v>
      </c>
      <c r="B24" s="280"/>
      <c r="C24" s="280"/>
      <c r="D24" s="279"/>
      <c r="E24" s="279"/>
      <c r="F24" s="285" t="str">
        <f t="shared" si="4"/>
        <v/>
      </c>
      <c r="G24" s="286" t="str">
        <f t="shared" si="5"/>
        <v/>
      </c>
      <c r="H24" s="288"/>
      <c r="I24" s="49"/>
      <c r="J24" s="46"/>
      <c r="K24" s="11">
        <v>0.875</v>
      </c>
      <c r="L24" s="280"/>
      <c r="M24" s="280"/>
      <c r="N24" s="279"/>
      <c r="O24" s="279"/>
      <c r="P24" s="36" t="str">
        <f t="shared" si="1"/>
        <v/>
      </c>
      <c r="Q24" s="37" t="str">
        <f t="shared" ref="Q24:Q32" si="6">IF(R24="","",ROUND(12.5/R24,2))</f>
        <v/>
      </c>
      <c r="R24" s="288"/>
    </row>
    <row r="25" spans="1:18" s="10" customFormat="1" ht="18" customHeight="1">
      <c r="A25" s="11">
        <v>0.91666666666666663</v>
      </c>
      <c r="B25" s="280"/>
      <c r="C25" s="280"/>
      <c r="D25" s="279">
        <v>15.32</v>
      </c>
      <c r="E25" s="279">
        <v>12.22</v>
      </c>
      <c r="F25" s="285">
        <f t="shared" si="4"/>
        <v>79.77</v>
      </c>
      <c r="G25" s="286" t="str">
        <f t="shared" si="5"/>
        <v/>
      </c>
      <c r="H25" s="288"/>
      <c r="I25" s="49"/>
      <c r="J25" s="46"/>
      <c r="K25" s="11">
        <v>0.91666666666666663</v>
      </c>
      <c r="L25" s="280"/>
      <c r="M25" s="280"/>
      <c r="N25" s="279">
        <v>14.59</v>
      </c>
      <c r="O25" s="279">
        <v>11.75</v>
      </c>
      <c r="P25" s="36">
        <f t="shared" si="1"/>
        <v>80.53</v>
      </c>
      <c r="Q25" s="37" t="str">
        <f t="shared" si="6"/>
        <v/>
      </c>
      <c r="R25" s="288"/>
    </row>
    <row r="26" spans="1:18" s="10" customFormat="1" ht="18" customHeight="1">
      <c r="A26" s="11">
        <v>0.95833333333333337</v>
      </c>
      <c r="B26" s="280"/>
      <c r="C26" s="280"/>
      <c r="D26" s="279">
        <v>16.45</v>
      </c>
      <c r="E26" s="279">
        <v>13.15</v>
      </c>
      <c r="F26" s="285">
        <f t="shared" si="4"/>
        <v>79.94</v>
      </c>
      <c r="G26" s="286" t="str">
        <f t="shared" si="5"/>
        <v/>
      </c>
      <c r="H26" s="288"/>
      <c r="I26" s="49"/>
      <c r="J26" s="46"/>
      <c r="K26" s="11">
        <v>0.95833333333333337</v>
      </c>
      <c r="L26" s="280"/>
      <c r="M26" s="280"/>
      <c r="N26" s="279">
        <v>14.25</v>
      </c>
      <c r="O26" s="279">
        <v>10.94</v>
      </c>
      <c r="P26" s="36">
        <f t="shared" si="1"/>
        <v>76.77</v>
      </c>
      <c r="Q26" s="37" t="str">
        <f t="shared" si="6"/>
        <v/>
      </c>
      <c r="R26" s="288"/>
    </row>
    <row r="27" spans="1:18" s="10" customFormat="1" ht="18" customHeight="1">
      <c r="A27" s="11">
        <v>1</v>
      </c>
      <c r="B27" s="280"/>
      <c r="C27" s="280"/>
      <c r="D27" s="279">
        <v>15.47</v>
      </c>
      <c r="E27" s="279">
        <v>12.41</v>
      </c>
      <c r="F27" s="285">
        <f t="shared" si="4"/>
        <v>80.22</v>
      </c>
      <c r="G27" s="286">
        <f t="shared" si="5"/>
        <v>0.66</v>
      </c>
      <c r="H27" s="288">
        <v>19</v>
      </c>
      <c r="I27" s="49"/>
      <c r="J27" s="46"/>
      <c r="K27" s="11">
        <v>1</v>
      </c>
      <c r="L27" s="280"/>
      <c r="M27" s="280"/>
      <c r="N27" s="279">
        <v>14.52</v>
      </c>
      <c r="O27" s="279">
        <v>11.56</v>
      </c>
      <c r="P27" s="36">
        <f t="shared" si="1"/>
        <v>79.61</v>
      </c>
      <c r="Q27" s="37">
        <f t="shared" si="6"/>
        <v>0.56999999999999995</v>
      </c>
      <c r="R27" s="288">
        <v>21.9</v>
      </c>
    </row>
    <row r="28" spans="1:18" s="10" customFormat="1" ht="18" customHeight="1">
      <c r="A28" s="11">
        <v>4.1666666666666664E-2</v>
      </c>
      <c r="B28" s="280"/>
      <c r="C28" s="280"/>
      <c r="D28" s="279"/>
      <c r="E28" s="279"/>
      <c r="F28" s="285" t="str">
        <f t="shared" si="4"/>
        <v/>
      </c>
      <c r="G28" s="286" t="str">
        <f t="shared" si="5"/>
        <v/>
      </c>
      <c r="H28" s="288"/>
      <c r="I28" s="49"/>
      <c r="J28" s="46"/>
      <c r="K28" s="11">
        <v>4.1666666666666664E-2</v>
      </c>
      <c r="L28" s="280"/>
      <c r="M28" s="280"/>
      <c r="N28" s="279"/>
      <c r="O28" s="279"/>
      <c r="P28" s="36" t="str">
        <f t="shared" si="1"/>
        <v/>
      </c>
      <c r="Q28" s="37" t="str">
        <f t="shared" si="6"/>
        <v/>
      </c>
      <c r="R28" s="288"/>
    </row>
    <row r="29" spans="1:18" s="10" customFormat="1" ht="18" customHeight="1">
      <c r="A29" s="11">
        <v>8.3333333333333329E-2</v>
      </c>
      <c r="B29" s="280"/>
      <c r="C29" s="280"/>
      <c r="D29" s="279">
        <v>13.9</v>
      </c>
      <c r="E29" s="279">
        <v>11.79</v>
      </c>
      <c r="F29" s="285">
        <f t="shared" si="4"/>
        <v>84.82</v>
      </c>
      <c r="G29" s="286" t="str">
        <f t="shared" si="5"/>
        <v/>
      </c>
      <c r="H29" s="288"/>
      <c r="I29" s="49"/>
      <c r="J29" s="46"/>
      <c r="K29" s="11">
        <v>8.3333333333333329E-2</v>
      </c>
      <c r="L29" s="280"/>
      <c r="M29" s="280"/>
      <c r="N29" s="279">
        <v>14.66</v>
      </c>
      <c r="O29" s="279">
        <v>11.66</v>
      </c>
      <c r="P29" s="36">
        <f t="shared" si="1"/>
        <v>79.540000000000006</v>
      </c>
      <c r="Q29" s="37" t="str">
        <f t="shared" si="6"/>
        <v/>
      </c>
      <c r="R29" s="288"/>
    </row>
    <row r="30" spans="1:18" s="10" customFormat="1" ht="18" customHeight="1">
      <c r="A30" s="11">
        <v>0.125</v>
      </c>
      <c r="B30" s="280"/>
      <c r="C30" s="280"/>
      <c r="D30" s="279">
        <v>13.44</v>
      </c>
      <c r="E30" s="279">
        <v>10.51</v>
      </c>
      <c r="F30" s="285">
        <f t="shared" si="4"/>
        <v>78.2</v>
      </c>
      <c r="G30" s="286" t="str">
        <f t="shared" si="5"/>
        <v/>
      </c>
      <c r="H30" s="288"/>
      <c r="I30" s="49"/>
      <c r="J30" s="46"/>
      <c r="K30" s="11">
        <v>0.125</v>
      </c>
      <c r="L30" s="280"/>
      <c r="M30" s="280"/>
      <c r="N30" s="279">
        <v>14.38</v>
      </c>
      <c r="O30" s="279">
        <v>11.45</v>
      </c>
      <c r="P30" s="36">
        <f t="shared" si="1"/>
        <v>79.62</v>
      </c>
      <c r="Q30" s="37" t="str">
        <f t="shared" si="6"/>
        <v/>
      </c>
      <c r="R30" s="288"/>
    </row>
    <row r="31" spans="1:18" s="10" customFormat="1" ht="18" customHeight="1">
      <c r="A31" s="11">
        <v>0.16666666666666666</v>
      </c>
      <c r="B31" s="280"/>
      <c r="C31" s="280"/>
      <c r="D31" s="279">
        <v>15.55</v>
      </c>
      <c r="E31" s="279">
        <v>12.69</v>
      </c>
      <c r="F31" s="285">
        <f t="shared" si="4"/>
        <v>81.61</v>
      </c>
      <c r="G31" s="286" t="str">
        <f t="shared" si="5"/>
        <v/>
      </c>
      <c r="H31" s="288"/>
      <c r="I31" s="49"/>
      <c r="J31" s="46"/>
      <c r="K31" s="11">
        <v>0.16666666666666666</v>
      </c>
      <c r="L31" s="280"/>
      <c r="M31" s="280"/>
      <c r="N31" s="279">
        <v>13.7</v>
      </c>
      <c r="O31" s="279">
        <v>11</v>
      </c>
      <c r="P31" s="36">
        <f t="shared" si="1"/>
        <v>80.290000000000006</v>
      </c>
      <c r="Q31" s="37" t="str">
        <f t="shared" si="6"/>
        <v/>
      </c>
      <c r="R31" s="288"/>
    </row>
    <row r="32" spans="1:18" s="10" customFormat="1" ht="18" customHeight="1">
      <c r="A32" s="25">
        <v>0.20833333333333334</v>
      </c>
      <c r="B32" s="280"/>
      <c r="C32" s="280"/>
      <c r="D32" s="279"/>
      <c r="E32" s="279"/>
      <c r="F32" s="285" t="str">
        <f t="shared" si="4"/>
        <v/>
      </c>
      <c r="G32" s="286" t="str">
        <f t="shared" si="5"/>
        <v/>
      </c>
      <c r="H32" s="288"/>
      <c r="I32" s="49"/>
      <c r="J32" s="46"/>
      <c r="K32" s="25">
        <v>0.20833333333333334</v>
      </c>
      <c r="L32" s="280"/>
      <c r="M32" s="280"/>
      <c r="N32" s="279"/>
      <c r="O32" s="279"/>
      <c r="P32" s="36" t="str">
        <f t="shared" si="1"/>
        <v/>
      </c>
      <c r="Q32" s="37" t="str">
        <f t="shared" si="6"/>
        <v/>
      </c>
      <c r="R32" s="288"/>
    </row>
    <row r="33" spans="1:19" s="10" customFormat="1" ht="18" customHeight="1" thickBot="1">
      <c r="A33" s="50"/>
      <c r="B33" s="281"/>
      <c r="C33" s="281"/>
      <c r="D33" s="282"/>
      <c r="E33" s="282"/>
      <c r="F33" s="285" t="str">
        <f t="shared" si="4"/>
        <v/>
      </c>
      <c r="G33" s="286" t="str">
        <f t="shared" si="5"/>
        <v/>
      </c>
      <c r="H33" s="289"/>
      <c r="I33" s="51"/>
      <c r="J33" s="46"/>
      <c r="K33" s="50"/>
      <c r="L33" s="281"/>
      <c r="M33" s="281"/>
      <c r="N33" s="282"/>
      <c r="O33" s="282"/>
      <c r="P33" s="39"/>
      <c r="Q33" s="40"/>
      <c r="R33" s="289"/>
    </row>
    <row r="34" spans="1:19" ht="28.2" thickBot="1">
      <c r="A34" s="41" t="s">
        <v>20</v>
      </c>
      <c r="B34" s="42"/>
      <c r="C34" s="42"/>
      <c r="D34" s="43">
        <f>IF(SUM(D9:D32)=0,0,AVERAGE(D9:D32))</f>
        <v>15.838124999999998</v>
      </c>
      <c r="E34" s="43">
        <f>IF(SUM(E9:E32)=0,0,AVERAGE(E9:E32))</f>
        <v>12.980625</v>
      </c>
      <c r="F34" s="44">
        <f>IF(D34=0,"",ROUND(E34*100/D34,2))</f>
        <v>81.96</v>
      </c>
      <c r="G34" s="43">
        <f t="shared" ref="G34:H34" si="7">IF(SUM(G9:G32)=0,0,AVERAGE(G9:G32))</f>
        <v>0.54333333333333333</v>
      </c>
      <c r="H34" s="43">
        <f t="shared" si="7"/>
        <v>23.633333333333336</v>
      </c>
      <c r="I34" s="45"/>
      <c r="J34" s="46"/>
      <c r="K34" s="41" t="s">
        <v>20</v>
      </c>
      <c r="L34" s="42"/>
      <c r="M34" s="42"/>
      <c r="N34" s="43">
        <f>IF(SUM(N9:N32)=0,0,AVERAGE(N9:N32))</f>
        <v>14.602500000000001</v>
      </c>
      <c r="O34" s="43">
        <f>IF(SUM(O9:O32)=0,0,AVERAGE(O9:O32))</f>
        <v>11.83625</v>
      </c>
      <c r="P34" s="44">
        <f>IF(N34=0,"",ROUND(O34*100/N34,2))</f>
        <v>81.06</v>
      </c>
      <c r="Q34" s="43">
        <f>IF(SUM(Q9:Q32)=0,0,AVERAGE(Q9:Q32))</f>
        <v>0.57999999999999996</v>
      </c>
      <c r="R34" s="43">
        <f>IF(SUM(R9:R32)=0,0,AVERAGE(R9:R32))</f>
        <v>21.666666666666668</v>
      </c>
    </row>
    <row r="35" spans="1:19" ht="23.4" customHeight="1" thickBot="1">
      <c r="A35" s="465" t="s">
        <v>16</v>
      </c>
      <c r="B35" s="466"/>
      <c r="C35" s="466"/>
      <c r="D35" s="466"/>
      <c r="E35" s="466"/>
      <c r="F35" s="466"/>
      <c r="G35" s="466"/>
      <c r="H35" s="466"/>
      <c r="I35" s="467"/>
      <c r="J35" s="46"/>
      <c r="K35" s="465" t="s">
        <v>24</v>
      </c>
      <c r="L35" s="466"/>
      <c r="M35" s="466"/>
      <c r="N35" s="466"/>
      <c r="O35" s="466"/>
      <c r="P35" s="466"/>
      <c r="Q35" s="466"/>
      <c r="R35" s="467"/>
    </row>
    <row r="36" spans="1:19" ht="28.2" thickBot="1">
      <c r="A36" s="28" t="s">
        <v>2</v>
      </c>
      <c r="B36" s="29" t="s">
        <v>17</v>
      </c>
      <c r="C36" s="29" t="s">
        <v>21</v>
      </c>
      <c r="D36" s="31" t="s">
        <v>3</v>
      </c>
      <c r="E36" s="32" t="s">
        <v>4</v>
      </c>
      <c r="F36" s="34" t="s">
        <v>1</v>
      </c>
      <c r="G36" s="35" t="s">
        <v>18</v>
      </c>
      <c r="H36" s="33" t="s">
        <v>19</v>
      </c>
      <c r="I36" s="47"/>
      <c r="J36" s="46"/>
      <c r="K36" s="28" t="s">
        <v>2</v>
      </c>
      <c r="L36" s="32" t="s">
        <v>17</v>
      </c>
      <c r="M36" s="32"/>
      <c r="N36" s="31" t="s">
        <v>3</v>
      </c>
      <c r="O36" s="32" t="s">
        <v>4</v>
      </c>
      <c r="P36" s="34" t="s">
        <v>1</v>
      </c>
      <c r="Q36" s="35" t="s">
        <v>18</v>
      </c>
      <c r="R36" s="52" t="s">
        <v>19</v>
      </c>
    </row>
    <row r="37" spans="1:19" ht="18" customHeight="1">
      <c r="A37" s="11">
        <v>0.25</v>
      </c>
      <c r="B37" s="277"/>
      <c r="C37" s="277"/>
      <c r="D37" s="278"/>
      <c r="E37" s="279"/>
      <c r="F37" s="36" t="str">
        <f t="shared" ref="F37:F61" si="8">IF(D37="","",ROUND(E37*100/D37,2))</f>
        <v/>
      </c>
      <c r="G37" s="37" t="str">
        <f t="shared" ref="G37:G43" si="9">IF(H37="","",ROUND(12.5/H37,2))</f>
        <v/>
      </c>
      <c r="H37" s="287"/>
      <c r="I37" s="48"/>
      <c r="J37" s="46"/>
      <c r="K37" s="11">
        <v>0.25</v>
      </c>
      <c r="L37" s="277"/>
      <c r="M37" s="12"/>
      <c r="N37" s="278"/>
      <c r="O37" s="279"/>
      <c r="P37" s="36" t="str">
        <f t="shared" ref="P37:P60" si="10">IF(N37="","",ROUND(O37*100/N37,2))</f>
        <v/>
      </c>
      <c r="Q37" s="37" t="str">
        <f t="shared" ref="Q37:Q60" si="11">IF(R37="","",ROUND(12.5/R37,2))</f>
        <v/>
      </c>
      <c r="R37" s="295"/>
    </row>
    <row r="38" spans="1:19" ht="18" customHeight="1">
      <c r="A38" s="11">
        <v>0.29166666666666669</v>
      </c>
      <c r="B38" s="280"/>
      <c r="C38" s="280"/>
      <c r="D38" s="279">
        <v>12.63</v>
      </c>
      <c r="E38" s="279">
        <v>9.75</v>
      </c>
      <c r="F38" s="36">
        <f t="shared" si="8"/>
        <v>77.2</v>
      </c>
      <c r="G38" s="37" t="str">
        <f t="shared" si="9"/>
        <v/>
      </c>
      <c r="H38" s="288"/>
      <c r="I38" s="49"/>
      <c r="J38" s="46"/>
      <c r="K38" s="11">
        <v>0.29166666666666669</v>
      </c>
      <c r="L38" s="280"/>
      <c r="M38" s="13"/>
      <c r="N38" s="279"/>
      <c r="O38" s="279"/>
      <c r="P38" s="36" t="str">
        <f t="shared" si="10"/>
        <v/>
      </c>
      <c r="Q38" s="37" t="str">
        <f t="shared" si="11"/>
        <v/>
      </c>
      <c r="R38" s="296"/>
    </row>
    <row r="39" spans="1:19" ht="18" customHeight="1">
      <c r="A39" s="11">
        <v>0.33333333333333331</v>
      </c>
      <c r="B39" s="280"/>
      <c r="C39" s="280"/>
      <c r="D39" s="279">
        <v>11.7</v>
      </c>
      <c r="E39" s="279">
        <v>9.42</v>
      </c>
      <c r="F39" s="36">
        <f t="shared" si="8"/>
        <v>80.510000000000005</v>
      </c>
      <c r="G39" s="37">
        <f t="shared" si="9"/>
        <v>0.43</v>
      </c>
      <c r="H39" s="288">
        <v>29.1</v>
      </c>
      <c r="I39" s="49"/>
      <c r="J39" s="46"/>
      <c r="K39" s="11">
        <v>0.33333333333333331</v>
      </c>
      <c r="L39" s="280"/>
      <c r="M39" s="13"/>
      <c r="N39" s="279">
        <v>11.07</v>
      </c>
      <c r="O39" s="279">
        <v>8.2799999999999994</v>
      </c>
      <c r="P39" s="36">
        <f t="shared" si="10"/>
        <v>74.8</v>
      </c>
      <c r="Q39" s="37" t="str">
        <f t="shared" si="11"/>
        <v/>
      </c>
      <c r="R39" s="296"/>
    </row>
    <row r="40" spans="1:19" ht="18" customHeight="1">
      <c r="A40" s="11">
        <v>0.375</v>
      </c>
      <c r="B40" s="280"/>
      <c r="C40" s="280"/>
      <c r="D40" s="279"/>
      <c r="E40" s="279"/>
      <c r="F40" s="36" t="str">
        <f t="shared" si="8"/>
        <v/>
      </c>
      <c r="G40" s="37" t="str">
        <f t="shared" si="9"/>
        <v/>
      </c>
      <c r="H40" s="288"/>
      <c r="I40" s="49"/>
      <c r="J40" s="46"/>
      <c r="K40" s="11">
        <v>0.375</v>
      </c>
      <c r="L40" s="280"/>
      <c r="M40" s="13"/>
      <c r="N40" s="279"/>
      <c r="O40" s="279"/>
      <c r="P40" s="36" t="str">
        <f t="shared" si="10"/>
        <v/>
      </c>
      <c r="Q40" s="37" t="str">
        <f t="shared" si="11"/>
        <v/>
      </c>
      <c r="R40" s="296"/>
    </row>
    <row r="41" spans="1:19" ht="18" customHeight="1">
      <c r="A41" s="11">
        <v>0.41666666666666669</v>
      </c>
      <c r="B41" s="280"/>
      <c r="C41" s="280"/>
      <c r="D41" s="279">
        <v>13.59</v>
      </c>
      <c r="E41" s="279">
        <v>11.18</v>
      </c>
      <c r="F41" s="36">
        <f t="shared" si="8"/>
        <v>82.27</v>
      </c>
      <c r="G41" s="37" t="str">
        <f t="shared" si="9"/>
        <v/>
      </c>
      <c r="H41" s="288"/>
      <c r="I41" s="49"/>
      <c r="J41" s="46"/>
      <c r="K41" s="11">
        <v>0.41666666666666669</v>
      </c>
      <c r="L41" s="280"/>
      <c r="M41" s="13"/>
      <c r="N41" s="279">
        <v>11.58</v>
      </c>
      <c r="O41" s="279">
        <v>8.8699999999999992</v>
      </c>
      <c r="P41" s="36">
        <f t="shared" si="10"/>
        <v>76.599999999999994</v>
      </c>
      <c r="Q41" s="37" t="str">
        <f t="shared" si="11"/>
        <v/>
      </c>
      <c r="R41" s="296"/>
      <c r="S41" s="1">
        <f>+N40*2</f>
        <v>0</v>
      </c>
    </row>
    <row r="42" spans="1:19" ht="18" customHeight="1">
      <c r="A42" s="11">
        <v>0.45833333333333331</v>
      </c>
      <c r="B42" s="280"/>
      <c r="C42" s="280"/>
      <c r="D42" s="279">
        <v>14.53</v>
      </c>
      <c r="E42" s="279">
        <v>12.02</v>
      </c>
      <c r="F42" s="36">
        <f t="shared" si="8"/>
        <v>82.73</v>
      </c>
      <c r="G42" s="37" t="str">
        <f t="shared" si="9"/>
        <v/>
      </c>
      <c r="H42" s="288"/>
      <c r="I42" s="49"/>
      <c r="J42" s="46"/>
      <c r="K42" s="11">
        <v>0.45833333333333331</v>
      </c>
      <c r="L42" s="280"/>
      <c r="M42" s="13"/>
      <c r="N42" s="279">
        <v>13.9</v>
      </c>
      <c r="O42" s="279">
        <v>11.62</v>
      </c>
      <c r="P42" s="36">
        <f t="shared" si="10"/>
        <v>83.6</v>
      </c>
      <c r="Q42" s="37" t="str">
        <f t="shared" si="11"/>
        <v/>
      </c>
      <c r="R42" s="296"/>
    </row>
    <row r="43" spans="1:19" ht="18" customHeight="1">
      <c r="A43" s="11">
        <v>0.5</v>
      </c>
      <c r="B43" s="280"/>
      <c r="C43" s="280"/>
      <c r="D43" s="279">
        <v>14.28</v>
      </c>
      <c r="E43" s="279">
        <v>11.9</v>
      </c>
      <c r="F43" s="36">
        <f t="shared" si="8"/>
        <v>83.33</v>
      </c>
      <c r="G43" s="37" t="str">
        <f t="shared" si="9"/>
        <v/>
      </c>
      <c r="H43" s="288"/>
      <c r="I43" s="49"/>
      <c r="J43" s="46"/>
      <c r="K43" s="11">
        <v>0.5</v>
      </c>
      <c r="L43" s="280"/>
      <c r="M43" s="13"/>
      <c r="N43" s="279">
        <v>14</v>
      </c>
      <c r="O43" s="279">
        <v>11.68</v>
      </c>
      <c r="P43" s="36">
        <f t="shared" si="10"/>
        <v>83.43</v>
      </c>
      <c r="Q43" s="37">
        <f t="shared" si="11"/>
        <v>0.6</v>
      </c>
      <c r="R43" s="296">
        <v>20.7</v>
      </c>
    </row>
    <row r="44" spans="1:19" ht="18" customHeight="1">
      <c r="A44" s="11">
        <v>0.54166666666666663</v>
      </c>
      <c r="B44" s="280"/>
      <c r="C44" s="280"/>
      <c r="D44" s="279"/>
      <c r="E44" s="279"/>
      <c r="F44" s="36" t="str">
        <f t="shared" si="8"/>
        <v/>
      </c>
      <c r="G44" s="37" t="str">
        <f>IF(H44="","",ROUND(12.5/H44,2))</f>
        <v/>
      </c>
      <c r="H44" s="288"/>
      <c r="I44" s="49"/>
      <c r="J44" s="46"/>
      <c r="K44" s="11">
        <v>0.54166666666666663</v>
      </c>
      <c r="L44" s="280"/>
      <c r="M44" s="15"/>
      <c r="N44" s="279"/>
      <c r="O44" s="279"/>
      <c r="P44" s="36" t="str">
        <f t="shared" si="10"/>
        <v/>
      </c>
      <c r="Q44" s="37" t="str">
        <f t="shared" si="11"/>
        <v/>
      </c>
      <c r="R44" s="296"/>
    </row>
    <row r="45" spans="1:19" ht="18" customHeight="1">
      <c r="A45" s="11">
        <v>0.58333333333333337</v>
      </c>
      <c r="B45" s="280"/>
      <c r="C45" s="280"/>
      <c r="D45" s="279">
        <v>13.4</v>
      </c>
      <c r="E45" s="279">
        <v>10.75</v>
      </c>
      <c r="F45" s="36">
        <f t="shared" si="8"/>
        <v>80.22</v>
      </c>
      <c r="G45" s="37" t="str">
        <f t="shared" ref="G45:G52" si="12">IF(H45="","",ROUND(12.5/H45,2))</f>
        <v/>
      </c>
      <c r="H45" s="288"/>
      <c r="I45" s="49"/>
      <c r="J45" s="46"/>
      <c r="K45" s="11">
        <v>0.58333333333333337</v>
      </c>
      <c r="L45" s="280"/>
      <c r="M45" s="15"/>
      <c r="N45" s="279">
        <v>12.42</v>
      </c>
      <c r="O45" s="279">
        <v>10.09</v>
      </c>
      <c r="P45" s="36">
        <f t="shared" si="10"/>
        <v>81.239999999999995</v>
      </c>
      <c r="Q45" s="37" t="str">
        <f t="shared" si="11"/>
        <v/>
      </c>
      <c r="R45" s="296"/>
    </row>
    <row r="46" spans="1:19" ht="18" customHeight="1">
      <c r="A46" s="11">
        <v>0.625</v>
      </c>
      <c r="B46" s="280"/>
      <c r="C46" s="280"/>
      <c r="D46" s="279">
        <v>14.53</v>
      </c>
      <c r="E46" s="279">
        <v>12.14</v>
      </c>
      <c r="F46" s="36">
        <f t="shared" si="8"/>
        <v>83.55</v>
      </c>
      <c r="G46" s="37" t="str">
        <f t="shared" si="12"/>
        <v/>
      </c>
      <c r="H46" s="288"/>
      <c r="I46" s="49"/>
      <c r="J46" s="46"/>
      <c r="K46" s="11">
        <v>0.625</v>
      </c>
      <c r="L46" s="280"/>
      <c r="M46" s="15"/>
      <c r="N46" s="279">
        <v>13.61</v>
      </c>
      <c r="O46" s="279">
        <v>10.95</v>
      </c>
      <c r="P46" s="36">
        <f t="shared" si="10"/>
        <v>80.459999999999994</v>
      </c>
      <c r="Q46" s="37">
        <f t="shared" si="11"/>
        <v>0.69</v>
      </c>
      <c r="R46" s="296">
        <v>18.100000000000001</v>
      </c>
    </row>
    <row r="47" spans="1:19" ht="18" customHeight="1">
      <c r="A47" s="11">
        <v>0.66666666666666663</v>
      </c>
      <c r="B47" s="280"/>
      <c r="C47" s="280"/>
      <c r="D47" s="279">
        <v>16.75</v>
      </c>
      <c r="E47" s="279">
        <v>13.49</v>
      </c>
      <c r="F47" s="36">
        <f t="shared" si="8"/>
        <v>80.540000000000006</v>
      </c>
      <c r="G47" s="37">
        <f t="shared" si="12"/>
        <v>0.48</v>
      </c>
      <c r="H47" s="288">
        <v>26.1</v>
      </c>
      <c r="I47" s="49"/>
      <c r="J47" s="46"/>
      <c r="K47" s="11">
        <v>0.66666666666666663</v>
      </c>
      <c r="L47" s="280"/>
      <c r="M47" s="15"/>
      <c r="N47" s="279"/>
      <c r="O47" s="279"/>
      <c r="P47" s="36" t="str">
        <f t="shared" si="10"/>
        <v/>
      </c>
      <c r="Q47" s="37" t="str">
        <f t="shared" si="11"/>
        <v/>
      </c>
      <c r="R47" s="296"/>
    </row>
    <row r="48" spans="1:19" ht="18" customHeight="1">
      <c r="A48" s="11">
        <v>0.70833333333333337</v>
      </c>
      <c r="B48" s="280"/>
      <c r="C48" s="280"/>
      <c r="D48" s="279"/>
      <c r="E48" s="279"/>
      <c r="F48" s="36" t="str">
        <f t="shared" si="8"/>
        <v/>
      </c>
      <c r="G48" s="37" t="str">
        <f t="shared" si="12"/>
        <v/>
      </c>
      <c r="H48" s="288"/>
      <c r="I48" s="49"/>
      <c r="J48" s="46"/>
      <c r="K48" s="11">
        <v>0.70833333333333337</v>
      </c>
      <c r="L48" s="280"/>
      <c r="M48" s="15"/>
      <c r="N48" s="279"/>
      <c r="O48" s="279"/>
      <c r="P48" s="36" t="str">
        <f t="shared" si="10"/>
        <v/>
      </c>
      <c r="Q48" s="37" t="str">
        <f t="shared" si="11"/>
        <v/>
      </c>
      <c r="R48" s="296"/>
    </row>
    <row r="49" spans="1:18" ht="18" customHeight="1">
      <c r="A49" s="11">
        <v>0.75</v>
      </c>
      <c r="B49" s="280"/>
      <c r="C49" s="280"/>
      <c r="D49" s="279">
        <v>14.98</v>
      </c>
      <c r="E49" s="279">
        <v>12.32</v>
      </c>
      <c r="F49" s="36">
        <f t="shared" si="8"/>
        <v>82.24</v>
      </c>
      <c r="G49" s="37" t="str">
        <f t="shared" si="12"/>
        <v/>
      </c>
      <c r="H49" s="288"/>
      <c r="I49" s="49"/>
      <c r="J49" s="46"/>
      <c r="K49" s="11">
        <v>0.75</v>
      </c>
      <c r="L49" s="280"/>
      <c r="M49" s="15"/>
      <c r="N49" s="279"/>
      <c r="O49" s="279"/>
      <c r="P49" s="36" t="str">
        <f t="shared" si="10"/>
        <v/>
      </c>
      <c r="Q49" s="37" t="str">
        <f t="shared" si="11"/>
        <v/>
      </c>
      <c r="R49" s="296"/>
    </row>
    <row r="50" spans="1:18" ht="18" customHeight="1">
      <c r="A50" s="11">
        <v>0.79166666666666663</v>
      </c>
      <c r="B50" s="280"/>
      <c r="C50" s="280"/>
      <c r="D50" s="279">
        <v>14.4</v>
      </c>
      <c r="E50" s="279">
        <v>11.5</v>
      </c>
      <c r="F50" s="36">
        <f t="shared" si="8"/>
        <v>79.86</v>
      </c>
      <c r="G50" s="37" t="str">
        <f t="shared" si="12"/>
        <v/>
      </c>
      <c r="H50" s="288"/>
      <c r="I50" s="49"/>
      <c r="J50" s="46"/>
      <c r="K50" s="11">
        <v>0.79166666666666663</v>
      </c>
      <c r="L50" s="280"/>
      <c r="M50" s="15"/>
      <c r="N50" s="279"/>
      <c r="O50" s="279"/>
      <c r="P50" s="36" t="str">
        <f t="shared" si="10"/>
        <v/>
      </c>
      <c r="Q50" s="37" t="str">
        <f t="shared" si="11"/>
        <v/>
      </c>
      <c r="R50" s="296"/>
    </row>
    <row r="51" spans="1:18" ht="18" customHeight="1">
      <c r="A51" s="11">
        <v>0.83333333333333337</v>
      </c>
      <c r="B51" s="280"/>
      <c r="C51" s="280"/>
      <c r="D51" s="279"/>
      <c r="E51" s="279"/>
      <c r="F51" s="36" t="str">
        <f t="shared" si="8"/>
        <v/>
      </c>
      <c r="G51" s="37" t="str">
        <f t="shared" si="12"/>
        <v/>
      </c>
      <c r="H51" s="288"/>
      <c r="I51" s="49"/>
      <c r="J51" s="46"/>
      <c r="K51" s="11">
        <v>0.83333333333333337</v>
      </c>
      <c r="L51" s="280"/>
      <c r="M51" s="15"/>
      <c r="N51" s="279"/>
      <c r="O51" s="279"/>
      <c r="P51" s="36" t="str">
        <f t="shared" si="10"/>
        <v/>
      </c>
      <c r="Q51" s="37" t="str">
        <f t="shared" si="11"/>
        <v/>
      </c>
      <c r="R51" s="296"/>
    </row>
    <row r="52" spans="1:18" ht="18" customHeight="1">
      <c r="A52" s="11">
        <v>0.875</v>
      </c>
      <c r="B52" s="280"/>
      <c r="C52" s="280"/>
      <c r="D52" s="279"/>
      <c r="E52" s="279"/>
      <c r="F52" s="36" t="str">
        <f t="shared" si="8"/>
        <v/>
      </c>
      <c r="G52" s="37" t="str">
        <f t="shared" si="12"/>
        <v/>
      </c>
      <c r="H52" s="288"/>
      <c r="I52" s="49"/>
      <c r="J52" s="46"/>
      <c r="K52" s="11">
        <v>0.875</v>
      </c>
      <c r="L52" s="280"/>
      <c r="M52" s="15"/>
      <c r="N52" s="279"/>
      <c r="O52" s="279"/>
      <c r="P52" s="36" t="str">
        <f t="shared" si="10"/>
        <v/>
      </c>
      <c r="Q52" s="37" t="str">
        <f t="shared" si="11"/>
        <v/>
      </c>
      <c r="R52" s="296"/>
    </row>
    <row r="53" spans="1:18" ht="18" customHeight="1">
      <c r="A53" s="11">
        <v>0.91666666666666663</v>
      </c>
      <c r="B53" s="280"/>
      <c r="C53" s="280"/>
      <c r="D53" s="279">
        <v>13.78</v>
      </c>
      <c r="E53" s="279">
        <v>10.7</v>
      </c>
      <c r="F53" s="36">
        <f t="shared" si="8"/>
        <v>77.650000000000006</v>
      </c>
      <c r="G53" s="37" t="str">
        <f t="shared" ref="G53:G60" si="13">IF(H53="","",ROUND(12.5/H53,2))</f>
        <v/>
      </c>
      <c r="H53" s="288"/>
      <c r="I53" s="49"/>
      <c r="J53" s="46"/>
      <c r="K53" s="11">
        <v>0.91666666666666663</v>
      </c>
      <c r="L53" s="280"/>
      <c r="M53" s="15"/>
      <c r="N53" s="279">
        <v>14.53</v>
      </c>
      <c r="O53" s="279">
        <v>11.57</v>
      </c>
      <c r="P53" s="36">
        <f t="shared" si="10"/>
        <v>79.63</v>
      </c>
      <c r="Q53" s="37" t="str">
        <f t="shared" si="11"/>
        <v/>
      </c>
      <c r="R53" s="296"/>
    </row>
    <row r="54" spans="1:18" ht="18" customHeight="1">
      <c r="A54" s="11">
        <v>0.95833333333333337</v>
      </c>
      <c r="B54" s="280"/>
      <c r="C54" s="280"/>
      <c r="D54" s="279">
        <v>14.28</v>
      </c>
      <c r="E54" s="279">
        <v>11.09</v>
      </c>
      <c r="F54" s="36">
        <f t="shared" si="8"/>
        <v>77.66</v>
      </c>
      <c r="G54" s="37" t="str">
        <f t="shared" si="13"/>
        <v/>
      </c>
      <c r="H54" s="288"/>
      <c r="I54" s="49"/>
      <c r="J54" s="46"/>
      <c r="K54" s="11">
        <v>0.95833333333333337</v>
      </c>
      <c r="L54" s="280"/>
      <c r="M54" s="15"/>
      <c r="N54" s="279"/>
      <c r="O54" s="279"/>
      <c r="P54" s="36" t="str">
        <f t="shared" si="10"/>
        <v/>
      </c>
      <c r="Q54" s="37" t="str">
        <f t="shared" si="11"/>
        <v/>
      </c>
      <c r="R54" s="296"/>
    </row>
    <row r="55" spans="1:18" ht="18" customHeight="1">
      <c r="A55" s="11">
        <v>1</v>
      </c>
      <c r="B55" s="280"/>
      <c r="C55" s="280"/>
      <c r="D55" s="279">
        <v>14.52</v>
      </c>
      <c r="E55" s="279">
        <v>11.4</v>
      </c>
      <c r="F55" s="36">
        <f t="shared" si="8"/>
        <v>78.510000000000005</v>
      </c>
      <c r="G55" s="37">
        <f t="shared" si="13"/>
        <v>0.62</v>
      </c>
      <c r="H55" s="288">
        <v>20.2</v>
      </c>
      <c r="I55" s="49"/>
      <c r="J55" s="46"/>
      <c r="K55" s="11">
        <v>1</v>
      </c>
      <c r="L55" s="280"/>
      <c r="M55" s="15"/>
      <c r="N55" s="279">
        <v>13.26</v>
      </c>
      <c r="O55" s="279">
        <v>10.28</v>
      </c>
      <c r="P55" s="36">
        <f t="shared" si="10"/>
        <v>77.53</v>
      </c>
      <c r="Q55" s="37">
        <f t="shared" si="11"/>
        <v>0.56999999999999995</v>
      </c>
      <c r="R55" s="296">
        <v>22.1</v>
      </c>
    </row>
    <row r="56" spans="1:18" ht="18" customHeight="1">
      <c r="A56" s="11">
        <v>4.1666666666666664E-2</v>
      </c>
      <c r="B56" s="280"/>
      <c r="C56" s="280"/>
      <c r="D56" s="279"/>
      <c r="E56" s="279"/>
      <c r="F56" s="36" t="str">
        <f t="shared" si="8"/>
        <v/>
      </c>
      <c r="G56" s="37" t="str">
        <f t="shared" si="13"/>
        <v/>
      </c>
      <c r="H56" s="288"/>
      <c r="I56" s="49"/>
      <c r="J56" s="46"/>
      <c r="K56" s="11">
        <v>4.1666666666666664E-2</v>
      </c>
      <c r="L56" s="280"/>
      <c r="M56" s="15"/>
      <c r="N56" s="279"/>
      <c r="O56" s="279"/>
      <c r="P56" s="36" t="str">
        <f t="shared" si="10"/>
        <v/>
      </c>
      <c r="Q56" s="37" t="str">
        <f t="shared" si="11"/>
        <v/>
      </c>
      <c r="R56" s="296"/>
    </row>
    <row r="57" spans="1:18" ht="18" customHeight="1">
      <c r="A57" s="11">
        <v>8.3333333333333329E-2</v>
      </c>
      <c r="B57" s="280"/>
      <c r="C57" s="280"/>
      <c r="D57" s="279">
        <v>12.87</v>
      </c>
      <c r="E57" s="279">
        <v>10.28</v>
      </c>
      <c r="F57" s="36">
        <f t="shared" si="8"/>
        <v>79.88</v>
      </c>
      <c r="G57" s="37" t="str">
        <f t="shared" si="13"/>
        <v/>
      </c>
      <c r="H57" s="288"/>
      <c r="I57" s="49"/>
      <c r="J57" s="46"/>
      <c r="K57" s="11">
        <v>8.3333333333333329E-2</v>
      </c>
      <c r="L57" s="280"/>
      <c r="M57" s="15"/>
      <c r="N57" s="279">
        <v>12.56</v>
      </c>
      <c r="O57" s="279">
        <v>9.98</v>
      </c>
      <c r="P57" s="36">
        <f t="shared" si="10"/>
        <v>79.459999999999994</v>
      </c>
      <c r="Q57" s="37" t="str">
        <f t="shared" si="11"/>
        <v/>
      </c>
      <c r="R57" s="296"/>
    </row>
    <row r="58" spans="1:18" ht="18" customHeight="1">
      <c r="A58" s="11">
        <v>0.125</v>
      </c>
      <c r="B58" s="280"/>
      <c r="C58" s="280"/>
      <c r="D58" s="279">
        <v>12.15</v>
      </c>
      <c r="E58" s="279">
        <v>9.43</v>
      </c>
      <c r="F58" s="36">
        <f t="shared" si="8"/>
        <v>77.61</v>
      </c>
      <c r="G58" s="37" t="str">
        <f t="shared" si="13"/>
        <v/>
      </c>
      <c r="H58" s="288"/>
      <c r="I58" s="49"/>
      <c r="J58" s="46"/>
      <c r="K58" s="11">
        <v>0.125</v>
      </c>
      <c r="L58" s="280"/>
      <c r="M58" s="15"/>
      <c r="N58" s="279"/>
      <c r="O58" s="279"/>
      <c r="P58" s="36" t="str">
        <f t="shared" si="10"/>
        <v/>
      </c>
      <c r="Q58" s="37" t="str">
        <f t="shared" si="11"/>
        <v/>
      </c>
      <c r="R58" s="296"/>
    </row>
    <row r="59" spans="1:18" ht="18" customHeight="1">
      <c r="A59" s="11">
        <v>0.16666666666666666</v>
      </c>
      <c r="B59" s="280"/>
      <c r="C59" s="280"/>
      <c r="D59" s="279">
        <v>14.77</v>
      </c>
      <c r="E59" s="279">
        <v>11.83</v>
      </c>
      <c r="F59" s="36">
        <f t="shared" si="8"/>
        <v>80.09</v>
      </c>
      <c r="G59" s="37" t="str">
        <f t="shared" si="13"/>
        <v/>
      </c>
      <c r="H59" s="288"/>
      <c r="I59" s="49"/>
      <c r="J59" s="46"/>
      <c r="K59" s="11">
        <v>0.16666666666666666</v>
      </c>
      <c r="L59" s="280"/>
      <c r="M59" s="15"/>
      <c r="N59" s="279">
        <v>14.81</v>
      </c>
      <c r="O59" s="279">
        <v>12.06</v>
      </c>
      <c r="P59" s="36">
        <f t="shared" si="10"/>
        <v>81.430000000000007</v>
      </c>
      <c r="Q59" s="37" t="str">
        <f t="shared" si="11"/>
        <v/>
      </c>
      <c r="R59" s="296"/>
    </row>
    <row r="60" spans="1:18" ht="18" customHeight="1">
      <c r="A60" s="25">
        <v>0.20833333333333334</v>
      </c>
      <c r="B60" s="280"/>
      <c r="C60" s="280"/>
      <c r="D60" s="279"/>
      <c r="E60" s="279"/>
      <c r="F60" s="36" t="str">
        <f t="shared" si="8"/>
        <v/>
      </c>
      <c r="G60" s="37" t="str">
        <f t="shared" si="13"/>
        <v/>
      </c>
      <c r="H60" s="288"/>
      <c r="I60" s="49"/>
      <c r="J60" s="46"/>
      <c r="K60" s="25">
        <v>0.20833333333333334</v>
      </c>
      <c r="L60" s="280"/>
      <c r="M60" s="15"/>
      <c r="N60" s="279"/>
      <c r="O60" s="279"/>
      <c r="P60" s="36" t="str">
        <f t="shared" si="10"/>
        <v/>
      </c>
      <c r="Q60" s="37" t="str">
        <f t="shared" si="11"/>
        <v/>
      </c>
      <c r="R60" s="296"/>
    </row>
    <row r="61" spans="1:18" ht="18" customHeight="1" thickBot="1">
      <c r="A61" s="50"/>
      <c r="B61" s="38"/>
      <c r="C61" s="38"/>
      <c r="D61" s="16"/>
      <c r="E61" s="16"/>
      <c r="F61" s="36" t="str">
        <f t="shared" si="8"/>
        <v/>
      </c>
      <c r="G61" s="40"/>
      <c r="H61" s="289"/>
      <c r="I61" s="51"/>
      <c r="J61" s="46"/>
      <c r="K61" s="50"/>
      <c r="L61" s="38"/>
      <c r="M61" s="38"/>
      <c r="N61" s="16"/>
      <c r="O61" s="16"/>
      <c r="P61" s="39"/>
      <c r="Q61" s="40"/>
      <c r="R61" s="51"/>
    </row>
    <row r="62" spans="1:18" ht="28.2" thickBot="1">
      <c r="A62" s="41" t="s">
        <v>20</v>
      </c>
      <c r="B62" s="42"/>
      <c r="C62" s="42"/>
      <c r="D62" s="43">
        <f>IF(SUM(D37:D60)=0,0,AVERAGE(D37:D60))</f>
        <v>13.947500000000003</v>
      </c>
      <c r="E62" s="43">
        <f>IF(SUM(E37:E60)=0,0,AVERAGE(E37:E60))</f>
        <v>11.200000000000001</v>
      </c>
      <c r="F62" s="44">
        <f>IF(D62=0,"",ROUND(E62*100/D62,2))</f>
        <v>80.3</v>
      </c>
      <c r="G62" s="43">
        <f t="shared" ref="G62:H62" si="14">IF(SUM(G37:G60)=0,0,AVERAGE(G37:G60))</f>
        <v>0.5099999999999999</v>
      </c>
      <c r="H62" s="43">
        <f t="shared" si="14"/>
        <v>25.133333333333336</v>
      </c>
      <c r="I62" s="45"/>
      <c r="J62" s="46"/>
      <c r="K62" s="41" t="s">
        <v>20</v>
      </c>
      <c r="L62" s="42"/>
      <c r="M62" s="42"/>
      <c r="N62" s="43">
        <f t="shared" ref="N62:O62" si="15">IF(SUM(N37:N60)=0,0,AVERAGE(N37:N60))</f>
        <v>13.174000000000001</v>
      </c>
      <c r="O62" s="43">
        <f t="shared" si="15"/>
        <v>10.538</v>
      </c>
      <c r="P62" s="44">
        <f>IF(N62=0,"",ROUND(O62*100/N62,2))</f>
        <v>79.989999999999995</v>
      </c>
      <c r="Q62" s="43">
        <f t="shared" ref="Q62:R62" si="16">IF(SUM(Q37:Q60)=0,0,AVERAGE(Q37:Q60))</f>
        <v>0.62</v>
      </c>
      <c r="R62" s="43">
        <f t="shared" si="16"/>
        <v>20.3</v>
      </c>
    </row>
    <row r="63" spans="1:18" ht="16.2" thickBot="1">
      <c r="A63" s="465" t="s">
        <v>22</v>
      </c>
      <c r="B63" s="466"/>
      <c r="C63" s="466"/>
      <c r="D63" s="466"/>
      <c r="E63" s="466"/>
      <c r="F63" s="466"/>
      <c r="G63" s="466"/>
      <c r="H63" s="466"/>
      <c r="I63" s="467"/>
      <c r="J63" s="46"/>
      <c r="K63" s="465" t="s">
        <v>11</v>
      </c>
      <c r="L63" s="466"/>
      <c r="M63" s="466"/>
      <c r="N63" s="466"/>
      <c r="O63" s="466"/>
      <c r="P63" s="466"/>
      <c r="Q63" s="466"/>
      <c r="R63" s="467"/>
    </row>
    <row r="64" spans="1:18" ht="28.2" thickBot="1">
      <c r="A64" s="28" t="s">
        <v>2</v>
      </c>
      <c r="B64" s="29" t="s">
        <v>17</v>
      </c>
      <c r="C64" s="30"/>
      <c r="D64" s="31" t="s">
        <v>3</v>
      </c>
      <c r="E64" s="32" t="s">
        <v>4</v>
      </c>
      <c r="F64" s="34" t="s">
        <v>1</v>
      </c>
      <c r="G64" s="35" t="s">
        <v>18</v>
      </c>
      <c r="H64" s="33" t="s">
        <v>19</v>
      </c>
      <c r="I64" s="47"/>
      <c r="J64" s="46"/>
      <c r="K64" s="28" t="s">
        <v>2</v>
      </c>
      <c r="L64" s="29" t="s">
        <v>17</v>
      </c>
      <c r="M64" s="456" t="s">
        <v>45</v>
      </c>
      <c r="N64" s="31" t="s">
        <v>3</v>
      </c>
      <c r="O64" s="32" t="s">
        <v>4</v>
      </c>
      <c r="P64" s="34" t="s">
        <v>1</v>
      </c>
      <c r="Q64" s="35" t="s">
        <v>18</v>
      </c>
      <c r="R64" s="52" t="s">
        <v>19</v>
      </c>
    </row>
    <row r="65" spans="1:18" ht="18" customHeight="1">
      <c r="A65" s="11">
        <v>0.25</v>
      </c>
      <c r="B65" s="277"/>
      <c r="C65" s="277"/>
      <c r="D65" s="278"/>
      <c r="E65" s="279"/>
      <c r="F65" s="36" t="str">
        <f t="shared" ref="F65:F88" si="17">IF(D65="","",ROUND(E65*100/D65,2))</f>
        <v/>
      </c>
      <c r="G65" s="37" t="str">
        <f t="shared" ref="G65:G88" si="18">IF(H65="","",ROUND(12.5/H65,2))</f>
        <v/>
      </c>
      <c r="H65" s="290"/>
      <c r="I65" s="48"/>
      <c r="J65" s="46"/>
      <c r="K65" s="11">
        <v>0.25</v>
      </c>
      <c r="L65" s="277"/>
      <c r="M65" s="277"/>
      <c r="N65" s="278"/>
      <c r="O65" s="279"/>
      <c r="P65" s="36" t="str">
        <f>IF(N65="","",ROUND(O65*100/N65,2))</f>
        <v/>
      </c>
      <c r="Q65" s="37" t="str">
        <f>IF(R65="","",ROUND(100/R65,2))</f>
        <v/>
      </c>
      <c r="R65" s="295"/>
    </row>
    <row r="66" spans="1:18" ht="18" customHeight="1">
      <c r="A66" s="11">
        <v>0.29166666666666669</v>
      </c>
      <c r="B66" s="280"/>
      <c r="C66" s="280"/>
      <c r="D66" s="279">
        <v>2.66</v>
      </c>
      <c r="E66" s="279">
        <v>1.99</v>
      </c>
      <c r="F66" s="36">
        <f t="shared" si="17"/>
        <v>74.81</v>
      </c>
      <c r="G66" s="37" t="str">
        <f t="shared" si="18"/>
        <v/>
      </c>
      <c r="H66" s="291"/>
      <c r="I66" s="49"/>
      <c r="J66" s="46"/>
      <c r="K66" s="11">
        <v>0.29166666666666669</v>
      </c>
      <c r="L66" s="280"/>
      <c r="M66" s="280"/>
      <c r="N66" s="279">
        <v>66.88</v>
      </c>
      <c r="O66" s="279">
        <v>53.36</v>
      </c>
      <c r="P66" s="36">
        <f>IF(N66="","",ROUND(O66*100/N66,2))</f>
        <v>79.78</v>
      </c>
      <c r="Q66" s="37" t="str">
        <f t="shared" ref="Q66:Q88" si="19">IF(R66="","",ROUND(100/R66,2))</f>
        <v/>
      </c>
      <c r="R66" s="296"/>
    </row>
    <row r="67" spans="1:18" ht="18" customHeight="1">
      <c r="A67" s="11">
        <v>0.33333333333333331</v>
      </c>
      <c r="B67" s="280"/>
      <c r="C67" s="280"/>
      <c r="D67" s="279">
        <v>1.79</v>
      </c>
      <c r="E67" s="279">
        <v>1.4</v>
      </c>
      <c r="F67" s="36">
        <f t="shared" si="17"/>
        <v>78.209999999999994</v>
      </c>
      <c r="G67" s="37">
        <f t="shared" si="18"/>
        <v>0.35</v>
      </c>
      <c r="H67" s="291">
        <v>36.1</v>
      </c>
      <c r="I67" s="49"/>
      <c r="J67" s="46"/>
      <c r="K67" s="11">
        <v>0.33333333333333331</v>
      </c>
      <c r="L67" s="280"/>
      <c r="M67" s="458">
        <v>14934</v>
      </c>
      <c r="N67" s="279">
        <v>65.2</v>
      </c>
      <c r="O67" s="279">
        <v>52.44</v>
      </c>
      <c r="P67" s="36">
        <f t="shared" ref="P67:P68" si="20">IF(N67="","",ROUND(O67*100/N67,2))</f>
        <v>80.430000000000007</v>
      </c>
      <c r="Q67" s="37">
        <f t="shared" si="19"/>
        <v>2.84</v>
      </c>
      <c r="R67" s="296">
        <v>35.200000000000003</v>
      </c>
    </row>
    <row r="68" spans="1:18" ht="18" customHeight="1">
      <c r="A68" s="11">
        <v>0.375</v>
      </c>
      <c r="B68" s="280"/>
      <c r="C68" s="280"/>
      <c r="D68" s="279"/>
      <c r="E68" s="279"/>
      <c r="F68" s="36" t="str">
        <f t="shared" si="17"/>
        <v/>
      </c>
      <c r="G68" s="37" t="str">
        <f t="shared" si="18"/>
        <v/>
      </c>
      <c r="H68" s="291"/>
      <c r="I68" s="49"/>
      <c r="J68" s="46"/>
      <c r="K68" s="11">
        <v>0.375</v>
      </c>
      <c r="L68" s="280"/>
      <c r="M68" s="280"/>
      <c r="N68" s="279"/>
      <c r="O68" s="279"/>
      <c r="P68" s="36" t="str">
        <f t="shared" si="20"/>
        <v/>
      </c>
      <c r="Q68" s="37" t="str">
        <f t="shared" si="19"/>
        <v/>
      </c>
      <c r="R68" s="296"/>
    </row>
    <row r="69" spans="1:18" ht="18" customHeight="1">
      <c r="A69" s="11">
        <v>0.41666666666666669</v>
      </c>
      <c r="B69" s="280"/>
      <c r="C69" s="280"/>
      <c r="D69" s="279">
        <v>2.82</v>
      </c>
      <c r="E69" s="279">
        <v>2.25</v>
      </c>
      <c r="F69" s="36">
        <f t="shared" si="17"/>
        <v>79.790000000000006</v>
      </c>
      <c r="G69" s="37" t="str">
        <f t="shared" si="18"/>
        <v/>
      </c>
      <c r="H69" s="291"/>
      <c r="I69" s="49"/>
      <c r="J69" s="46"/>
      <c r="K69" s="11">
        <v>0.41666666666666669</v>
      </c>
      <c r="L69" s="280"/>
      <c r="M69" s="280"/>
      <c r="N69" s="279">
        <v>62.24</v>
      </c>
      <c r="O69" s="279">
        <v>51.08</v>
      </c>
      <c r="P69" s="36">
        <f>IF(N69="","",ROUND(O69*100/N69,2))</f>
        <v>82.07</v>
      </c>
      <c r="Q69" s="37" t="str">
        <f t="shared" si="19"/>
        <v/>
      </c>
      <c r="R69" s="296"/>
    </row>
    <row r="70" spans="1:18" ht="18" customHeight="1">
      <c r="A70" s="11">
        <v>0.45833333333333331</v>
      </c>
      <c r="B70" s="280"/>
      <c r="C70" s="280"/>
      <c r="D70" s="279">
        <v>2.62</v>
      </c>
      <c r="E70" s="279">
        <v>2.1</v>
      </c>
      <c r="F70" s="36">
        <f t="shared" si="17"/>
        <v>80.150000000000006</v>
      </c>
      <c r="G70" s="37" t="str">
        <f t="shared" si="18"/>
        <v/>
      </c>
      <c r="H70" s="291"/>
      <c r="I70" s="49"/>
      <c r="J70" s="46"/>
      <c r="K70" s="11">
        <v>0.45833333333333331</v>
      </c>
      <c r="L70" s="280"/>
      <c r="M70" s="280"/>
      <c r="N70" s="279">
        <v>65.8</v>
      </c>
      <c r="O70" s="459">
        <v>54.16</v>
      </c>
      <c r="P70" s="36">
        <f t="shared" ref="P70:P88" si="21">IF(N70="","",ROUND(O70*100/N70,2))</f>
        <v>82.31</v>
      </c>
      <c r="Q70" s="37" t="str">
        <f t="shared" si="19"/>
        <v/>
      </c>
      <c r="R70" s="296"/>
    </row>
    <row r="71" spans="1:18" ht="18" customHeight="1">
      <c r="A71" s="11">
        <v>0.5</v>
      </c>
      <c r="B71" s="280"/>
      <c r="C71" s="280"/>
      <c r="D71" s="279">
        <v>1.9</v>
      </c>
      <c r="E71" s="279">
        <v>1.53</v>
      </c>
      <c r="F71" s="36">
        <f t="shared" si="17"/>
        <v>80.53</v>
      </c>
      <c r="G71" s="37" t="str">
        <f t="shared" si="18"/>
        <v/>
      </c>
      <c r="H71" s="291"/>
      <c r="I71" s="49"/>
      <c r="J71" s="46"/>
      <c r="K71" s="11">
        <v>0.5</v>
      </c>
      <c r="L71" s="280"/>
      <c r="M71" s="280"/>
      <c r="N71" s="279">
        <v>63.4</v>
      </c>
      <c r="O71" s="279">
        <v>52.36</v>
      </c>
      <c r="P71" s="36">
        <f t="shared" si="21"/>
        <v>82.59</v>
      </c>
      <c r="Q71" s="37" t="str">
        <f t="shared" si="19"/>
        <v/>
      </c>
      <c r="R71" s="296"/>
    </row>
    <row r="72" spans="1:18" ht="18" customHeight="1">
      <c r="A72" s="11">
        <v>0.54166666666666663</v>
      </c>
      <c r="B72" s="280"/>
      <c r="C72" s="280"/>
      <c r="D72" s="279"/>
      <c r="E72" s="279"/>
      <c r="F72" s="36" t="str">
        <f t="shared" si="17"/>
        <v/>
      </c>
      <c r="G72" s="37" t="str">
        <f t="shared" si="18"/>
        <v/>
      </c>
      <c r="H72" s="288"/>
      <c r="I72" s="49"/>
      <c r="J72" s="46"/>
      <c r="K72" s="11">
        <v>0.54166666666666663</v>
      </c>
      <c r="L72" s="280"/>
      <c r="M72" s="280"/>
      <c r="N72" s="279"/>
      <c r="O72" s="279"/>
      <c r="P72" s="36" t="str">
        <f t="shared" si="21"/>
        <v/>
      </c>
      <c r="Q72" s="37" t="str">
        <f t="shared" si="19"/>
        <v/>
      </c>
      <c r="R72" s="296"/>
    </row>
    <row r="73" spans="1:18" ht="18" customHeight="1">
      <c r="A73" s="11">
        <v>0.58333333333333337</v>
      </c>
      <c r="B73" s="280"/>
      <c r="C73" s="280"/>
      <c r="D73" s="279">
        <v>2.41</v>
      </c>
      <c r="E73" s="279">
        <v>1.86</v>
      </c>
      <c r="F73" s="36">
        <f t="shared" si="17"/>
        <v>77.180000000000007</v>
      </c>
      <c r="G73" s="37" t="str">
        <f t="shared" si="18"/>
        <v/>
      </c>
      <c r="H73" s="288"/>
      <c r="I73" s="49"/>
      <c r="J73" s="46"/>
      <c r="K73" s="11">
        <v>0.58333333333333337</v>
      </c>
      <c r="L73" s="280"/>
      <c r="M73" s="280"/>
      <c r="N73" s="279">
        <v>61.08</v>
      </c>
      <c r="O73" s="279">
        <v>49.88</v>
      </c>
      <c r="P73" s="36">
        <f t="shared" si="21"/>
        <v>81.66</v>
      </c>
      <c r="Q73" s="37" t="str">
        <f t="shared" si="19"/>
        <v/>
      </c>
      <c r="R73" s="296"/>
    </row>
    <row r="74" spans="1:18" ht="18" customHeight="1">
      <c r="A74" s="11">
        <v>0.625</v>
      </c>
      <c r="B74" s="280"/>
      <c r="C74" s="280"/>
      <c r="D74" s="279">
        <v>2.1800000000000002</v>
      </c>
      <c r="E74" s="279">
        <v>1.7</v>
      </c>
      <c r="F74" s="36">
        <f t="shared" si="17"/>
        <v>77.98</v>
      </c>
      <c r="G74" s="37" t="str">
        <f t="shared" si="18"/>
        <v/>
      </c>
      <c r="H74" s="288"/>
      <c r="I74" s="49"/>
      <c r="J74" s="46"/>
      <c r="K74" s="11">
        <v>0.625</v>
      </c>
      <c r="L74" s="280"/>
      <c r="M74" s="280"/>
      <c r="N74" s="279">
        <v>64.459999999999994</v>
      </c>
      <c r="O74" s="279">
        <v>53.2</v>
      </c>
      <c r="P74" s="36">
        <f t="shared" si="21"/>
        <v>82.53</v>
      </c>
      <c r="Q74" s="37" t="str">
        <f t="shared" si="19"/>
        <v/>
      </c>
      <c r="R74" s="296"/>
    </row>
    <row r="75" spans="1:18" ht="18" customHeight="1">
      <c r="A75" s="11">
        <v>0.66666666666666663</v>
      </c>
      <c r="B75" s="280"/>
      <c r="C75" s="280"/>
      <c r="D75" s="279">
        <v>2.0299999999999998</v>
      </c>
      <c r="E75" s="279">
        <v>1.56</v>
      </c>
      <c r="F75" s="36">
        <f t="shared" si="17"/>
        <v>76.849999999999994</v>
      </c>
      <c r="G75" s="37">
        <f t="shared" si="18"/>
        <v>0.15</v>
      </c>
      <c r="H75" s="288">
        <v>82</v>
      </c>
      <c r="I75" s="49"/>
      <c r="J75" s="46"/>
      <c r="K75" s="11">
        <v>0.66666666666666663</v>
      </c>
      <c r="L75" s="280"/>
      <c r="M75" s="280"/>
      <c r="N75" s="279">
        <v>67.92</v>
      </c>
      <c r="O75" s="279">
        <v>56.44</v>
      </c>
      <c r="P75" s="36">
        <f t="shared" si="21"/>
        <v>83.1</v>
      </c>
      <c r="Q75" s="37">
        <f t="shared" si="19"/>
        <v>2.67</v>
      </c>
      <c r="R75" s="296">
        <v>37.5</v>
      </c>
    </row>
    <row r="76" spans="1:18" ht="18" customHeight="1">
      <c r="A76" s="11">
        <v>0.70833333333333337</v>
      </c>
      <c r="B76" s="280"/>
      <c r="C76" s="280"/>
      <c r="D76" s="279"/>
      <c r="E76" s="279"/>
      <c r="F76" s="36" t="str">
        <f t="shared" si="17"/>
        <v/>
      </c>
      <c r="G76" s="37" t="str">
        <f t="shared" si="18"/>
        <v/>
      </c>
      <c r="H76" s="288"/>
      <c r="I76" s="49"/>
      <c r="J76" s="46"/>
      <c r="K76" s="11">
        <v>0.70833333333333337</v>
      </c>
      <c r="L76" s="280"/>
      <c r="M76" s="280"/>
      <c r="N76" s="279">
        <v>67.680000000000007</v>
      </c>
      <c r="O76" s="279">
        <v>56</v>
      </c>
      <c r="P76" s="36">
        <f t="shared" si="21"/>
        <v>82.74</v>
      </c>
      <c r="Q76" s="37" t="str">
        <f t="shared" si="19"/>
        <v/>
      </c>
      <c r="R76" s="296"/>
    </row>
    <row r="77" spans="1:18" ht="18" customHeight="1">
      <c r="A77" s="11">
        <v>0.75</v>
      </c>
      <c r="B77" s="280"/>
      <c r="C77" s="280"/>
      <c r="D77" s="279">
        <v>2.82</v>
      </c>
      <c r="E77" s="279">
        <v>2.29</v>
      </c>
      <c r="F77" s="36">
        <f t="shared" si="17"/>
        <v>81.209999999999994</v>
      </c>
      <c r="G77" s="37" t="str">
        <f t="shared" si="18"/>
        <v/>
      </c>
      <c r="H77" s="288"/>
      <c r="I77" s="49"/>
      <c r="J77" s="46"/>
      <c r="K77" s="11">
        <v>0.75</v>
      </c>
      <c r="L77" s="280"/>
      <c r="M77" s="280"/>
      <c r="N77" s="279">
        <v>63.72</v>
      </c>
      <c r="O77" s="279">
        <v>53.4</v>
      </c>
      <c r="P77" s="36">
        <f t="shared" si="21"/>
        <v>83.8</v>
      </c>
      <c r="Q77" s="37" t="str">
        <f t="shared" si="19"/>
        <v/>
      </c>
      <c r="R77" s="296"/>
    </row>
    <row r="78" spans="1:18" ht="18" customHeight="1">
      <c r="A78" s="11">
        <v>0.79166666666666663</v>
      </c>
      <c r="B78" s="280"/>
      <c r="C78" s="280"/>
      <c r="D78" s="279">
        <v>2.89</v>
      </c>
      <c r="E78" s="279">
        <v>2.33</v>
      </c>
      <c r="F78" s="36">
        <f t="shared" si="17"/>
        <v>80.62</v>
      </c>
      <c r="G78" s="37" t="str">
        <f t="shared" si="18"/>
        <v/>
      </c>
      <c r="H78" s="288"/>
      <c r="I78" s="49"/>
      <c r="J78" s="46"/>
      <c r="K78" s="11">
        <v>0.79166666666666663</v>
      </c>
      <c r="L78" s="280"/>
      <c r="M78" s="280"/>
      <c r="N78" s="279">
        <v>61.88</v>
      </c>
      <c r="O78" s="279">
        <v>51.08</v>
      </c>
      <c r="P78" s="36">
        <f t="shared" si="21"/>
        <v>82.55</v>
      </c>
      <c r="Q78" s="37" t="str">
        <f t="shared" si="19"/>
        <v/>
      </c>
      <c r="R78" s="296"/>
    </row>
    <row r="79" spans="1:18" ht="18" customHeight="1">
      <c r="A79" s="11">
        <v>0.83333333333333337</v>
      </c>
      <c r="B79" s="280"/>
      <c r="C79" s="280"/>
      <c r="D79" s="279"/>
      <c r="E79" s="279"/>
      <c r="F79" s="36" t="str">
        <f t="shared" si="17"/>
        <v/>
      </c>
      <c r="G79" s="37" t="str">
        <f t="shared" si="18"/>
        <v/>
      </c>
      <c r="H79" s="288"/>
      <c r="I79" s="49"/>
      <c r="J79" s="46"/>
      <c r="K79" s="11">
        <v>0.83333333333333337</v>
      </c>
      <c r="L79" s="280"/>
      <c r="M79" s="280"/>
      <c r="N79" s="279"/>
      <c r="O79" s="279"/>
      <c r="P79" s="36" t="str">
        <f t="shared" si="21"/>
        <v/>
      </c>
      <c r="Q79" s="37" t="str">
        <f t="shared" si="19"/>
        <v/>
      </c>
      <c r="R79" s="296"/>
    </row>
    <row r="80" spans="1:18" ht="18" customHeight="1">
      <c r="A80" s="11">
        <v>0.875</v>
      </c>
      <c r="B80" s="280"/>
      <c r="C80" s="280"/>
      <c r="D80" s="279"/>
      <c r="E80" s="279"/>
      <c r="F80" s="36" t="str">
        <f t="shared" si="17"/>
        <v/>
      </c>
      <c r="G80" s="37" t="str">
        <f t="shared" si="18"/>
        <v/>
      </c>
      <c r="H80" s="288"/>
      <c r="I80" s="49"/>
      <c r="J80" s="46"/>
      <c r="K80" s="11">
        <v>0.875</v>
      </c>
      <c r="L80" s="280"/>
      <c r="M80" s="280"/>
      <c r="N80" s="279"/>
      <c r="O80" s="279"/>
      <c r="P80" s="36" t="str">
        <f t="shared" si="21"/>
        <v/>
      </c>
      <c r="Q80" s="37" t="str">
        <f t="shared" si="19"/>
        <v/>
      </c>
      <c r="R80" s="296"/>
    </row>
    <row r="81" spans="1:18" ht="18" customHeight="1">
      <c r="A81" s="11">
        <v>0.91666666666666663</v>
      </c>
      <c r="B81" s="280"/>
      <c r="C81" s="280"/>
      <c r="D81" s="279">
        <v>3.88</v>
      </c>
      <c r="E81" s="279">
        <v>2.65</v>
      </c>
      <c r="F81" s="36">
        <f t="shared" si="17"/>
        <v>68.3</v>
      </c>
      <c r="G81" s="37" t="str">
        <f t="shared" si="18"/>
        <v/>
      </c>
      <c r="H81" s="288"/>
      <c r="I81" s="49"/>
      <c r="J81" s="46"/>
      <c r="K81" s="11">
        <v>0.91666666666666663</v>
      </c>
      <c r="L81" s="280"/>
      <c r="M81" s="280"/>
      <c r="N81" s="279">
        <v>68.459999999999994</v>
      </c>
      <c r="O81" s="279">
        <v>56.6</v>
      </c>
      <c r="P81" s="36">
        <f t="shared" si="21"/>
        <v>82.68</v>
      </c>
      <c r="Q81" s="37" t="str">
        <f t="shared" si="19"/>
        <v/>
      </c>
      <c r="R81" s="296"/>
    </row>
    <row r="82" spans="1:18" ht="18" customHeight="1">
      <c r="A82" s="11">
        <v>0.95833333333333337</v>
      </c>
      <c r="B82" s="280"/>
      <c r="C82" s="280"/>
      <c r="D82" s="279">
        <v>2.63</v>
      </c>
      <c r="E82" s="279">
        <v>1.94</v>
      </c>
      <c r="F82" s="36">
        <f t="shared" si="17"/>
        <v>73.760000000000005</v>
      </c>
      <c r="G82" s="37" t="str">
        <f t="shared" si="18"/>
        <v/>
      </c>
      <c r="H82" s="288"/>
      <c r="I82" s="49"/>
      <c r="J82" s="46"/>
      <c r="K82" s="11">
        <v>0.95833333333333337</v>
      </c>
      <c r="L82" s="280"/>
      <c r="M82" s="280"/>
      <c r="N82" s="279">
        <v>67.12</v>
      </c>
      <c r="O82" s="279">
        <v>55.64</v>
      </c>
      <c r="P82" s="36">
        <f t="shared" si="21"/>
        <v>82.9</v>
      </c>
      <c r="Q82" s="37" t="str">
        <f t="shared" si="19"/>
        <v/>
      </c>
      <c r="R82" s="296"/>
    </row>
    <row r="83" spans="1:18" ht="18" customHeight="1">
      <c r="A83" s="11">
        <v>1</v>
      </c>
      <c r="B83" s="280"/>
      <c r="C83" s="280"/>
      <c r="D83" s="279">
        <v>2.88</v>
      </c>
      <c r="E83" s="279">
        <v>2.19</v>
      </c>
      <c r="F83" s="36">
        <f t="shared" si="17"/>
        <v>76.040000000000006</v>
      </c>
      <c r="G83" s="37">
        <f t="shared" si="18"/>
        <v>0.14000000000000001</v>
      </c>
      <c r="H83" s="288">
        <v>88.4</v>
      </c>
      <c r="I83" s="49"/>
      <c r="J83" s="46"/>
      <c r="K83" s="11">
        <v>1</v>
      </c>
      <c r="L83" s="280"/>
      <c r="M83" s="280"/>
      <c r="N83" s="279">
        <v>56.14</v>
      </c>
      <c r="O83" s="279">
        <v>46.72</v>
      </c>
      <c r="P83" s="36">
        <f t="shared" si="21"/>
        <v>83.22</v>
      </c>
      <c r="Q83" s="37">
        <f t="shared" si="19"/>
        <v>2.59</v>
      </c>
      <c r="R83" s="296">
        <v>38.6</v>
      </c>
    </row>
    <row r="84" spans="1:18" ht="18" customHeight="1">
      <c r="A84" s="11">
        <v>4.1666666666666664E-2</v>
      </c>
      <c r="B84" s="280"/>
      <c r="C84" s="280"/>
      <c r="D84" s="279"/>
      <c r="E84" s="279"/>
      <c r="F84" s="36" t="str">
        <f t="shared" si="17"/>
        <v/>
      </c>
      <c r="G84" s="37" t="str">
        <f t="shared" si="18"/>
        <v/>
      </c>
      <c r="H84" s="288"/>
      <c r="I84" s="49"/>
      <c r="J84" s="46"/>
      <c r="K84" s="11">
        <v>4.1666666666666664E-2</v>
      </c>
      <c r="L84" s="280"/>
      <c r="M84" s="280"/>
      <c r="N84" s="279"/>
      <c r="O84" s="279"/>
      <c r="P84" s="36" t="str">
        <f t="shared" si="21"/>
        <v/>
      </c>
      <c r="Q84" s="37" t="str">
        <f t="shared" si="19"/>
        <v/>
      </c>
      <c r="R84" s="296"/>
    </row>
    <row r="85" spans="1:18" ht="18" customHeight="1">
      <c r="A85" s="11">
        <v>8.3333333333333329E-2</v>
      </c>
      <c r="B85" s="280"/>
      <c r="C85" s="280"/>
      <c r="D85" s="279">
        <v>2.7</v>
      </c>
      <c r="E85" s="279">
        <v>1.88</v>
      </c>
      <c r="F85" s="36">
        <f t="shared" si="17"/>
        <v>69.63</v>
      </c>
      <c r="G85" s="37" t="str">
        <f t="shared" si="18"/>
        <v/>
      </c>
      <c r="H85" s="288"/>
      <c r="I85" s="49"/>
      <c r="J85" s="46"/>
      <c r="K85" s="11">
        <v>8.3333333333333329E-2</v>
      </c>
      <c r="L85" s="280"/>
      <c r="M85" s="280"/>
      <c r="N85" s="279">
        <v>63.7</v>
      </c>
      <c r="O85" s="279">
        <v>52.32</v>
      </c>
      <c r="P85" s="36">
        <f t="shared" si="21"/>
        <v>82.14</v>
      </c>
      <c r="Q85" s="37" t="str">
        <f t="shared" si="19"/>
        <v/>
      </c>
      <c r="R85" s="296"/>
    </row>
    <row r="86" spans="1:18" ht="18" customHeight="1">
      <c r="A86" s="11">
        <v>0.125</v>
      </c>
      <c r="B86" s="280"/>
      <c r="C86" s="280"/>
      <c r="D86" s="279">
        <v>2.39</v>
      </c>
      <c r="E86" s="279">
        <v>1.63</v>
      </c>
      <c r="F86" s="36">
        <f t="shared" si="17"/>
        <v>68.2</v>
      </c>
      <c r="G86" s="37" t="str">
        <f t="shared" si="18"/>
        <v/>
      </c>
      <c r="H86" s="288"/>
      <c r="I86" s="49"/>
      <c r="J86" s="57"/>
      <c r="K86" s="11">
        <v>0.125</v>
      </c>
      <c r="L86" s="280"/>
      <c r="M86" s="280"/>
      <c r="N86" s="279">
        <v>68.3</v>
      </c>
      <c r="O86" s="279">
        <v>56.08</v>
      </c>
      <c r="P86" s="36">
        <f t="shared" si="21"/>
        <v>82.11</v>
      </c>
      <c r="Q86" s="37" t="str">
        <f t="shared" si="19"/>
        <v/>
      </c>
      <c r="R86" s="296"/>
    </row>
    <row r="87" spans="1:18" ht="18" customHeight="1">
      <c r="A87" s="11">
        <v>0.16666666666666666</v>
      </c>
      <c r="B87" s="280"/>
      <c r="C87" s="280"/>
      <c r="D87" s="279">
        <v>2.9</v>
      </c>
      <c r="E87" s="279">
        <v>2.17</v>
      </c>
      <c r="F87" s="36">
        <f t="shared" si="17"/>
        <v>74.83</v>
      </c>
      <c r="G87" s="37" t="str">
        <f t="shared" si="18"/>
        <v/>
      </c>
      <c r="H87" s="288"/>
      <c r="I87" s="49"/>
      <c r="J87" s="18"/>
      <c r="K87" s="11">
        <v>0.16666666666666666</v>
      </c>
      <c r="L87" s="280"/>
      <c r="M87" s="280"/>
      <c r="N87" s="279">
        <v>60.6</v>
      </c>
      <c r="O87" s="279">
        <v>50.84</v>
      </c>
      <c r="P87" s="36">
        <f t="shared" si="21"/>
        <v>83.89</v>
      </c>
      <c r="Q87" s="37" t="str">
        <f t="shared" si="19"/>
        <v/>
      </c>
      <c r="R87" s="296"/>
    </row>
    <row r="88" spans="1:18" ht="18" customHeight="1">
      <c r="A88" s="25">
        <v>0.20833333333333334</v>
      </c>
      <c r="B88" s="280"/>
      <c r="C88" s="280"/>
      <c r="D88" s="279"/>
      <c r="E88" s="279"/>
      <c r="F88" s="36" t="str">
        <f t="shared" si="17"/>
        <v/>
      </c>
      <c r="G88" s="37" t="str">
        <f t="shared" si="18"/>
        <v/>
      </c>
      <c r="H88" s="288"/>
      <c r="I88" s="49"/>
      <c r="J88" s="18"/>
      <c r="K88" s="25">
        <v>0.20833333333333334</v>
      </c>
      <c r="L88" s="280"/>
      <c r="M88" s="280"/>
      <c r="N88" s="279"/>
      <c r="O88" s="279"/>
      <c r="P88" s="36" t="str">
        <f t="shared" si="21"/>
        <v/>
      </c>
      <c r="Q88" s="37" t="str">
        <f t="shared" si="19"/>
        <v/>
      </c>
      <c r="R88" s="296"/>
    </row>
    <row r="89" spans="1:18" ht="18" customHeight="1" thickBot="1">
      <c r="A89" s="50"/>
      <c r="B89" s="38"/>
      <c r="C89" s="38"/>
      <c r="D89" s="16"/>
      <c r="E89" s="16"/>
      <c r="F89" s="39"/>
      <c r="G89" s="40"/>
      <c r="H89" s="289"/>
      <c r="I89" s="51"/>
      <c r="J89" s="18"/>
      <c r="K89" s="50"/>
      <c r="L89" s="38"/>
      <c r="M89" s="38"/>
      <c r="N89" s="16"/>
      <c r="O89" s="16"/>
      <c r="P89" s="39"/>
      <c r="Q89" s="40"/>
      <c r="R89" s="51"/>
    </row>
    <row r="90" spans="1:18" ht="28.2" thickBot="1">
      <c r="A90" s="41" t="s">
        <v>20</v>
      </c>
      <c r="B90" s="42"/>
      <c r="C90" s="42"/>
      <c r="D90" s="43">
        <f>IF(SUM(D65:D88)=0,0,ROUND(AVERAGE(D65:D88),2))</f>
        <v>2.59</v>
      </c>
      <c r="E90" s="43">
        <f>IF(SUM(E65:E88)=0,0,ROUND(AVERAGE(E65:E88),2))</f>
        <v>1.97</v>
      </c>
      <c r="F90" s="44">
        <f>IF(D90=0,"",ROUND(E90*100/D90,2))</f>
        <v>76.06</v>
      </c>
      <c r="G90" s="43">
        <f>IF(SUM(G65:G88)=0,0,ROUND(AVERAGE(G65:G88),2))</f>
        <v>0.21</v>
      </c>
      <c r="H90" s="43">
        <f>IF(SUM(H65:H88)=0,0,ROUND(AVERAGE(H65:H88),2))</f>
        <v>68.83</v>
      </c>
      <c r="I90" s="45"/>
      <c r="J90" s="18"/>
      <c r="K90" s="41" t="s">
        <v>20</v>
      </c>
      <c r="L90" s="42"/>
      <c r="M90" s="42"/>
      <c r="N90" s="43">
        <f>IF(SUM(N65:N88)=0,0,ROUND(AVERAGE(N65:N88),2))</f>
        <v>64.39</v>
      </c>
      <c r="O90" s="43">
        <f>IF(SUM(O65:O88)=0,0,ROUND(AVERAGE(O65:O88),2))</f>
        <v>53.04</v>
      </c>
      <c r="P90" s="44">
        <f>IF(N90=0,"",ROUND(O90*100/N90,2))</f>
        <v>82.37</v>
      </c>
      <c r="Q90" s="341">
        <f>IF(SUM(Q65:Q88)=0,0,ROUND(AVERAGE(Q65:Q88),2))</f>
        <v>2.7</v>
      </c>
      <c r="R90" s="342">
        <f>IF(SUM(R65:R88)=0,0,ROUND(AVERAGE(R65:R88),2))</f>
        <v>37.1</v>
      </c>
    </row>
    <row r="91" spans="1:18" ht="13.8">
      <c r="A91" s="292"/>
      <c r="B91" s="292"/>
      <c r="C91" s="292"/>
      <c r="D91" s="292"/>
      <c r="E91" s="292"/>
      <c r="F91" s="292"/>
      <c r="G91" s="292"/>
      <c r="H91" s="292"/>
      <c r="I91" s="292"/>
      <c r="J91" s="292"/>
      <c r="K91" s="293"/>
      <c r="L91" s="293"/>
      <c r="M91" s="293"/>
      <c r="N91" s="293"/>
      <c r="O91" s="293"/>
      <c r="P91" s="293"/>
      <c r="Q91" s="293"/>
      <c r="R91" s="293"/>
    </row>
    <row r="92" spans="1:18" ht="13.8">
      <c r="A92" s="292"/>
      <c r="B92" s="292"/>
      <c r="C92" s="292"/>
      <c r="D92" s="292"/>
      <c r="E92" s="292"/>
      <c r="F92" s="292"/>
      <c r="G92" s="292"/>
      <c r="H92" s="292"/>
      <c r="I92" s="292"/>
      <c r="J92" s="292"/>
      <c r="K92" s="293"/>
      <c r="L92" s="293"/>
      <c r="M92" s="293"/>
      <c r="N92" s="293"/>
      <c r="O92" s="293"/>
      <c r="P92" s="293"/>
      <c r="Q92" s="293"/>
      <c r="R92" s="293"/>
    </row>
    <row r="93" spans="1:18" ht="13.35" customHeight="1">
      <c r="A93" s="292"/>
      <c r="B93" s="292"/>
      <c r="C93" s="292"/>
      <c r="D93" s="292"/>
      <c r="E93" s="292"/>
      <c r="F93" s="292"/>
      <c r="G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</row>
    <row r="94" spans="1:18" ht="13.35" customHeight="1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2"/>
    </row>
    <row r="95" spans="1:18" ht="13.35" customHeight="1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2"/>
    </row>
    <row r="96" spans="1:18" ht="13.35" customHeight="1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2"/>
    </row>
    <row r="97" spans="1:18" ht="13.35" customHeight="1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2"/>
    </row>
    <row r="98" spans="1:18" ht="13.3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10"/>
    </row>
    <row r="99" spans="1:1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10"/>
    </row>
    <row r="100" spans="1:1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10"/>
    </row>
    <row r="101" spans="1:1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10"/>
    </row>
    <row r="102" spans="1:1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10"/>
    </row>
    <row r="103" spans="1:1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</sheetData>
  <mergeCells count="12">
    <mergeCell ref="H3:O3"/>
    <mergeCell ref="H5:O5"/>
    <mergeCell ref="P1:R3"/>
    <mergeCell ref="Q4:R4"/>
    <mergeCell ref="Q5:R5"/>
    <mergeCell ref="A6:G6"/>
    <mergeCell ref="A35:I35"/>
    <mergeCell ref="K7:R7"/>
    <mergeCell ref="K35:R35"/>
    <mergeCell ref="K63:R63"/>
    <mergeCell ref="A7:I7"/>
    <mergeCell ref="A63:I63"/>
  </mergeCells>
  <printOptions horizontalCentered="1"/>
  <pageMargins left="0.35433070866141736" right="0.35433070866141736" top="0.19685039370078741" bottom="0.19685039370078741" header="0" footer="0"/>
  <pageSetup paperSize="9" scale="47" orientation="portrait" horizontalDpi="360" verticalDpi="360" r:id="rId1"/>
  <headerFooter alignWithMargins="0"/>
  <ignoredErrors>
    <ignoredError sqref="F62 P90 F90 I90:M90 I34:M34 I62:M6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78"/>
  <sheetViews>
    <sheetView showGridLines="0" tabSelected="1" topLeftCell="V32" zoomScale="140" zoomScaleNormal="85" workbookViewId="0">
      <selection activeCell="AA55" sqref="AA55"/>
    </sheetView>
  </sheetViews>
  <sheetFormatPr baseColWidth="10" defaultColWidth="11.5546875" defaultRowHeight="13.2"/>
  <cols>
    <col min="1" max="1" width="11.5546875" style="1"/>
    <col min="2" max="2" width="10.109375" style="1" customWidth="1"/>
    <col min="3" max="3" width="9" style="1" customWidth="1"/>
    <col min="4" max="4" width="9.109375" style="1" customWidth="1"/>
    <col min="5" max="5" width="8.88671875" style="1" customWidth="1"/>
    <col min="6" max="6" width="11" style="1" bestFit="1" customWidth="1"/>
    <col min="7" max="7" width="8.44140625" style="1" customWidth="1"/>
    <col min="8" max="8" width="10.5546875" style="1" customWidth="1"/>
    <col min="9" max="9" width="10" style="1" customWidth="1"/>
    <col min="10" max="10" width="11.44140625" style="1" customWidth="1"/>
    <col min="11" max="11" width="11" style="1" customWidth="1"/>
    <col min="12" max="12" width="11.44140625" style="1" customWidth="1"/>
    <col min="13" max="13" width="10.109375" style="1" customWidth="1"/>
    <col min="14" max="14" width="10.5546875" style="1" customWidth="1"/>
    <col min="15" max="15" width="12.109375" style="1" customWidth="1"/>
    <col min="16" max="16" width="12.109375" style="1" bestFit="1" customWidth="1"/>
    <col min="17" max="17" width="10.109375" style="1" customWidth="1"/>
    <col min="18" max="18" width="11.5546875" style="1" customWidth="1"/>
    <col min="19" max="19" width="12" style="1" customWidth="1"/>
    <col min="20" max="21" width="10.109375" style="1" customWidth="1"/>
    <col min="22" max="22" width="11.109375" style="1" customWidth="1"/>
    <col min="23" max="23" width="9.88671875" style="1" customWidth="1"/>
    <col min="24" max="24" width="10.44140625" style="1" customWidth="1"/>
    <col min="25" max="25" width="11.88671875" style="1" customWidth="1"/>
    <col min="26" max="26" width="12.44140625" style="1" customWidth="1"/>
    <col min="27" max="27" width="12" style="1" customWidth="1"/>
    <col min="28" max="28" width="14.44140625" style="1" customWidth="1"/>
    <col min="29" max="16384" width="11.5546875" style="1"/>
  </cols>
  <sheetData>
    <row r="1" spans="1:31" ht="18" customHeight="1">
      <c r="M1" s="53"/>
      <c r="N1" s="53"/>
      <c r="P1" s="87"/>
      <c r="Q1" s="87"/>
    </row>
    <row r="2" spans="1:31" ht="18" customHeight="1">
      <c r="L2" s="53"/>
      <c r="M2" s="53"/>
      <c r="N2" s="53"/>
      <c r="O2" s="87"/>
    </row>
    <row r="3" spans="1:31" ht="30">
      <c r="C3" s="26"/>
      <c r="D3" s="26"/>
      <c r="E3" s="26"/>
      <c r="F3" s="26"/>
      <c r="I3" s="95"/>
      <c r="L3" s="468" t="s">
        <v>12</v>
      </c>
      <c r="M3" s="468"/>
      <c r="N3" s="468"/>
      <c r="O3" s="468"/>
      <c r="P3" s="468"/>
      <c r="Q3" s="468"/>
      <c r="R3" s="468"/>
    </row>
    <row r="4" spans="1:31" ht="21" customHeight="1" thickBot="1">
      <c r="I4" s="24"/>
      <c r="L4" s="482" t="s">
        <v>57</v>
      </c>
      <c r="M4" s="482"/>
      <c r="N4" s="482"/>
      <c r="O4" s="482"/>
      <c r="P4" s="482"/>
      <c r="Q4" s="482"/>
      <c r="R4" s="482"/>
      <c r="V4" s="102" t="s">
        <v>15</v>
      </c>
      <c r="Y4" s="10"/>
      <c r="Z4" s="297" t="s">
        <v>26</v>
      </c>
      <c r="AA4" s="481">
        <f>+'Jugos &amp; Meladura'!Q4</f>
        <v>45268</v>
      </c>
      <c r="AB4" s="481"/>
    </row>
    <row r="5" spans="1:31" ht="27" customHeight="1">
      <c r="B5" s="2"/>
      <c r="C5" s="2"/>
      <c r="D5" s="2"/>
      <c r="E5" s="2"/>
      <c r="F5" s="2"/>
      <c r="I5" s="27"/>
      <c r="L5" s="464" t="s">
        <v>72</v>
      </c>
      <c r="M5" s="464"/>
      <c r="N5" s="464"/>
      <c r="O5" s="464"/>
      <c r="P5" s="464"/>
      <c r="Q5" s="464"/>
      <c r="R5" s="464"/>
      <c r="Y5" s="10"/>
      <c r="Z5" s="298"/>
      <c r="AA5" s="472">
        <f>+AA4</f>
        <v>45268</v>
      </c>
      <c r="AB5" s="472"/>
    </row>
    <row r="6" spans="1:31" ht="22.65" customHeight="1" thickBot="1">
      <c r="B6" s="464" t="s">
        <v>13</v>
      </c>
      <c r="C6" s="464"/>
      <c r="D6" s="464"/>
      <c r="E6" s="464"/>
      <c r="F6" s="464"/>
      <c r="G6" s="3"/>
      <c r="H6" s="4"/>
      <c r="I6" s="5"/>
      <c r="J6" s="6"/>
      <c r="K6" s="7"/>
      <c r="L6" s="7"/>
      <c r="M6" s="7"/>
      <c r="N6" s="6"/>
      <c r="Y6" s="10"/>
      <c r="Z6" s="297" t="s">
        <v>25</v>
      </c>
      <c r="AA6" s="418">
        <f>+'Jugos &amp; Meladura'!Q6</f>
        <v>5</v>
      </c>
      <c r="AB6" s="299"/>
    </row>
    <row r="7" spans="1:31" ht="13.8" thickBot="1">
      <c r="B7" s="2"/>
      <c r="C7" s="2"/>
      <c r="D7" s="2"/>
      <c r="E7" s="2"/>
      <c r="F7" s="2"/>
      <c r="G7" s="2"/>
      <c r="H7" s="2"/>
      <c r="I7" s="8"/>
      <c r="T7" s="101"/>
      <c r="U7" s="101"/>
      <c r="V7" s="101"/>
      <c r="W7" s="101"/>
      <c r="Y7" s="10"/>
      <c r="Z7" s="10"/>
      <c r="AA7" s="10"/>
      <c r="AB7" s="10"/>
    </row>
    <row r="8" spans="1:31" s="62" customFormat="1" ht="24.6" customHeight="1" thickBot="1">
      <c r="B8" s="465" t="s">
        <v>0</v>
      </c>
      <c r="C8" s="466"/>
      <c r="D8" s="466"/>
      <c r="E8" s="466"/>
      <c r="F8" s="466"/>
      <c r="G8" s="466"/>
      <c r="H8" s="466"/>
      <c r="I8" s="466"/>
      <c r="J8" s="466"/>
      <c r="K8" s="466"/>
      <c r="L8" s="467"/>
      <c r="M8" s="465" t="s">
        <v>35</v>
      </c>
      <c r="N8" s="466"/>
      <c r="O8" s="466"/>
      <c r="P8" s="467"/>
      <c r="Q8" s="465" t="s">
        <v>51</v>
      </c>
      <c r="R8" s="466"/>
      <c r="S8" s="466"/>
      <c r="T8" s="466"/>
      <c r="U8" s="466"/>
      <c r="V8" s="466"/>
      <c r="W8" s="466"/>
      <c r="X8" s="467"/>
      <c r="Y8" s="465" t="s">
        <v>52</v>
      </c>
      <c r="Z8" s="466"/>
      <c r="AA8" s="466"/>
      <c r="AB8" s="467"/>
      <c r="AC8" s="1"/>
      <c r="AD8" s="1"/>
      <c r="AE8" s="1"/>
    </row>
    <row r="9" spans="1:31" s="63" customFormat="1" ht="32.4" customHeight="1" thickBot="1">
      <c r="B9" s="74" t="s">
        <v>6</v>
      </c>
      <c r="C9" s="60" t="s">
        <v>2</v>
      </c>
      <c r="D9" s="60" t="s">
        <v>7</v>
      </c>
      <c r="E9" s="60" t="s">
        <v>28</v>
      </c>
      <c r="F9" s="60" t="s">
        <v>29</v>
      </c>
      <c r="G9" s="60" t="s">
        <v>3</v>
      </c>
      <c r="H9" s="60" t="s">
        <v>33</v>
      </c>
      <c r="I9" s="60" t="s">
        <v>5</v>
      </c>
      <c r="J9" s="60" t="s">
        <v>32</v>
      </c>
      <c r="K9" s="75" t="s">
        <v>31</v>
      </c>
      <c r="L9" s="76" t="s">
        <v>36</v>
      </c>
      <c r="M9" s="72" t="s">
        <v>3</v>
      </c>
      <c r="N9" s="59" t="s">
        <v>33</v>
      </c>
      <c r="O9" s="59" t="s">
        <v>30</v>
      </c>
      <c r="P9" s="73" t="s">
        <v>34</v>
      </c>
      <c r="Q9" s="74" t="s">
        <v>44</v>
      </c>
      <c r="R9" s="59" t="s">
        <v>45</v>
      </c>
      <c r="S9" s="60" t="s">
        <v>46</v>
      </c>
      <c r="T9" s="60" t="s">
        <v>47</v>
      </c>
      <c r="U9" s="60" t="s">
        <v>33</v>
      </c>
      <c r="V9" s="60" t="s">
        <v>48</v>
      </c>
      <c r="W9" s="60" t="s">
        <v>49</v>
      </c>
      <c r="X9" s="60" t="s">
        <v>50</v>
      </c>
      <c r="Y9" s="28" t="s">
        <v>2</v>
      </c>
      <c r="Z9" s="97" t="s">
        <v>54</v>
      </c>
      <c r="AA9" s="60" t="s">
        <v>55</v>
      </c>
      <c r="AB9" s="103" t="s">
        <v>56</v>
      </c>
      <c r="AC9" s="1"/>
      <c r="AD9" s="1"/>
      <c r="AE9" s="1"/>
    </row>
    <row r="10" spans="1:31" s="10" customFormat="1" ht="16.2" thickBot="1">
      <c r="A10" s="17">
        <v>1</v>
      </c>
      <c r="B10" s="304">
        <v>16</v>
      </c>
      <c r="C10" s="305">
        <v>0.27083333333333331</v>
      </c>
      <c r="D10" s="306">
        <v>8</v>
      </c>
      <c r="E10" s="64">
        <f>IF(D10="","",IF(D10=8,3,4))</f>
        <v>3</v>
      </c>
      <c r="F10" s="421">
        <v>2100</v>
      </c>
      <c r="G10" s="425">
        <v>91.26</v>
      </c>
      <c r="H10" s="425">
        <v>73.8</v>
      </c>
      <c r="I10" s="65">
        <f t="shared" ref="I10:I29" si="0">IF(G10="","",ROUND(H10*100/G10,2))</f>
        <v>80.87</v>
      </c>
      <c r="J10" s="68">
        <f>IF(O10="","",(I10-O10)/(100-O10)%)</f>
        <v>40.571606088847481</v>
      </c>
      <c r="K10" s="77">
        <f>IF(F10="","",ROUND(0.3048^3*F10*L10,2))</f>
        <v>88.73</v>
      </c>
      <c r="L10" s="79">
        <f>IF(G10="","",ROUND(1+0.003865*G10+0.000012912*G10^2+0.0000000643323*G10^3-0.00000000024661*G10^4,5))</f>
        <v>1.4920500000000001</v>
      </c>
      <c r="M10" s="313">
        <v>80.400000000000006</v>
      </c>
      <c r="N10" s="314">
        <v>54.52</v>
      </c>
      <c r="O10" s="65">
        <f t="shared" ref="O10:O29" si="1">IF(M10="","",ROUND(N10*100/M10,2))</f>
        <v>67.81</v>
      </c>
      <c r="P10" s="70">
        <f>IF(I10="","",(I10-O10))</f>
        <v>13.060000000000002</v>
      </c>
      <c r="Q10" s="304">
        <v>16</v>
      </c>
      <c r="R10" s="319">
        <v>469</v>
      </c>
      <c r="S10" s="319">
        <v>418</v>
      </c>
      <c r="T10" s="314"/>
      <c r="U10" s="321">
        <v>99.52</v>
      </c>
      <c r="V10" s="314">
        <v>0.05</v>
      </c>
      <c r="W10" s="314">
        <v>7.0000000000000007E-2</v>
      </c>
      <c r="X10" s="314" t="s">
        <v>285</v>
      </c>
      <c r="Y10" s="98">
        <v>0.25</v>
      </c>
      <c r="Z10" s="314"/>
      <c r="AA10" s="314"/>
      <c r="AB10" s="325"/>
      <c r="AC10" s="1"/>
      <c r="AD10" s="1"/>
      <c r="AE10" s="1"/>
    </row>
    <row r="11" spans="1:31" s="10" customFormat="1" ht="15.6">
      <c r="A11" s="17">
        <f>+A10+1</f>
        <v>2</v>
      </c>
      <c r="B11" s="307">
        <f t="shared" ref="B11:B18" si="2">B10+1</f>
        <v>17</v>
      </c>
      <c r="C11" s="308">
        <v>0.4513888888888889</v>
      </c>
      <c r="D11" s="309">
        <v>6</v>
      </c>
      <c r="E11" s="61">
        <f t="shared" ref="E11:E29" si="3">IF(D11="","",IF(D11=8,3,4))</f>
        <v>4</v>
      </c>
      <c r="F11" s="422">
        <v>1100</v>
      </c>
      <c r="G11" s="426">
        <v>91.58</v>
      </c>
      <c r="H11" s="426">
        <v>75.239999999999995</v>
      </c>
      <c r="I11" s="300">
        <f t="shared" si="0"/>
        <v>82.16</v>
      </c>
      <c r="J11" s="301">
        <f t="shared" ref="J11:J29" si="4">IF(O11="","",(I11-O11)/(100-O11)%)</f>
        <v>40.730897009966753</v>
      </c>
      <c r="K11" s="302">
        <f t="shared" ref="K11:K29" si="5">IF(F11="","",ROUND(0.3048^3*F11*L11,2))</f>
        <v>46.55</v>
      </c>
      <c r="L11" s="303">
        <f t="shared" ref="L11:L29" si="6">IF(G11="","",ROUND(1+0.003865*G11+0.000012912*G11^2+0.0000000643323*G11^3-0.00000000024661*G11^4,5))</f>
        <v>1.49431</v>
      </c>
      <c r="M11" s="315">
        <v>80.459999999999994</v>
      </c>
      <c r="N11" s="316">
        <v>56.24</v>
      </c>
      <c r="O11" s="66">
        <f t="shared" si="1"/>
        <v>69.900000000000006</v>
      </c>
      <c r="P11" s="70">
        <f t="shared" ref="P11:P29" si="7">IF(I11="","",(I11-O11))</f>
        <v>12.259999999999991</v>
      </c>
      <c r="Q11" s="307">
        <f t="shared" ref="Q11:Q18" si="8">Q10+1</f>
        <v>17</v>
      </c>
      <c r="R11" s="320">
        <v>382</v>
      </c>
      <c r="S11" s="320">
        <v>207</v>
      </c>
      <c r="T11" s="316"/>
      <c r="U11" s="322">
        <v>99.57</v>
      </c>
      <c r="V11" s="316">
        <v>0.04</v>
      </c>
      <c r="W11" s="316">
        <v>0.06</v>
      </c>
      <c r="X11" s="316" t="s">
        <v>285</v>
      </c>
      <c r="Y11" s="98">
        <v>0.29166666666666669</v>
      </c>
      <c r="Z11" s="316"/>
      <c r="AA11" s="316"/>
      <c r="AB11" s="326"/>
      <c r="AC11" s="1" t="s">
        <v>53</v>
      </c>
      <c r="AD11" s="1"/>
      <c r="AE11" s="1"/>
    </row>
    <row r="12" spans="1:31" s="10" customFormat="1" ht="15.6">
      <c r="A12" s="17">
        <f t="shared" ref="A12:A29" si="9">+A11+1</f>
        <v>3</v>
      </c>
      <c r="B12" s="307">
        <f t="shared" si="2"/>
        <v>18</v>
      </c>
      <c r="C12" s="308">
        <v>0.5</v>
      </c>
      <c r="D12" s="309">
        <v>8</v>
      </c>
      <c r="E12" s="61">
        <f t="shared" si="3"/>
        <v>3</v>
      </c>
      <c r="F12" s="422">
        <v>2100</v>
      </c>
      <c r="G12" s="426">
        <v>92.72</v>
      </c>
      <c r="H12" s="426">
        <v>77.36</v>
      </c>
      <c r="I12" s="66">
        <f t="shared" si="0"/>
        <v>83.43</v>
      </c>
      <c r="J12" s="69">
        <f t="shared" si="4"/>
        <v>44.208754208754236</v>
      </c>
      <c r="K12" s="78">
        <f t="shared" si="5"/>
        <v>89.34</v>
      </c>
      <c r="L12" s="80">
        <f t="shared" si="6"/>
        <v>1.5024200000000001</v>
      </c>
      <c r="M12" s="315">
        <v>83.3</v>
      </c>
      <c r="N12" s="316">
        <v>58.56</v>
      </c>
      <c r="O12" s="66">
        <f t="shared" ref="O12" si="10">IF(M12="","",ROUND(N12*100/M12,2))</f>
        <v>70.3</v>
      </c>
      <c r="P12" s="71">
        <f t="shared" si="7"/>
        <v>13.13000000000001</v>
      </c>
      <c r="Q12" s="307">
        <f t="shared" si="8"/>
        <v>18</v>
      </c>
      <c r="R12" s="320">
        <v>365</v>
      </c>
      <c r="S12" s="320">
        <v>408</v>
      </c>
      <c r="T12" s="316"/>
      <c r="U12" s="322">
        <v>99.07</v>
      </c>
      <c r="V12" s="316">
        <v>0.04</v>
      </c>
      <c r="W12" s="316">
        <v>0.09</v>
      </c>
      <c r="X12" s="316" t="s">
        <v>285</v>
      </c>
      <c r="Y12" s="98">
        <v>0.33333333333333331</v>
      </c>
      <c r="Z12" s="316"/>
      <c r="AA12" s="316"/>
      <c r="AB12" s="326"/>
      <c r="AC12" s="1"/>
      <c r="AD12" s="1"/>
      <c r="AE12" s="1"/>
    </row>
    <row r="13" spans="1:31" s="10" customFormat="1" ht="15.6">
      <c r="A13" s="17">
        <f t="shared" si="9"/>
        <v>4</v>
      </c>
      <c r="B13" s="307">
        <f t="shared" si="2"/>
        <v>19</v>
      </c>
      <c r="C13" s="308">
        <v>0.125</v>
      </c>
      <c r="D13" s="309">
        <v>8</v>
      </c>
      <c r="E13" s="61">
        <f t="shared" si="3"/>
        <v>3</v>
      </c>
      <c r="F13" s="422">
        <v>2100</v>
      </c>
      <c r="G13" s="426">
        <v>90.96</v>
      </c>
      <c r="H13" s="426">
        <v>76.8</v>
      </c>
      <c r="I13" s="66">
        <f t="shared" si="0"/>
        <v>84.43</v>
      </c>
      <c r="J13" s="69">
        <f t="shared" si="4"/>
        <v>47.202441505595132</v>
      </c>
      <c r="K13" s="78">
        <f t="shared" si="5"/>
        <v>88.6</v>
      </c>
      <c r="L13" s="80">
        <f t="shared" si="6"/>
        <v>1.4899199999999999</v>
      </c>
      <c r="M13" s="315">
        <v>81.180000000000007</v>
      </c>
      <c r="N13" s="316">
        <v>57.24</v>
      </c>
      <c r="O13" s="66">
        <f t="shared" si="1"/>
        <v>70.510000000000005</v>
      </c>
      <c r="P13" s="71">
        <f t="shared" si="7"/>
        <v>13.920000000000002</v>
      </c>
      <c r="Q13" s="307">
        <f t="shared" si="8"/>
        <v>19</v>
      </c>
      <c r="R13" s="320">
        <v>392</v>
      </c>
      <c r="S13" s="320">
        <v>414</v>
      </c>
      <c r="T13" s="316"/>
      <c r="U13" s="322">
        <v>99.68</v>
      </c>
      <c r="V13" s="316">
        <v>0.05</v>
      </c>
      <c r="W13" s="316">
        <v>7.0000000000000007E-2</v>
      </c>
      <c r="X13" s="316" t="s">
        <v>285</v>
      </c>
      <c r="Y13" s="98">
        <v>0.375</v>
      </c>
      <c r="Z13" s="316">
        <v>0.08</v>
      </c>
      <c r="AA13" s="316">
        <v>0.04</v>
      </c>
      <c r="AB13" s="326">
        <v>76</v>
      </c>
      <c r="AC13" s="1"/>
      <c r="AD13" s="1"/>
      <c r="AE13" s="1"/>
    </row>
    <row r="14" spans="1:31" s="10" customFormat="1" ht="15.6">
      <c r="A14" s="17">
        <f t="shared" si="9"/>
        <v>5</v>
      </c>
      <c r="B14" s="307">
        <f t="shared" si="2"/>
        <v>20</v>
      </c>
      <c r="C14" s="308">
        <v>0.20138888888888887</v>
      </c>
      <c r="D14" s="309">
        <v>6</v>
      </c>
      <c r="E14" s="61">
        <f t="shared" si="3"/>
        <v>4</v>
      </c>
      <c r="F14" s="422">
        <v>1200</v>
      </c>
      <c r="G14" s="426">
        <v>91.14</v>
      </c>
      <c r="H14" s="426">
        <v>77.239999999999995</v>
      </c>
      <c r="I14" s="66">
        <f t="shared" si="0"/>
        <v>84.75</v>
      </c>
      <c r="J14" s="69">
        <f t="shared" si="4"/>
        <v>44.077741107444069</v>
      </c>
      <c r="K14" s="78">
        <f t="shared" si="5"/>
        <v>50.67</v>
      </c>
      <c r="L14" s="80">
        <f>IF(G14="","",ROUND(1+0.003865*G14+0.000012912*G14^2+0.0000000643323*G14^3-0.00000000024661*G14^4,5))</f>
        <v>1.4912000000000001</v>
      </c>
      <c r="M14" s="315">
        <v>82.28</v>
      </c>
      <c r="N14" s="316">
        <v>59.84</v>
      </c>
      <c r="O14" s="66">
        <f t="shared" si="1"/>
        <v>72.73</v>
      </c>
      <c r="P14" s="71">
        <f t="shared" si="7"/>
        <v>12.019999999999996</v>
      </c>
      <c r="Q14" s="307">
        <f t="shared" si="8"/>
        <v>20</v>
      </c>
      <c r="R14" s="320">
        <v>330</v>
      </c>
      <c r="S14" s="320">
        <v>391</v>
      </c>
      <c r="T14" s="316"/>
      <c r="U14" s="322">
        <v>99.53</v>
      </c>
      <c r="V14" s="316">
        <v>0.04</v>
      </c>
      <c r="W14" s="316">
        <v>7.0000000000000007E-2</v>
      </c>
      <c r="X14" s="316" t="s">
        <v>285</v>
      </c>
      <c r="Y14" s="98">
        <v>0.41666666666666669</v>
      </c>
      <c r="Z14" s="316">
        <v>0.09</v>
      </c>
      <c r="AA14" s="316">
        <v>0.06</v>
      </c>
      <c r="AB14" s="326">
        <v>0.41</v>
      </c>
      <c r="AC14" s="1"/>
      <c r="AD14" s="1"/>
      <c r="AE14" s="1"/>
    </row>
    <row r="15" spans="1:31" s="10" customFormat="1" ht="15.6">
      <c r="A15" s="17">
        <f t="shared" si="9"/>
        <v>6</v>
      </c>
      <c r="B15" s="307">
        <f t="shared" si="2"/>
        <v>21</v>
      </c>
      <c r="C15" s="308">
        <v>0.27777777777777779</v>
      </c>
      <c r="D15" s="309">
        <v>8</v>
      </c>
      <c r="E15" s="61">
        <f t="shared" si="3"/>
        <v>3</v>
      </c>
      <c r="F15" s="422">
        <v>2100</v>
      </c>
      <c r="G15" s="426">
        <v>89.84</v>
      </c>
      <c r="H15" s="426">
        <v>75.48</v>
      </c>
      <c r="I15" s="66">
        <f t="shared" si="0"/>
        <v>84.02</v>
      </c>
      <c r="J15" s="69">
        <f t="shared" si="4"/>
        <v>46.980756469807552</v>
      </c>
      <c r="K15" s="78">
        <f t="shared" si="5"/>
        <v>88.13</v>
      </c>
      <c r="L15" s="80">
        <f t="shared" si="6"/>
        <v>1.48203</v>
      </c>
      <c r="M15" s="315">
        <v>81.36</v>
      </c>
      <c r="N15" s="316">
        <v>56.84</v>
      </c>
      <c r="O15" s="66">
        <f t="shared" si="1"/>
        <v>69.86</v>
      </c>
      <c r="P15" s="71">
        <f t="shared" si="7"/>
        <v>14.159999999999997</v>
      </c>
      <c r="Q15" s="307">
        <f t="shared" si="8"/>
        <v>21</v>
      </c>
      <c r="R15" s="320">
        <v>340</v>
      </c>
      <c r="S15" s="320">
        <v>357</v>
      </c>
      <c r="T15" s="316"/>
      <c r="U15" s="322">
        <v>99.62</v>
      </c>
      <c r="V15" s="316">
        <v>0.05</v>
      </c>
      <c r="W15" s="316">
        <v>7.0000000000000007E-2</v>
      </c>
      <c r="X15" s="316" t="s">
        <v>285</v>
      </c>
      <c r="Y15" s="98">
        <v>0.45833333333333331</v>
      </c>
      <c r="Z15" s="316"/>
      <c r="AA15" s="316"/>
      <c r="AB15" s="326"/>
      <c r="AC15" s="1"/>
      <c r="AD15" s="1"/>
      <c r="AE15" s="1"/>
    </row>
    <row r="16" spans="1:31" s="10" customFormat="1" ht="15.6">
      <c r="A16" s="17">
        <f t="shared" si="9"/>
        <v>7</v>
      </c>
      <c r="B16" s="307">
        <f t="shared" si="2"/>
        <v>22</v>
      </c>
      <c r="C16" s="308">
        <v>0.39930555555555558</v>
      </c>
      <c r="D16" s="309">
        <v>6</v>
      </c>
      <c r="E16" s="61">
        <f t="shared" si="3"/>
        <v>4</v>
      </c>
      <c r="F16" s="422">
        <v>1000</v>
      </c>
      <c r="G16" s="426">
        <v>93.18</v>
      </c>
      <c r="H16" s="426">
        <v>79.84</v>
      </c>
      <c r="I16" s="66">
        <f t="shared" si="0"/>
        <v>85.68</v>
      </c>
      <c r="J16" s="69">
        <f t="shared" si="4"/>
        <v>48.265895953757266</v>
      </c>
      <c r="K16" s="78">
        <f t="shared" si="5"/>
        <v>42.64</v>
      </c>
      <c r="L16" s="80">
        <f t="shared" si="6"/>
        <v>1.5057100000000001</v>
      </c>
      <c r="M16" s="315">
        <v>81.08</v>
      </c>
      <c r="N16" s="316">
        <v>58.64</v>
      </c>
      <c r="O16" s="66">
        <f t="shared" si="1"/>
        <v>72.319999999999993</v>
      </c>
      <c r="P16" s="71">
        <f t="shared" si="7"/>
        <v>13.360000000000014</v>
      </c>
      <c r="Q16" s="307">
        <f t="shared" si="8"/>
        <v>22</v>
      </c>
      <c r="R16" s="320">
        <v>254</v>
      </c>
      <c r="S16" s="320">
        <v>405</v>
      </c>
      <c r="T16" s="316"/>
      <c r="U16" s="322">
        <v>99.65</v>
      </c>
      <c r="V16" s="316">
        <v>0.04</v>
      </c>
      <c r="W16" s="316">
        <v>0.15</v>
      </c>
      <c r="X16" s="316" t="s">
        <v>285</v>
      </c>
      <c r="Y16" s="98">
        <v>0.5</v>
      </c>
      <c r="Z16" s="316"/>
      <c r="AA16" s="316"/>
      <c r="AB16" s="326"/>
      <c r="AC16" s="1"/>
      <c r="AD16" s="1"/>
      <c r="AE16" s="1"/>
    </row>
    <row r="17" spans="1:31" s="10" customFormat="1" ht="15.6">
      <c r="A17" s="17">
        <f t="shared" si="9"/>
        <v>8</v>
      </c>
      <c r="B17" s="307">
        <f t="shared" si="2"/>
        <v>23</v>
      </c>
      <c r="C17" s="308">
        <v>0.40972222222222227</v>
      </c>
      <c r="D17" s="309">
        <v>8</v>
      </c>
      <c r="E17" s="61">
        <f t="shared" si="3"/>
        <v>3</v>
      </c>
      <c r="F17" s="422">
        <v>2100</v>
      </c>
      <c r="G17" s="426">
        <v>91.52</v>
      </c>
      <c r="H17" s="426">
        <v>78.040000000000006</v>
      </c>
      <c r="I17" s="66">
        <f t="shared" si="0"/>
        <v>85.27</v>
      </c>
      <c r="J17" s="69">
        <f t="shared" si="4"/>
        <v>50.570469798657697</v>
      </c>
      <c r="K17" s="78">
        <f t="shared" si="5"/>
        <v>88.83</v>
      </c>
      <c r="L17" s="80">
        <f t="shared" si="6"/>
        <v>1.4938899999999999</v>
      </c>
      <c r="M17" s="315">
        <v>74.760000000000005</v>
      </c>
      <c r="N17" s="316">
        <v>52.48</v>
      </c>
      <c r="O17" s="66">
        <f t="shared" si="1"/>
        <v>70.2</v>
      </c>
      <c r="P17" s="71">
        <f t="shared" si="7"/>
        <v>15.069999999999993</v>
      </c>
      <c r="Q17" s="307">
        <f t="shared" si="8"/>
        <v>23</v>
      </c>
      <c r="R17" s="320">
        <v>375</v>
      </c>
      <c r="S17" s="320">
        <v>469</v>
      </c>
      <c r="T17" s="316"/>
      <c r="U17" s="322">
        <v>99.52</v>
      </c>
      <c r="V17" s="316">
        <v>0.04</v>
      </c>
      <c r="W17" s="316">
        <v>0.31</v>
      </c>
      <c r="X17" s="316" t="s">
        <v>285</v>
      </c>
      <c r="Y17" s="98">
        <v>0.54166666666666663</v>
      </c>
      <c r="Z17" s="316"/>
      <c r="AA17" s="316"/>
      <c r="AB17" s="326"/>
      <c r="AC17" s="1"/>
      <c r="AD17" s="1"/>
      <c r="AE17" s="1"/>
    </row>
    <row r="18" spans="1:31" s="10" customFormat="1" ht="15.6">
      <c r="A18" s="17">
        <f t="shared" si="9"/>
        <v>9</v>
      </c>
      <c r="B18" s="307">
        <f t="shared" si="2"/>
        <v>24</v>
      </c>
      <c r="C18" s="308">
        <v>6.9444444444444434E-2</v>
      </c>
      <c r="D18" s="309">
        <v>8</v>
      </c>
      <c r="E18" s="61">
        <f t="shared" si="3"/>
        <v>3</v>
      </c>
      <c r="F18" s="422">
        <v>2100</v>
      </c>
      <c r="G18" s="426">
        <v>92.86</v>
      </c>
      <c r="H18" s="426">
        <v>78.599999999999994</v>
      </c>
      <c r="I18" s="66">
        <f t="shared" si="0"/>
        <v>84.64</v>
      </c>
      <c r="J18" s="69">
        <f t="shared" si="4"/>
        <v>45.685997171145694</v>
      </c>
      <c r="K18" s="78">
        <f t="shared" si="5"/>
        <v>89.4</v>
      </c>
      <c r="L18" s="80">
        <f t="shared" si="6"/>
        <v>1.50342</v>
      </c>
      <c r="M18" s="315">
        <v>79.7</v>
      </c>
      <c r="N18" s="316">
        <v>57.16</v>
      </c>
      <c r="O18" s="66">
        <f t="shared" si="1"/>
        <v>71.72</v>
      </c>
      <c r="P18" s="71">
        <f t="shared" si="7"/>
        <v>12.920000000000002</v>
      </c>
      <c r="Q18" s="307">
        <f t="shared" si="8"/>
        <v>24</v>
      </c>
      <c r="R18" s="320">
        <v>320</v>
      </c>
      <c r="S18" s="320">
        <v>340</v>
      </c>
      <c r="T18" s="316"/>
      <c r="U18" s="322">
        <v>99.51</v>
      </c>
      <c r="V18" s="316">
        <v>0.04</v>
      </c>
      <c r="W18" s="316">
        <v>0.26</v>
      </c>
      <c r="X18" s="316" t="s">
        <v>285</v>
      </c>
      <c r="Y18" s="98">
        <v>0.58333333333333337</v>
      </c>
      <c r="Z18" s="316"/>
      <c r="AA18" s="316"/>
      <c r="AB18" s="326"/>
      <c r="AC18" s="1"/>
      <c r="AD18" s="1"/>
      <c r="AE18" s="1"/>
    </row>
    <row r="19" spans="1:31" s="10" customFormat="1" ht="15.6">
      <c r="A19" s="17">
        <f t="shared" si="9"/>
        <v>10</v>
      </c>
      <c r="B19" s="307">
        <v>25</v>
      </c>
      <c r="C19" s="308">
        <v>0.15972222222222224</v>
      </c>
      <c r="D19" s="309">
        <v>6</v>
      </c>
      <c r="E19" s="61">
        <f t="shared" si="3"/>
        <v>4</v>
      </c>
      <c r="F19" s="422">
        <v>1000</v>
      </c>
      <c r="G19" s="426">
        <v>92.72</v>
      </c>
      <c r="H19" s="426">
        <v>78.8</v>
      </c>
      <c r="I19" s="66">
        <f t="shared" si="0"/>
        <v>84.99</v>
      </c>
      <c r="J19" s="69">
        <f t="shared" si="4"/>
        <v>53.872157344806382</v>
      </c>
      <c r="K19" s="78">
        <f t="shared" si="5"/>
        <v>42.54</v>
      </c>
      <c r="L19" s="80">
        <f t="shared" si="6"/>
        <v>1.5024200000000001</v>
      </c>
      <c r="M19" s="315">
        <v>82.12</v>
      </c>
      <c r="N19" s="316">
        <v>55.4</v>
      </c>
      <c r="O19" s="66">
        <f t="shared" si="1"/>
        <v>67.459999999999994</v>
      </c>
      <c r="P19" s="71">
        <f t="shared" si="7"/>
        <v>17.53</v>
      </c>
      <c r="Q19" s="307">
        <v>25</v>
      </c>
      <c r="R19" s="316">
        <v>306</v>
      </c>
      <c r="S19" s="309">
        <v>239</v>
      </c>
      <c r="T19" s="309"/>
      <c r="U19" s="322">
        <v>99.55</v>
      </c>
      <c r="V19" s="316">
        <v>0.04</v>
      </c>
      <c r="W19" s="316">
        <v>0.2</v>
      </c>
      <c r="X19" s="316" t="s">
        <v>285</v>
      </c>
      <c r="Y19" s="98">
        <v>0.625</v>
      </c>
      <c r="Z19" s="316"/>
      <c r="AA19" s="316"/>
      <c r="AB19" s="326"/>
      <c r="AC19" s="1"/>
      <c r="AD19" s="1"/>
      <c r="AE19" s="1"/>
    </row>
    <row r="20" spans="1:31" s="10" customFormat="1" ht="15.6">
      <c r="A20" s="17">
        <f t="shared" si="9"/>
        <v>11</v>
      </c>
      <c r="B20" s="307"/>
      <c r="C20" s="308"/>
      <c r="D20" s="309"/>
      <c r="E20" s="61" t="str">
        <f t="shared" si="3"/>
        <v/>
      </c>
      <c r="F20" s="422"/>
      <c r="G20" s="426"/>
      <c r="H20" s="426"/>
      <c r="I20" s="66" t="str">
        <f t="shared" si="0"/>
        <v/>
      </c>
      <c r="J20" s="69" t="str">
        <f t="shared" si="4"/>
        <v/>
      </c>
      <c r="K20" s="78" t="str">
        <f t="shared" si="5"/>
        <v/>
      </c>
      <c r="L20" s="80" t="str">
        <f t="shared" si="6"/>
        <v/>
      </c>
      <c r="M20" s="315"/>
      <c r="N20" s="316"/>
      <c r="O20" s="66" t="str">
        <f t="shared" si="1"/>
        <v/>
      </c>
      <c r="P20" s="71" t="str">
        <f t="shared" si="7"/>
        <v/>
      </c>
      <c r="Q20" s="307"/>
      <c r="R20" s="308"/>
      <c r="S20" s="309"/>
      <c r="T20" s="309"/>
      <c r="U20" s="323"/>
      <c r="V20" s="316"/>
      <c r="W20" s="316"/>
      <c r="X20" s="316"/>
      <c r="Y20" s="98">
        <v>0.66666666666666663</v>
      </c>
      <c r="Z20" s="316"/>
      <c r="AA20" s="316"/>
      <c r="AB20" s="326"/>
      <c r="AC20" s="1"/>
      <c r="AD20" s="1"/>
      <c r="AE20" s="1"/>
    </row>
    <row r="21" spans="1:31" s="10" customFormat="1" ht="15.6">
      <c r="A21" s="17">
        <f t="shared" si="9"/>
        <v>12</v>
      </c>
      <c r="B21" s="307"/>
      <c r="C21" s="308"/>
      <c r="D21" s="309"/>
      <c r="E21" s="61" t="str">
        <f t="shared" si="3"/>
        <v/>
      </c>
      <c r="F21" s="422"/>
      <c r="G21" s="426"/>
      <c r="H21" s="426"/>
      <c r="I21" s="66" t="str">
        <f t="shared" si="0"/>
        <v/>
      </c>
      <c r="J21" s="69" t="str">
        <f t="shared" si="4"/>
        <v/>
      </c>
      <c r="K21" s="78" t="str">
        <f t="shared" si="5"/>
        <v/>
      </c>
      <c r="L21" s="80" t="str">
        <f t="shared" si="6"/>
        <v/>
      </c>
      <c r="M21" s="315"/>
      <c r="N21" s="316"/>
      <c r="O21" s="66" t="str">
        <f t="shared" si="1"/>
        <v/>
      </c>
      <c r="P21" s="71" t="str">
        <f t="shared" si="7"/>
        <v/>
      </c>
      <c r="Q21" s="307"/>
      <c r="R21" s="308"/>
      <c r="S21" s="309"/>
      <c r="T21" s="309"/>
      <c r="U21" s="323"/>
      <c r="V21" s="316"/>
      <c r="W21" s="316"/>
      <c r="X21" s="316"/>
      <c r="Y21" s="98">
        <v>0.70833333333333337</v>
      </c>
      <c r="Z21" s="316"/>
      <c r="AA21" s="316"/>
      <c r="AB21" s="326"/>
      <c r="AC21" s="1"/>
      <c r="AD21" s="1"/>
      <c r="AE21" s="1"/>
    </row>
    <row r="22" spans="1:31" s="10" customFormat="1" ht="15.6">
      <c r="A22" s="17">
        <f t="shared" si="9"/>
        <v>13</v>
      </c>
      <c r="B22" s="307"/>
      <c r="C22" s="308"/>
      <c r="D22" s="309"/>
      <c r="E22" s="61" t="str">
        <f t="shared" si="3"/>
        <v/>
      </c>
      <c r="F22" s="423"/>
      <c r="G22" s="322"/>
      <c r="H22" s="427"/>
      <c r="I22" s="66" t="str">
        <f t="shared" si="0"/>
        <v/>
      </c>
      <c r="J22" s="69" t="str">
        <f t="shared" si="4"/>
        <v/>
      </c>
      <c r="K22" s="78" t="str">
        <f t="shared" si="5"/>
        <v/>
      </c>
      <c r="L22" s="80" t="str">
        <f t="shared" si="6"/>
        <v/>
      </c>
      <c r="M22" s="315"/>
      <c r="N22" s="316"/>
      <c r="O22" s="66" t="str">
        <f t="shared" si="1"/>
        <v/>
      </c>
      <c r="P22" s="71" t="str">
        <f t="shared" si="7"/>
        <v/>
      </c>
      <c r="Q22" s="307"/>
      <c r="R22" s="308"/>
      <c r="S22" s="309"/>
      <c r="T22" s="309"/>
      <c r="U22" s="280"/>
      <c r="V22" s="322"/>
      <c r="W22" s="324"/>
      <c r="X22" s="324"/>
      <c r="Y22" s="98">
        <v>0.75</v>
      </c>
      <c r="Z22" s="316"/>
      <c r="AA22" s="316"/>
      <c r="AB22" s="326"/>
      <c r="AC22" s="1"/>
      <c r="AD22" s="1"/>
      <c r="AE22" s="1"/>
    </row>
    <row r="23" spans="1:31" s="10" customFormat="1" ht="15.6">
      <c r="A23" s="17">
        <f t="shared" si="9"/>
        <v>14</v>
      </c>
      <c r="B23" s="307"/>
      <c r="C23" s="308"/>
      <c r="D23" s="309"/>
      <c r="E23" s="61" t="str">
        <f t="shared" si="3"/>
        <v/>
      </c>
      <c r="F23" s="423"/>
      <c r="G23" s="426"/>
      <c r="H23" s="426"/>
      <c r="I23" s="66" t="str">
        <f t="shared" si="0"/>
        <v/>
      </c>
      <c r="J23" s="69" t="str">
        <f t="shared" si="4"/>
        <v/>
      </c>
      <c r="K23" s="78" t="str">
        <f t="shared" si="5"/>
        <v/>
      </c>
      <c r="L23" s="80" t="str">
        <f t="shared" si="6"/>
        <v/>
      </c>
      <c r="M23" s="315"/>
      <c r="N23" s="316"/>
      <c r="O23" s="66" t="str">
        <f t="shared" si="1"/>
        <v/>
      </c>
      <c r="P23" s="71" t="str">
        <f t="shared" si="7"/>
        <v/>
      </c>
      <c r="Q23" s="307"/>
      <c r="R23" s="308"/>
      <c r="S23" s="309"/>
      <c r="T23" s="309"/>
      <c r="U23" s="280"/>
      <c r="V23" s="316"/>
      <c r="W23" s="316"/>
      <c r="X23" s="316"/>
      <c r="Y23" s="98">
        <v>0.79166666666666663</v>
      </c>
      <c r="Z23" s="316"/>
      <c r="AA23" s="316"/>
      <c r="AB23" s="326"/>
      <c r="AC23" s="1"/>
      <c r="AD23" s="1"/>
      <c r="AE23" s="1"/>
    </row>
    <row r="24" spans="1:31" s="10" customFormat="1" ht="15.6">
      <c r="A24" s="17">
        <f t="shared" si="9"/>
        <v>15</v>
      </c>
      <c r="B24" s="307"/>
      <c r="C24" s="308"/>
      <c r="D24" s="309"/>
      <c r="E24" s="61" t="str">
        <f t="shared" si="3"/>
        <v/>
      </c>
      <c r="F24" s="423"/>
      <c r="G24" s="426"/>
      <c r="H24" s="426"/>
      <c r="I24" s="66" t="str">
        <f t="shared" si="0"/>
        <v/>
      </c>
      <c r="J24" s="69" t="str">
        <f t="shared" si="4"/>
        <v/>
      </c>
      <c r="K24" s="78" t="str">
        <f t="shared" si="5"/>
        <v/>
      </c>
      <c r="L24" s="80" t="str">
        <f t="shared" si="6"/>
        <v/>
      </c>
      <c r="M24" s="315"/>
      <c r="N24" s="316"/>
      <c r="O24" s="66" t="str">
        <f t="shared" si="1"/>
        <v/>
      </c>
      <c r="P24" s="71" t="str">
        <f t="shared" si="7"/>
        <v/>
      </c>
      <c r="Q24" s="307"/>
      <c r="R24" s="308"/>
      <c r="S24" s="309"/>
      <c r="T24" s="309"/>
      <c r="U24" s="280"/>
      <c r="V24" s="316"/>
      <c r="W24" s="316"/>
      <c r="X24" s="316"/>
      <c r="Y24" s="98">
        <v>0.83333333333333337</v>
      </c>
      <c r="Z24" s="316"/>
      <c r="AA24" s="316"/>
      <c r="AB24" s="326"/>
      <c r="AC24" s="1"/>
      <c r="AD24" s="1"/>
      <c r="AE24" s="1"/>
    </row>
    <row r="25" spans="1:31" s="10" customFormat="1" ht="15.6">
      <c r="A25" s="17">
        <f t="shared" si="9"/>
        <v>16</v>
      </c>
      <c r="B25" s="307"/>
      <c r="C25" s="308"/>
      <c r="D25" s="309"/>
      <c r="E25" s="61" t="str">
        <f t="shared" si="3"/>
        <v/>
      </c>
      <c r="F25" s="423"/>
      <c r="G25" s="426"/>
      <c r="H25" s="426"/>
      <c r="I25" s="66" t="str">
        <f t="shared" si="0"/>
        <v/>
      </c>
      <c r="J25" s="69" t="str">
        <f t="shared" si="4"/>
        <v/>
      </c>
      <c r="K25" s="78" t="str">
        <f t="shared" si="5"/>
        <v/>
      </c>
      <c r="L25" s="80" t="str">
        <f t="shared" si="6"/>
        <v/>
      </c>
      <c r="M25" s="315"/>
      <c r="N25" s="316"/>
      <c r="O25" s="66" t="str">
        <f t="shared" si="1"/>
        <v/>
      </c>
      <c r="P25" s="71" t="str">
        <f t="shared" si="7"/>
        <v/>
      </c>
      <c r="Q25" s="307"/>
      <c r="R25" s="308"/>
      <c r="S25" s="309"/>
      <c r="T25" s="280"/>
      <c r="U25" s="280"/>
      <c r="V25" s="316"/>
      <c r="W25" s="316"/>
      <c r="X25" s="316"/>
      <c r="Y25" s="98">
        <v>0.875</v>
      </c>
      <c r="Z25" s="316"/>
      <c r="AA25" s="316"/>
      <c r="AB25" s="326"/>
      <c r="AC25" s="1"/>
      <c r="AD25" s="1"/>
      <c r="AE25" s="1"/>
    </row>
    <row r="26" spans="1:31" s="10" customFormat="1" ht="15.6">
      <c r="A26" s="17">
        <f t="shared" si="9"/>
        <v>17</v>
      </c>
      <c r="B26" s="307"/>
      <c r="C26" s="308"/>
      <c r="D26" s="309"/>
      <c r="E26" s="61" t="str">
        <f t="shared" si="3"/>
        <v/>
      </c>
      <c r="F26" s="423"/>
      <c r="G26" s="426"/>
      <c r="H26" s="426"/>
      <c r="I26" s="66" t="str">
        <f t="shared" si="0"/>
        <v/>
      </c>
      <c r="J26" s="69" t="str">
        <f t="shared" si="4"/>
        <v/>
      </c>
      <c r="K26" s="78" t="str">
        <f t="shared" si="5"/>
        <v/>
      </c>
      <c r="L26" s="80" t="str">
        <f t="shared" si="6"/>
        <v/>
      </c>
      <c r="M26" s="315"/>
      <c r="N26" s="316"/>
      <c r="O26" s="66" t="str">
        <f t="shared" si="1"/>
        <v/>
      </c>
      <c r="P26" s="71" t="str">
        <f t="shared" si="7"/>
        <v/>
      </c>
      <c r="Q26" s="307"/>
      <c r="R26" s="308"/>
      <c r="S26" s="309"/>
      <c r="T26" s="280"/>
      <c r="U26" s="280"/>
      <c r="V26" s="316"/>
      <c r="W26" s="316"/>
      <c r="X26" s="316"/>
      <c r="Y26" s="98">
        <v>0.91666666666666663</v>
      </c>
      <c r="Z26" s="316">
        <v>0.02</v>
      </c>
      <c r="AA26" s="316">
        <v>0.03</v>
      </c>
      <c r="AB26" s="326">
        <v>0.22</v>
      </c>
      <c r="AC26" s="1"/>
      <c r="AD26" s="1"/>
      <c r="AE26" s="1"/>
    </row>
    <row r="27" spans="1:31" s="10" customFormat="1" ht="15.6">
      <c r="A27" s="17">
        <f t="shared" si="9"/>
        <v>18</v>
      </c>
      <c r="B27" s="307"/>
      <c r="C27" s="308"/>
      <c r="D27" s="309"/>
      <c r="E27" s="61" t="str">
        <f t="shared" si="3"/>
        <v/>
      </c>
      <c r="F27" s="423"/>
      <c r="G27" s="426"/>
      <c r="H27" s="426"/>
      <c r="I27" s="66" t="str">
        <f t="shared" si="0"/>
        <v/>
      </c>
      <c r="J27" s="69" t="str">
        <f t="shared" si="4"/>
        <v/>
      </c>
      <c r="K27" s="78" t="str">
        <f t="shared" si="5"/>
        <v/>
      </c>
      <c r="L27" s="80" t="str">
        <f t="shared" si="6"/>
        <v/>
      </c>
      <c r="M27" s="315"/>
      <c r="N27" s="316"/>
      <c r="O27" s="66" t="str">
        <f t="shared" si="1"/>
        <v/>
      </c>
      <c r="P27" s="71" t="str">
        <f t="shared" si="7"/>
        <v/>
      </c>
      <c r="Q27" s="307"/>
      <c r="R27" s="308"/>
      <c r="S27" s="309"/>
      <c r="T27" s="280"/>
      <c r="U27" s="280"/>
      <c r="V27" s="316"/>
      <c r="W27" s="316"/>
      <c r="X27" s="316"/>
      <c r="Y27" s="98">
        <v>0.95833333333333337</v>
      </c>
      <c r="Z27" s="316">
        <v>0.06</v>
      </c>
      <c r="AA27" s="316">
        <v>0.04</v>
      </c>
      <c r="AB27" s="326">
        <v>0.45</v>
      </c>
      <c r="AC27" s="1"/>
      <c r="AD27" s="1"/>
      <c r="AE27" s="1"/>
    </row>
    <row r="28" spans="1:31" s="10" customFormat="1" ht="15.6">
      <c r="A28" s="17">
        <f t="shared" si="9"/>
        <v>19</v>
      </c>
      <c r="B28" s="307"/>
      <c r="C28" s="308"/>
      <c r="D28" s="309"/>
      <c r="E28" s="61" t="str">
        <f t="shared" si="3"/>
        <v/>
      </c>
      <c r="F28" s="423"/>
      <c r="G28" s="426"/>
      <c r="H28" s="426"/>
      <c r="I28" s="66" t="str">
        <f t="shared" si="0"/>
        <v/>
      </c>
      <c r="J28" s="69" t="str">
        <f t="shared" si="4"/>
        <v/>
      </c>
      <c r="K28" s="78" t="str">
        <f t="shared" si="5"/>
        <v/>
      </c>
      <c r="L28" s="80" t="str">
        <f t="shared" si="6"/>
        <v/>
      </c>
      <c r="M28" s="315"/>
      <c r="N28" s="316"/>
      <c r="O28" s="66" t="str">
        <f t="shared" si="1"/>
        <v/>
      </c>
      <c r="P28" s="71" t="str">
        <f t="shared" si="7"/>
        <v/>
      </c>
      <c r="Q28" s="307"/>
      <c r="R28" s="308"/>
      <c r="S28" s="309"/>
      <c r="T28" s="280"/>
      <c r="U28" s="280"/>
      <c r="V28" s="316"/>
      <c r="W28" s="316"/>
      <c r="X28" s="316"/>
      <c r="Y28" s="98">
        <v>1</v>
      </c>
      <c r="Z28" s="316" t="s">
        <v>290</v>
      </c>
      <c r="AA28" s="316">
        <v>0.04</v>
      </c>
      <c r="AB28" s="326">
        <v>0.19</v>
      </c>
      <c r="AC28" s="1"/>
      <c r="AD28" s="1"/>
      <c r="AE28" s="1"/>
    </row>
    <row r="29" spans="1:31" s="10" customFormat="1" ht="16.2" thickBot="1">
      <c r="A29" s="17">
        <f t="shared" si="9"/>
        <v>20</v>
      </c>
      <c r="B29" s="310"/>
      <c r="C29" s="311"/>
      <c r="D29" s="312"/>
      <c r="E29" s="61" t="str">
        <f t="shared" si="3"/>
        <v/>
      </c>
      <c r="F29" s="424"/>
      <c r="G29" s="428"/>
      <c r="H29" s="428"/>
      <c r="I29" s="66" t="str">
        <f t="shared" si="0"/>
        <v/>
      </c>
      <c r="J29" s="230" t="str">
        <f t="shared" si="4"/>
        <v/>
      </c>
      <c r="K29" s="78" t="str">
        <f t="shared" si="5"/>
        <v/>
      </c>
      <c r="L29" s="231" t="str">
        <f t="shared" si="6"/>
        <v/>
      </c>
      <c r="M29" s="317"/>
      <c r="N29" s="318"/>
      <c r="O29" s="66" t="str">
        <f t="shared" si="1"/>
        <v/>
      </c>
      <c r="P29" s="232" t="str">
        <f t="shared" si="7"/>
        <v/>
      </c>
      <c r="Q29" s="310"/>
      <c r="R29" s="311"/>
      <c r="S29" s="312"/>
      <c r="T29" s="281"/>
      <c r="U29" s="281"/>
      <c r="V29" s="318"/>
      <c r="W29" s="318"/>
      <c r="X29" s="318"/>
      <c r="Y29" s="98">
        <v>4.1666666666666664E-2</v>
      </c>
      <c r="Z29" s="316"/>
      <c r="AA29" s="316"/>
      <c r="AB29" s="326"/>
      <c r="AC29" s="1"/>
      <c r="AD29" s="1"/>
      <c r="AE29" s="1"/>
    </row>
    <row r="30" spans="1:31" s="10" customFormat="1" ht="19.649999999999999" customHeight="1" thickBot="1">
      <c r="B30" s="89" t="s">
        <v>10</v>
      </c>
      <c r="C30" s="90"/>
      <c r="D30" s="81">
        <f>COUNT(D10:D29)</f>
        <v>10</v>
      </c>
      <c r="E30" s="331"/>
      <c r="F30" s="82">
        <f>IF(SUM(F10:F29)=0,0,ROUND(SUM(F10:F29),2))</f>
        <v>16900</v>
      </c>
      <c r="G30" s="83">
        <f>IF(SUM(G10:G29)=0,0,ROUND(AVERAGE(G10:G29),2))</f>
        <v>91.78</v>
      </c>
      <c r="H30" s="83">
        <f>IF(SUM(H10:H29)=0,0,ROUND(AVERAGE(H10:H29),2))</f>
        <v>77.12</v>
      </c>
      <c r="I30" s="88">
        <f>IF(G30=0,0,ROUND(H30*100/G30,2))</f>
        <v>84.03</v>
      </c>
      <c r="J30" s="85">
        <f>IF(O30=0,0,(I30-O30)/(100-O30)%)</f>
        <v>46.265141318977122</v>
      </c>
      <c r="K30" s="86">
        <f>SUM(K10:K29)</f>
        <v>715.43</v>
      </c>
      <c r="L30" s="332">
        <f>K30/(F30*0.3048^3)</f>
        <v>1.4949805924588506</v>
      </c>
      <c r="M30" s="83">
        <f>IF(SUM(M10:M29)=0,0,ROUND(AVERAGE(M10:M29),2))</f>
        <v>80.66</v>
      </c>
      <c r="N30" s="83">
        <f>IF(SUM(N10:N29)=0,0,ROUND(AVERAGE(N10:N29),2))</f>
        <v>56.69</v>
      </c>
      <c r="O30" s="84">
        <f>IF(M30=0,0,ROUND(N30*100/M30,2))</f>
        <v>70.28</v>
      </c>
      <c r="P30" s="91">
        <f>(I30-O30)</f>
        <v>13.75</v>
      </c>
      <c r="Q30" s="89" t="s">
        <v>10</v>
      </c>
      <c r="R30" s="96">
        <f>IF(SUM(R10:R29)=0,0,ROUND(AVERAGE(R10:R29),0))</f>
        <v>353</v>
      </c>
      <c r="S30" s="96">
        <f>IF(SUM(S10:S29)=0,0,ROUND(AVERAGE(S10:S29),0))</f>
        <v>365</v>
      </c>
      <c r="T30" s="83">
        <f t="shared" ref="T30:U30" si="11">IF(SUM(T10:T29)=0,0,ROUND(AVERAGE(T10:T29),2))</f>
        <v>0</v>
      </c>
      <c r="U30" s="83">
        <f t="shared" si="11"/>
        <v>99.52</v>
      </c>
      <c r="V30" s="83">
        <f>IF(SUM(V10:V29)=0,0,ROUND(AVERAGE(V10:V29),2))</f>
        <v>0.04</v>
      </c>
      <c r="W30" s="83">
        <f>IF(SUM(W10:W29)=0,0,ROUND(AVERAGE(W10:W29),2))</f>
        <v>0.14000000000000001</v>
      </c>
      <c r="X30" s="83"/>
      <c r="Y30" s="98">
        <v>8.3333333333333329E-2</v>
      </c>
      <c r="Z30" s="316">
        <v>0.03</v>
      </c>
      <c r="AA30" s="280">
        <v>0.03</v>
      </c>
      <c r="AB30" s="327">
        <v>0.95</v>
      </c>
      <c r="AC30" s="1"/>
      <c r="AD30" s="1"/>
      <c r="AE30" s="1"/>
    </row>
    <row r="31" spans="1:31" ht="14.4" customHeight="1" thickBot="1">
      <c r="Y31" s="98">
        <v>0.125</v>
      </c>
      <c r="Z31" s="316">
        <v>0.06</v>
      </c>
      <c r="AA31" s="280">
        <v>0.05</v>
      </c>
      <c r="AB31" s="327">
        <v>0.56000000000000005</v>
      </c>
    </row>
    <row r="32" spans="1:31" ht="16.350000000000001" customHeight="1" thickBot="1">
      <c r="A32" s="62"/>
      <c r="B32" s="465" t="s">
        <v>37</v>
      </c>
      <c r="C32" s="466"/>
      <c r="D32" s="466"/>
      <c r="E32" s="466"/>
      <c r="F32" s="466"/>
      <c r="G32" s="466"/>
      <c r="H32" s="466"/>
      <c r="I32" s="466"/>
      <c r="J32" s="466"/>
      <c r="K32" s="466"/>
      <c r="L32" s="467"/>
      <c r="M32" s="465" t="s">
        <v>38</v>
      </c>
      <c r="N32" s="466"/>
      <c r="O32" s="466"/>
      <c r="P32" s="467"/>
      <c r="R32" s="465" t="s">
        <v>41</v>
      </c>
      <c r="S32" s="466"/>
      <c r="T32" s="466"/>
      <c r="U32" s="467"/>
      <c r="Y32" s="98">
        <v>0.16666666666666666</v>
      </c>
      <c r="Z32" s="316"/>
      <c r="AA32" s="280"/>
      <c r="AB32" s="327"/>
    </row>
    <row r="33" spans="1:29" ht="28.2" thickBot="1">
      <c r="A33" s="63"/>
      <c r="B33" s="74" t="s">
        <v>6</v>
      </c>
      <c r="C33" s="60" t="s">
        <v>2</v>
      </c>
      <c r="D33" s="60" t="s">
        <v>7</v>
      </c>
      <c r="E33" s="60" t="s">
        <v>28</v>
      </c>
      <c r="F33" s="60" t="s">
        <v>29</v>
      </c>
      <c r="G33" s="60" t="s">
        <v>3</v>
      </c>
      <c r="H33" s="60" t="s">
        <v>33</v>
      </c>
      <c r="I33" s="60" t="s">
        <v>5</v>
      </c>
      <c r="J33" s="60" t="s">
        <v>32</v>
      </c>
      <c r="K33" s="75" t="s">
        <v>31</v>
      </c>
      <c r="L33" s="76" t="s">
        <v>36</v>
      </c>
      <c r="M33" s="72" t="s">
        <v>3</v>
      </c>
      <c r="N33" s="59" t="s">
        <v>33</v>
      </c>
      <c r="O33" s="59" t="s">
        <v>30</v>
      </c>
      <c r="P33" s="73" t="s">
        <v>34</v>
      </c>
      <c r="Q33" s="455" t="s">
        <v>45</v>
      </c>
      <c r="R33" s="60" t="s">
        <v>2</v>
      </c>
      <c r="S33" s="72" t="s">
        <v>3</v>
      </c>
      <c r="T33" s="59" t="s">
        <v>33</v>
      </c>
      <c r="U33" s="59" t="s">
        <v>42</v>
      </c>
      <c r="Y33" s="99">
        <v>0.20833333333333334</v>
      </c>
      <c r="Z33" s="316"/>
      <c r="AA33" s="280"/>
      <c r="AB33" s="327"/>
    </row>
    <row r="34" spans="1:29" ht="16.2" thickBot="1">
      <c r="A34" s="17">
        <v>1</v>
      </c>
      <c r="B34" s="304">
        <v>8</v>
      </c>
      <c r="C34" s="305">
        <v>0.30208333333333331</v>
      </c>
      <c r="D34" s="306">
        <v>9</v>
      </c>
      <c r="E34" s="64">
        <v>6</v>
      </c>
      <c r="F34" s="329">
        <v>2000</v>
      </c>
      <c r="G34" s="314">
        <v>92.8</v>
      </c>
      <c r="H34" s="314">
        <v>67.36</v>
      </c>
      <c r="I34" s="65">
        <f t="shared" ref="I34:I45" si="12">IF(G34="","",ROUND(H34*100/G34,2))</f>
        <v>72.59</v>
      </c>
      <c r="J34" s="69">
        <f t="shared" ref="J34:J45" si="13">IF(O34="","",(I34-O34)/(100-O34)%)</f>
        <v>45.776458951533144</v>
      </c>
      <c r="K34" s="78">
        <f t="shared" ref="K34:K45" si="14">IF(F34="","",ROUND(0.3048^3*F34*L34,2))</f>
        <v>85.12</v>
      </c>
      <c r="L34" s="330">
        <f t="shared" ref="L34:L45" si="15">IF(G34="","",ROUND(1+0.003865*G34+0.000012912*G34^2+0.0000000643323*G34^3-0.00000000024661*G34^4,5))</f>
        <v>1.50299</v>
      </c>
      <c r="M34" s="313">
        <v>71.180000000000007</v>
      </c>
      <c r="N34" s="314">
        <v>35.200000000000003</v>
      </c>
      <c r="O34" s="66">
        <f t="shared" ref="O34:O45" si="16">IF(M34="","",ROUND(N34*100/M34,2))</f>
        <v>49.45</v>
      </c>
      <c r="P34" s="71">
        <f t="shared" ref="P34:P45" si="17">IF(I34="","",(I34-O34))</f>
        <v>23.14</v>
      </c>
      <c r="Q34" s="457">
        <v>5180</v>
      </c>
      <c r="R34" s="305">
        <v>0.29166666666666669</v>
      </c>
      <c r="S34" s="313">
        <v>92.06</v>
      </c>
      <c r="T34" s="314">
        <v>85.32</v>
      </c>
      <c r="U34" s="65">
        <f t="shared" ref="U34:U45" si="18">IF(S34="","",ROUND(T34*100/S34,2))</f>
        <v>92.68</v>
      </c>
      <c r="Y34" s="104"/>
      <c r="Z34" s="92"/>
      <c r="AA34" s="105"/>
      <c r="AB34" s="106"/>
    </row>
    <row r="35" spans="1:29" ht="19.649999999999999" customHeight="1" thickBot="1">
      <c r="A35" s="17">
        <f>+A34+1</f>
        <v>2</v>
      </c>
      <c r="B35" s="307">
        <f t="shared" ref="B35:B37" si="19">B34+1</f>
        <v>9</v>
      </c>
      <c r="C35" s="308">
        <v>0.53472222222222221</v>
      </c>
      <c r="D35" s="309">
        <v>9</v>
      </c>
      <c r="E35" s="61">
        <f t="shared" ref="E35:E45" si="20">IF(D35="","",IF(D35=9,6,""))</f>
        <v>6</v>
      </c>
      <c r="F35" s="323">
        <v>2100</v>
      </c>
      <c r="G35" s="316">
        <v>93.78</v>
      </c>
      <c r="H35" s="316">
        <v>63.52</v>
      </c>
      <c r="I35" s="66">
        <f t="shared" si="12"/>
        <v>67.73</v>
      </c>
      <c r="J35" s="69">
        <f t="shared" si="13"/>
        <v>35.031205959331601</v>
      </c>
      <c r="K35" s="78">
        <f t="shared" si="14"/>
        <v>89.79</v>
      </c>
      <c r="L35" s="330">
        <f t="shared" si="15"/>
        <v>1.51</v>
      </c>
      <c r="M35" s="315">
        <v>72.400000000000006</v>
      </c>
      <c r="N35" s="316">
        <v>36.44</v>
      </c>
      <c r="O35" s="66">
        <f t="shared" si="16"/>
        <v>50.33</v>
      </c>
      <c r="P35" s="71">
        <f t="shared" si="17"/>
        <v>17.400000000000006</v>
      </c>
      <c r="R35" s="308">
        <v>8.3333333333333329E-2</v>
      </c>
      <c r="S35" s="315">
        <v>91</v>
      </c>
      <c r="T35" s="316">
        <v>83.04</v>
      </c>
      <c r="U35" s="107">
        <f t="shared" si="18"/>
        <v>91.25</v>
      </c>
      <c r="V35" s="493" t="s">
        <v>58</v>
      </c>
      <c r="W35" s="494"/>
      <c r="X35" s="483" t="s">
        <v>20</v>
      </c>
      <c r="Y35" s="484"/>
      <c r="Z35" s="328">
        <f>IF(SUM(Z10:Z33)=0,0,AVERAGE(Z10:Z33))</f>
        <v>5.6666666666666664E-2</v>
      </c>
      <c r="AA35" s="43">
        <f t="shared" ref="AA35:AB35" si="21">IF(SUM(AA10:AA33)=0,0,AVERAGE(AA10:AA33))</f>
        <v>4.1428571428571433E-2</v>
      </c>
      <c r="AB35" s="276">
        <f t="shared" si="21"/>
        <v>11.254285714285714</v>
      </c>
    </row>
    <row r="36" spans="1:29" ht="15.6">
      <c r="A36" s="17">
        <f t="shared" ref="A36:A45" si="22">+A35+1</f>
        <v>3</v>
      </c>
      <c r="B36" s="307">
        <f t="shared" si="19"/>
        <v>10</v>
      </c>
      <c r="C36" s="308">
        <v>0.22916666666666666</v>
      </c>
      <c r="D36" s="309">
        <v>9</v>
      </c>
      <c r="E36" s="61">
        <f t="shared" si="20"/>
        <v>6</v>
      </c>
      <c r="F36" s="323">
        <v>2000</v>
      </c>
      <c r="G36" s="316">
        <v>93.2</v>
      </c>
      <c r="H36" s="316">
        <v>64.239999999999995</v>
      </c>
      <c r="I36" s="66">
        <f t="shared" si="12"/>
        <v>68.930000000000007</v>
      </c>
      <c r="J36" s="69">
        <f t="shared" si="13"/>
        <v>35.485880398671107</v>
      </c>
      <c r="K36" s="78">
        <f t="shared" si="14"/>
        <v>85.28</v>
      </c>
      <c r="L36" s="330">
        <f t="shared" si="15"/>
        <v>1.5058499999999999</v>
      </c>
      <c r="M36" s="315">
        <v>72.84</v>
      </c>
      <c r="N36" s="316">
        <v>37.76</v>
      </c>
      <c r="O36" s="66">
        <f t="shared" si="16"/>
        <v>51.84</v>
      </c>
      <c r="P36" s="71">
        <f t="shared" si="17"/>
        <v>17.090000000000003</v>
      </c>
      <c r="R36" s="308">
        <v>0.25</v>
      </c>
      <c r="S36" s="315">
        <v>92.76</v>
      </c>
      <c r="T36" s="316">
        <v>85.2</v>
      </c>
      <c r="U36" s="107">
        <f t="shared" si="18"/>
        <v>91.85</v>
      </c>
      <c r="V36" s="108"/>
      <c r="W36" s="109"/>
      <c r="X36" s="109"/>
      <c r="Y36" s="109"/>
      <c r="Z36" s="109"/>
      <c r="AA36" s="109"/>
      <c r="AB36" s="110"/>
    </row>
    <row r="37" spans="1:29" ht="16.2" thickBot="1">
      <c r="A37" s="17">
        <f t="shared" si="22"/>
        <v>4</v>
      </c>
      <c r="B37" s="307">
        <f t="shared" si="19"/>
        <v>11</v>
      </c>
      <c r="C37" s="308">
        <v>0.37847222222222227</v>
      </c>
      <c r="D37" s="309">
        <v>9</v>
      </c>
      <c r="E37" s="61">
        <f t="shared" si="20"/>
        <v>6</v>
      </c>
      <c r="F37" s="323">
        <v>2000</v>
      </c>
      <c r="G37" s="316">
        <v>92.74</v>
      </c>
      <c r="H37" s="316">
        <v>65.72</v>
      </c>
      <c r="I37" s="66">
        <f t="shared" si="12"/>
        <v>70.86</v>
      </c>
      <c r="J37" s="69">
        <f t="shared" si="13"/>
        <v>36.222368133070688</v>
      </c>
      <c r="K37" s="78">
        <f t="shared" si="14"/>
        <v>85.1</v>
      </c>
      <c r="L37" s="330">
        <f t="shared" si="15"/>
        <v>1.5025599999999999</v>
      </c>
      <c r="M37" s="315">
        <v>69.900000000000006</v>
      </c>
      <c r="N37" s="316">
        <v>37.96</v>
      </c>
      <c r="O37" s="66">
        <f t="shared" si="16"/>
        <v>54.31</v>
      </c>
      <c r="P37" s="71">
        <f t="shared" si="17"/>
        <v>16.549999999999997</v>
      </c>
      <c r="R37" s="308">
        <v>0.41666666666666669</v>
      </c>
      <c r="S37" s="315">
        <v>92.04</v>
      </c>
      <c r="T37" s="316">
        <v>85.24</v>
      </c>
      <c r="U37" s="107">
        <f t="shared" si="18"/>
        <v>92.61</v>
      </c>
      <c r="V37" s="111"/>
      <c r="W37" s="112"/>
      <c r="X37" s="112"/>
      <c r="Y37" s="112"/>
      <c r="Z37" s="112"/>
      <c r="AA37" s="112"/>
      <c r="AB37" s="113"/>
    </row>
    <row r="38" spans="1:29" ht="18" thickBot="1">
      <c r="A38" s="17">
        <f t="shared" si="22"/>
        <v>5</v>
      </c>
      <c r="B38" s="307">
        <v>12</v>
      </c>
      <c r="C38" s="308">
        <v>0.14583333333333334</v>
      </c>
      <c r="D38" s="309">
        <v>9</v>
      </c>
      <c r="E38" s="61">
        <f t="shared" si="20"/>
        <v>6</v>
      </c>
      <c r="F38" s="323">
        <v>2000</v>
      </c>
      <c r="G38" s="316">
        <v>92.86</v>
      </c>
      <c r="H38" s="316">
        <v>65.56</v>
      </c>
      <c r="I38" s="66">
        <v>70.599999999999994</v>
      </c>
      <c r="J38" s="69">
        <f t="shared" si="13"/>
        <v>38.57083159214374</v>
      </c>
      <c r="K38" s="78">
        <f t="shared" si="14"/>
        <v>85.14</v>
      </c>
      <c r="L38" s="330">
        <f t="shared" si="15"/>
        <v>1.50342</v>
      </c>
      <c r="M38" s="315">
        <v>70.42</v>
      </c>
      <c r="N38" s="316">
        <v>36.72</v>
      </c>
      <c r="O38" s="66">
        <f t="shared" si="16"/>
        <v>52.14</v>
      </c>
      <c r="P38" s="71">
        <f t="shared" si="17"/>
        <v>18.459999999999994</v>
      </c>
      <c r="R38" s="308"/>
      <c r="S38" s="315"/>
      <c r="T38" s="316"/>
      <c r="U38" s="107" t="str">
        <f t="shared" si="18"/>
        <v/>
      </c>
      <c r="V38" s="485" t="s">
        <v>59</v>
      </c>
      <c r="W38" s="486"/>
      <c r="X38" s="487"/>
      <c r="Y38" s="115" t="s">
        <v>60</v>
      </c>
      <c r="Z38" s="115" t="s">
        <v>61</v>
      </c>
      <c r="AA38" s="116" t="s">
        <v>62</v>
      </c>
      <c r="AB38" s="117" t="s">
        <v>63</v>
      </c>
    </row>
    <row r="39" spans="1:29" ht="15.6">
      <c r="A39" s="17">
        <f t="shared" si="22"/>
        <v>6</v>
      </c>
      <c r="B39" s="307"/>
      <c r="C39" s="308"/>
      <c r="D39" s="309"/>
      <c r="E39" s="61" t="str">
        <f t="shared" si="20"/>
        <v/>
      </c>
      <c r="F39" s="323"/>
      <c r="G39" s="316"/>
      <c r="H39" s="316"/>
      <c r="I39" s="66" t="str">
        <f t="shared" si="12"/>
        <v/>
      </c>
      <c r="J39" s="69" t="str">
        <f t="shared" si="13"/>
        <v/>
      </c>
      <c r="K39" s="78" t="str">
        <f t="shared" si="14"/>
        <v/>
      </c>
      <c r="L39" s="330" t="str">
        <f t="shared" si="15"/>
        <v/>
      </c>
      <c r="M39" s="315"/>
      <c r="N39" s="316"/>
      <c r="O39" s="66" t="str">
        <f t="shared" si="16"/>
        <v/>
      </c>
      <c r="P39" s="71" t="str">
        <f t="shared" si="17"/>
        <v/>
      </c>
      <c r="R39" s="308"/>
      <c r="S39" s="315"/>
      <c r="T39" s="316"/>
      <c r="U39" s="107" t="str">
        <f t="shared" si="18"/>
        <v/>
      </c>
      <c r="V39" s="490" t="s">
        <v>284</v>
      </c>
      <c r="W39" s="491"/>
      <c r="X39" s="491"/>
      <c r="Y39" s="339"/>
      <c r="Z39" s="339"/>
      <c r="AA39" s="339"/>
      <c r="AB39" s="444" t="str">
        <f>IF(SUM(Y39:AA39)=0,"",SUM(Y39:AA39))</f>
        <v/>
      </c>
      <c r="AC39" s="10"/>
    </row>
    <row r="40" spans="1:29" ht="15.6">
      <c r="A40" s="17">
        <f t="shared" si="22"/>
        <v>7</v>
      </c>
      <c r="B40" s="307"/>
      <c r="C40" s="308"/>
      <c r="D40" s="309"/>
      <c r="E40" s="61" t="str">
        <f t="shared" si="20"/>
        <v/>
      </c>
      <c r="F40" s="323"/>
      <c r="G40" s="316"/>
      <c r="H40" s="316"/>
      <c r="I40" s="66" t="str">
        <f t="shared" si="12"/>
        <v/>
      </c>
      <c r="J40" s="69" t="str">
        <f t="shared" si="13"/>
        <v/>
      </c>
      <c r="K40" s="78" t="str">
        <f t="shared" si="14"/>
        <v/>
      </c>
      <c r="L40" s="330" t="str">
        <f t="shared" si="15"/>
        <v/>
      </c>
      <c r="M40" s="315"/>
      <c r="N40" s="316"/>
      <c r="O40" s="66" t="str">
        <f t="shared" si="16"/>
        <v/>
      </c>
      <c r="P40" s="71" t="str">
        <f t="shared" si="17"/>
        <v/>
      </c>
      <c r="R40" s="308"/>
      <c r="S40" s="315"/>
      <c r="T40" s="316"/>
      <c r="U40" s="107" t="str">
        <f t="shared" si="18"/>
        <v/>
      </c>
      <c r="V40" s="488" t="s">
        <v>64</v>
      </c>
      <c r="W40" s="489"/>
      <c r="X40" s="489"/>
      <c r="Y40" s="443">
        <v>1268.69</v>
      </c>
      <c r="Z40" s="443">
        <v>1512.71</v>
      </c>
      <c r="AA40" s="443">
        <v>1607.96</v>
      </c>
      <c r="AB40" s="445">
        <f>IF(SUM(Y40:AA40)=0,"",SUM(Y40:AA40))</f>
        <v>4389.3600000000006</v>
      </c>
      <c r="AC40" s="10"/>
    </row>
    <row r="41" spans="1:29" ht="15.6">
      <c r="A41" s="17">
        <f t="shared" si="22"/>
        <v>8</v>
      </c>
      <c r="B41" s="307"/>
      <c r="C41" s="308"/>
      <c r="D41" s="309"/>
      <c r="E41" s="61" t="str">
        <f t="shared" si="20"/>
        <v/>
      </c>
      <c r="F41" s="323"/>
      <c r="G41" s="316"/>
      <c r="H41" s="316"/>
      <c r="I41" s="66" t="str">
        <f t="shared" si="12"/>
        <v/>
      </c>
      <c r="J41" s="69" t="str">
        <f t="shared" si="13"/>
        <v/>
      </c>
      <c r="K41" s="78" t="str">
        <f t="shared" si="14"/>
        <v/>
      </c>
      <c r="L41" s="330" t="str">
        <f t="shared" si="15"/>
        <v/>
      </c>
      <c r="M41" s="315"/>
      <c r="N41" s="316"/>
      <c r="O41" s="66" t="str">
        <f t="shared" si="16"/>
        <v/>
      </c>
      <c r="P41" s="71" t="str">
        <f t="shared" si="17"/>
        <v/>
      </c>
      <c r="R41" s="308"/>
      <c r="S41" s="315"/>
      <c r="T41" s="316"/>
      <c r="U41" s="107" t="str">
        <f t="shared" si="18"/>
        <v/>
      </c>
      <c r="V41" s="488" t="s">
        <v>262</v>
      </c>
      <c r="W41" s="489"/>
      <c r="X41" s="489"/>
      <c r="Y41" s="340"/>
      <c r="Z41" s="340"/>
      <c r="AA41" s="340"/>
      <c r="AB41" s="446" t="str">
        <f t="shared" ref="AB41:AB47" si="23">IF(SUM(Y41:AA41)=0,"",SUM(Y41:AA41))</f>
        <v/>
      </c>
      <c r="AC41" s="344" t="s">
        <v>267</v>
      </c>
    </row>
    <row r="42" spans="1:29" ht="15.6">
      <c r="A42" s="17">
        <f t="shared" si="22"/>
        <v>9</v>
      </c>
      <c r="B42" s="307"/>
      <c r="C42" s="308"/>
      <c r="D42" s="309"/>
      <c r="E42" s="61" t="str">
        <f t="shared" si="20"/>
        <v/>
      </c>
      <c r="F42" s="323"/>
      <c r="G42" s="316"/>
      <c r="H42" s="316"/>
      <c r="I42" s="66" t="str">
        <f t="shared" si="12"/>
        <v/>
      </c>
      <c r="J42" s="69" t="str">
        <f t="shared" si="13"/>
        <v/>
      </c>
      <c r="K42" s="78" t="str">
        <f t="shared" si="14"/>
        <v/>
      </c>
      <c r="L42" s="330" t="str">
        <f t="shared" si="15"/>
        <v/>
      </c>
      <c r="M42" s="315"/>
      <c r="N42" s="316"/>
      <c r="O42" s="66" t="str">
        <f t="shared" si="16"/>
        <v/>
      </c>
      <c r="P42" s="71" t="str">
        <f t="shared" si="17"/>
        <v/>
      </c>
      <c r="R42" s="308"/>
      <c r="S42" s="315"/>
      <c r="T42" s="316"/>
      <c r="U42" s="107" t="str">
        <f t="shared" si="18"/>
        <v/>
      </c>
      <c r="V42" s="488" t="s">
        <v>263</v>
      </c>
      <c r="W42" s="489"/>
      <c r="X42" s="489"/>
      <c r="Y42" s="343" t="str">
        <f>IF(Y41="","",ROUND(Y41/20,2))</f>
        <v/>
      </c>
      <c r="Z42" s="343" t="str">
        <f>IF(Z41="","",ROUND(Z41/20,2))</f>
        <v/>
      </c>
      <c r="AA42" s="343" t="str">
        <f t="shared" ref="AA42" si="24">IF(AA41="","",ROUND(AA41/20,2))</f>
        <v/>
      </c>
      <c r="AB42" s="447" t="str">
        <f t="shared" si="23"/>
        <v/>
      </c>
      <c r="AC42" s="345">
        <f>SUM(Y41:AA41)+SUM(Y43:AA43)</f>
        <v>0</v>
      </c>
    </row>
    <row r="43" spans="1:29" ht="15.6">
      <c r="A43" s="17">
        <f t="shared" si="22"/>
        <v>10</v>
      </c>
      <c r="B43" s="307"/>
      <c r="C43" s="308"/>
      <c r="D43" s="309"/>
      <c r="E43" s="61" t="str">
        <f t="shared" si="20"/>
        <v/>
      </c>
      <c r="F43" s="323"/>
      <c r="G43" s="316"/>
      <c r="H43" s="316"/>
      <c r="I43" s="66" t="str">
        <f t="shared" si="12"/>
        <v/>
      </c>
      <c r="J43" s="69" t="str">
        <f t="shared" si="13"/>
        <v/>
      </c>
      <c r="K43" s="78" t="str">
        <f t="shared" si="14"/>
        <v/>
      </c>
      <c r="L43" s="330" t="str">
        <f t="shared" si="15"/>
        <v/>
      </c>
      <c r="M43" s="315"/>
      <c r="N43" s="316"/>
      <c r="O43" s="66" t="str">
        <f t="shared" si="16"/>
        <v/>
      </c>
      <c r="P43" s="71" t="str">
        <f t="shared" si="17"/>
        <v/>
      </c>
      <c r="R43" s="308"/>
      <c r="S43" s="315"/>
      <c r="T43" s="316"/>
      <c r="U43" s="107" t="str">
        <f t="shared" si="18"/>
        <v/>
      </c>
      <c r="V43" s="488" t="s">
        <v>269</v>
      </c>
      <c r="W43" s="489"/>
      <c r="X43" s="489"/>
      <c r="Y43" s="340"/>
      <c r="Z43" s="340"/>
      <c r="AA43" s="340"/>
      <c r="AB43" s="446" t="str">
        <f t="shared" si="23"/>
        <v/>
      </c>
      <c r="AC43" s="10"/>
    </row>
    <row r="44" spans="1:29" ht="15.6">
      <c r="A44" s="17">
        <f t="shared" si="22"/>
        <v>11</v>
      </c>
      <c r="B44" s="307"/>
      <c r="C44" s="308"/>
      <c r="D44" s="309"/>
      <c r="E44" s="61" t="str">
        <f t="shared" si="20"/>
        <v/>
      </c>
      <c r="F44" s="323"/>
      <c r="G44" s="316"/>
      <c r="H44" s="316"/>
      <c r="I44" s="66" t="str">
        <f t="shared" si="12"/>
        <v/>
      </c>
      <c r="J44" s="69" t="str">
        <f t="shared" si="13"/>
        <v/>
      </c>
      <c r="K44" s="78" t="str">
        <f t="shared" si="14"/>
        <v/>
      </c>
      <c r="L44" s="330" t="str">
        <f t="shared" si="15"/>
        <v/>
      </c>
      <c r="M44" s="315"/>
      <c r="N44" s="316"/>
      <c r="O44" s="66" t="str">
        <f t="shared" si="16"/>
        <v/>
      </c>
      <c r="P44" s="71" t="str">
        <f t="shared" si="17"/>
        <v/>
      </c>
      <c r="R44" s="308"/>
      <c r="S44" s="315"/>
      <c r="T44" s="316"/>
      <c r="U44" s="107" t="str">
        <f t="shared" si="18"/>
        <v/>
      </c>
      <c r="V44" s="488" t="s">
        <v>270</v>
      </c>
      <c r="W44" s="489"/>
      <c r="X44" s="489"/>
      <c r="Y44" s="343" t="str">
        <f>IF(Y43="","",ROUND(Y43/20,2))</f>
        <v/>
      </c>
      <c r="Z44" s="343" t="str">
        <f t="shared" ref="Z44" si="25">IF(Z43="","",ROUND(Z43/20,2))</f>
        <v/>
      </c>
      <c r="AA44" s="343" t="str">
        <f t="shared" ref="AA44" si="26">IF(AA43="","",ROUND(AA43/20,2))</f>
        <v/>
      </c>
      <c r="AB44" s="447" t="str">
        <f t="shared" ref="AB44" si="27">IF(SUM(Y44:AA44)=0,"",SUM(Y44:AA44))</f>
        <v/>
      </c>
      <c r="AC44" s="346"/>
    </row>
    <row r="45" spans="1:29" ht="16.2" thickBot="1">
      <c r="A45" s="17">
        <f t="shared" si="22"/>
        <v>12</v>
      </c>
      <c r="B45" s="307"/>
      <c r="C45" s="308"/>
      <c r="D45" s="309"/>
      <c r="E45" s="92" t="str">
        <f t="shared" si="20"/>
        <v/>
      </c>
      <c r="F45" s="323"/>
      <c r="G45" s="316"/>
      <c r="H45" s="316"/>
      <c r="I45" s="66" t="str">
        <f t="shared" si="12"/>
        <v/>
      </c>
      <c r="J45" s="275" t="str">
        <f t="shared" si="13"/>
        <v/>
      </c>
      <c r="K45" s="78" t="str">
        <f t="shared" si="14"/>
        <v/>
      </c>
      <c r="L45" s="330" t="str">
        <f t="shared" si="15"/>
        <v/>
      </c>
      <c r="M45" s="317"/>
      <c r="N45" s="318"/>
      <c r="O45" s="398" t="str">
        <f t="shared" si="16"/>
        <v/>
      </c>
      <c r="P45" s="399" t="str">
        <f t="shared" si="17"/>
        <v/>
      </c>
      <c r="R45" s="308"/>
      <c r="S45" s="315"/>
      <c r="T45" s="316"/>
      <c r="U45" s="107" t="str">
        <f t="shared" si="18"/>
        <v/>
      </c>
      <c r="V45" s="488" t="s">
        <v>264</v>
      </c>
      <c r="W45" s="489"/>
      <c r="X45" s="489"/>
      <c r="Y45" s="340">
        <v>78</v>
      </c>
      <c r="Z45" s="340">
        <v>116</v>
      </c>
      <c r="AA45" s="340">
        <v>97</v>
      </c>
      <c r="AB45" s="446">
        <f t="shared" si="23"/>
        <v>291</v>
      </c>
      <c r="AC45" s="10"/>
    </row>
    <row r="46" spans="1:29" ht="25.65" customHeight="1" thickBot="1">
      <c r="A46" s="17"/>
      <c r="B46" s="89" t="s">
        <v>10</v>
      </c>
      <c r="C46" s="90"/>
      <c r="D46" s="81">
        <f>COUNT(D34:D45)</f>
        <v>5</v>
      </c>
      <c r="E46" s="331"/>
      <c r="F46" s="82">
        <f>IF(SUM(F34:F45)=0,0,ROUND(SUM(F34:F45),2))</f>
        <v>10100</v>
      </c>
      <c r="G46" s="83">
        <f>IF(SUM(G34:G45)=0,0,ROUND(AVERAGE(G34:G45),2))</f>
        <v>93.08</v>
      </c>
      <c r="H46" s="83">
        <f>IF(SUM(H34:H45)=0,0,ROUND(AVERAGE(H34:H45),2))</f>
        <v>65.28</v>
      </c>
      <c r="I46" s="84">
        <f>IF(G46=0,0,ROUND(H46*100/G46,2))</f>
        <v>70.13</v>
      </c>
      <c r="J46" s="85">
        <f>IF(O46=0,0,(I46-O46)/(100-O46)%)</f>
        <v>38.285123966942137</v>
      </c>
      <c r="K46" s="86">
        <f>SUM(K34:K45)</f>
        <v>430.43000000000006</v>
      </c>
      <c r="L46" s="419">
        <f>K46/(F46*0.3048^3)</f>
        <v>1.5049992076168646</v>
      </c>
      <c r="M46" s="129">
        <f>IF(SUM(M34:M45)=0,0,ROUND(AVERAGE(M34:M45),2))</f>
        <v>71.349999999999994</v>
      </c>
      <c r="N46" s="83">
        <f>IF(SUM(N34:N45)=0,0,ROUND(AVERAGE(N34:N45),2))</f>
        <v>36.82</v>
      </c>
      <c r="O46" s="83">
        <f>IF(N46=0,0,ROUND(N46*100/M46,2))</f>
        <v>51.6</v>
      </c>
      <c r="P46" s="91">
        <f>(I46-O46)</f>
        <v>18.529999999999994</v>
      </c>
      <c r="R46" s="90"/>
      <c r="S46" s="83">
        <f>IF(SUM(S34:S45)=0,0,ROUND(AVERAGE(S34:S45),2))</f>
        <v>91.97</v>
      </c>
      <c r="T46" s="83">
        <f>IF(SUM(T34:T45)=0,0,ROUND(AVERAGE(T34:T45),2))</f>
        <v>84.7</v>
      </c>
      <c r="U46" s="84">
        <f>IF(S46=0,"",ROUND(T46*100/S46,2))</f>
        <v>92.1</v>
      </c>
      <c r="V46" s="495" t="s">
        <v>265</v>
      </c>
      <c r="W46" s="496"/>
      <c r="X46" s="496"/>
      <c r="Y46" s="448">
        <f>IF(Y45="","",ROUND(Y45*1.25,2))</f>
        <v>97.5</v>
      </c>
      <c r="Z46" s="448">
        <f>IF(Z45="","",ROUND(Z45*1.25,2))</f>
        <v>145</v>
      </c>
      <c r="AA46" s="448">
        <f t="shared" ref="AA46" si="28">IF(AA45="","",ROUND(AA45*1.25,2))</f>
        <v>121.25</v>
      </c>
      <c r="AB46" s="449">
        <f t="shared" ref="AB46" si="29">IF(SUM(Y46:AA46)=0,"",SUM(Y46:AA46))</f>
        <v>363.75</v>
      </c>
      <c r="AC46" s="10"/>
    </row>
    <row r="47" spans="1:29" ht="14.4" customHeight="1" thickBot="1">
      <c r="A47" s="10"/>
      <c r="V47" s="437" t="s">
        <v>266</v>
      </c>
      <c r="W47" s="438"/>
      <c r="X47" s="438"/>
      <c r="Y47" s="439">
        <f>Y41*0.05+Y43*0.05+Y45*1.25</f>
        <v>97.5</v>
      </c>
      <c r="Z47" s="440">
        <f t="shared" ref="Z47:AA47" si="30">Z41*0.05+Z43*0.05+Z45*1.25</f>
        <v>145</v>
      </c>
      <c r="AA47" s="441">
        <f t="shared" si="30"/>
        <v>121.25</v>
      </c>
      <c r="AB47" s="442">
        <f t="shared" si="23"/>
        <v>363.75</v>
      </c>
    </row>
    <row r="48" spans="1:29" ht="22.65" customHeight="1" thickBot="1">
      <c r="A48" s="62"/>
      <c r="B48" s="465" t="s">
        <v>39</v>
      </c>
      <c r="C48" s="466"/>
      <c r="D48" s="466"/>
      <c r="E48" s="466"/>
      <c r="F48" s="466"/>
      <c r="G48" s="466"/>
      <c r="H48" s="466"/>
      <c r="I48" s="466"/>
      <c r="J48" s="466"/>
      <c r="K48" s="466"/>
      <c r="L48" s="467"/>
      <c r="M48" s="465" t="s">
        <v>9</v>
      </c>
      <c r="N48" s="466"/>
      <c r="O48" s="466"/>
      <c r="P48" s="466"/>
      <c r="Q48" s="467"/>
      <c r="R48" s="465" t="s">
        <v>43</v>
      </c>
      <c r="S48" s="466"/>
      <c r="T48" s="466"/>
      <c r="U48" s="466"/>
      <c r="V48" s="490" t="s">
        <v>65</v>
      </c>
      <c r="W48" s="491"/>
      <c r="X48" s="492"/>
      <c r="Y48" s="404"/>
      <c r="Z48" s="405"/>
      <c r="AA48" s="406"/>
      <c r="AB48" s="402" t="str">
        <f>IF(SUM(Y48:AA48)=0,"",SUM(Y48:AA48))</f>
        <v/>
      </c>
    </row>
    <row r="49" spans="1:29" ht="28.2" thickBot="1">
      <c r="A49" s="63"/>
      <c r="B49" s="74" t="s">
        <v>6</v>
      </c>
      <c r="C49" s="60" t="s">
        <v>2</v>
      </c>
      <c r="D49" s="60" t="s">
        <v>7</v>
      </c>
      <c r="E49" s="60" t="s">
        <v>28</v>
      </c>
      <c r="F49" s="60" t="s">
        <v>29</v>
      </c>
      <c r="G49" s="60" t="s">
        <v>3</v>
      </c>
      <c r="H49" s="60" t="s">
        <v>33</v>
      </c>
      <c r="I49" s="60" t="s">
        <v>5</v>
      </c>
      <c r="J49" s="60" t="s">
        <v>32</v>
      </c>
      <c r="K49" s="75" t="s">
        <v>31</v>
      </c>
      <c r="L49" s="76" t="s">
        <v>36</v>
      </c>
      <c r="M49" s="60" t="s">
        <v>2</v>
      </c>
      <c r="N49" s="72" t="s">
        <v>3</v>
      </c>
      <c r="O49" s="59" t="s">
        <v>33</v>
      </c>
      <c r="P49" s="59" t="s">
        <v>30</v>
      </c>
      <c r="Q49" s="73" t="s">
        <v>40</v>
      </c>
      <c r="R49" s="60" t="s">
        <v>2</v>
      </c>
      <c r="S49" s="74" t="s">
        <v>3</v>
      </c>
      <c r="T49" s="60" t="s">
        <v>33</v>
      </c>
      <c r="U49" s="256" t="s">
        <v>42</v>
      </c>
      <c r="V49" s="473" t="s">
        <v>68</v>
      </c>
      <c r="W49" s="474"/>
      <c r="X49" s="475"/>
      <c r="Y49" s="407"/>
      <c r="Z49" s="408"/>
      <c r="AA49" s="409"/>
      <c r="AB49" s="403" t="str">
        <f>IF(SUM(Y49:AA49)=0,"",SUM(Y49:AA49))</f>
        <v/>
      </c>
    </row>
    <row r="50" spans="1:29" ht="16.350000000000001" customHeight="1">
      <c r="A50" s="17">
        <v>1</v>
      </c>
      <c r="B50" s="304"/>
      <c r="C50" s="305"/>
      <c r="D50" s="306"/>
      <c r="E50" s="64" t="str">
        <f>IF(D50="","",IF(D50=10,7,""))</f>
        <v/>
      </c>
      <c r="F50" s="329"/>
      <c r="G50" s="314"/>
      <c r="H50" s="314"/>
      <c r="I50" s="65" t="str">
        <f t="shared" ref="I50:I59" si="31">IF(G50="","",ROUND(H50*100/G50,2))</f>
        <v/>
      </c>
      <c r="J50" s="69" t="str">
        <f>IF(I50="","",(I50-P50)/(100-P50)%)</f>
        <v/>
      </c>
      <c r="K50" s="78" t="str">
        <f t="shared" ref="K50:K59" si="32">IF(F50="","",ROUND(0.3048^3*F50*L50,2))</f>
        <v/>
      </c>
      <c r="L50" s="330" t="str">
        <f t="shared" ref="L50:L59" si="33">IF(G50="","",ROUND(1+0.003865*G50+0.000012912*G50^2+0.0000000643323*G50^3-0.00000000024661*G50^4,5))</f>
        <v/>
      </c>
      <c r="M50" s="305">
        <v>0.375</v>
      </c>
      <c r="N50" s="313">
        <v>81.8</v>
      </c>
      <c r="O50" s="314">
        <v>28.8</v>
      </c>
      <c r="P50" s="65">
        <f t="shared" ref="P50:P59" si="34">IF(N50="","",ROUND(O50*100/N50,2))</f>
        <v>35.21</v>
      </c>
      <c r="Q50" s="333"/>
      <c r="R50" s="335">
        <v>0.375</v>
      </c>
      <c r="S50" s="314">
        <v>92.06</v>
      </c>
      <c r="T50" s="314">
        <v>75.36</v>
      </c>
      <c r="U50" s="401">
        <f t="shared" ref="U50:U59" si="35">IF(S50="","",ROUND(T50*100/S50,2))</f>
        <v>81.86</v>
      </c>
      <c r="V50" s="473" t="s">
        <v>70</v>
      </c>
      <c r="W50" s="474"/>
      <c r="X50" s="475"/>
      <c r="Y50" s="407"/>
      <c r="Z50" s="408"/>
      <c r="AA50" s="409"/>
      <c r="AB50" s="403" t="str">
        <f>IF(SUM(Y50:AA50)=0,"",SUM(Y50:AA50))</f>
        <v/>
      </c>
    </row>
    <row r="51" spans="1:29" ht="15.6">
      <c r="A51" s="17">
        <f>+A50+1</f>
        <v>2</v>
      </c>
      <c r="B51" s="307">
        <f t="shared" ref="B51:B52" si="36">B50+1</f>
        <v>1</v>
      </c>
      <c r="C51" s="308"/>
      <c r="D51" s="309"/>
      <c r="E51" s="400" t="str">
        <f t="shared" ref="E51:E59" si="37">IF(D51="","",IF(D51=10,7,""))</f>
        <v/>
      </c>
      <c r="F51" s="323"/>
      <c r="G51" s="316"/>
      <c r="H51" s="316"/>
      <c r="I51" s="66" t="str">
        <f t="shared" si="31"/>
        <v/>
      </c>
      <c r="J51" s="69" t="str">
        <f t="shared" ref="J51:J60" si="38">IF(I51="","",(I51-P51)/(100-P51)%)</f>
        <v/>
      </c>
      <c r="K51" s="78" t="str">
        <f t="shared" si="32"/>
        <v/>
      </c>
      <c r="L51" s="330" t="str">
        <f t="shared" si="33"/>
        <v/>
      </c>
      <c r="M51" s="308"/>
      <c r="N51" s="315"/>
      <c r="O51" s="316"/>
      <c r="P51" s="66" t="str">
        <f t="shared" si="34"/>
        <v/>
      </c>
      <c r="Q51" s="334"/>
      <c r="R51" s="336"/>
      <c r="S51" s="316"/>
      <c r="T51" s="316"/>
      <c r="U51" s="107" t="str">
        <f t="shared" si="35"/>
        <v/>
      </c>
      <c r="V51" s="473" t="s">
        <v>69</v>
      </c>
      <c r="W51" s="474"/>
      <c r="X51" s="475"/>
      <c r="Y51" s="407"/>
      <c r="Z51" s="408"/>
      <c r="AA51" s="409"/>
      <c r="AB51" s="403" t="str">
        <f>IF(SUM(Y51:AA51)=0,"",SUM(Y51:AA51))</f>
        <v/>
      </c>
    </row>
    <row r="52" spans="1:29" ht="16.2" thickBot="1">
      <c r="A52" s="17">
        <f t="shared" ref="A52:A59" si="39">+A51+1</f>
        <v>3</v>
      </c>
      <c r="B52" s="307">
        <f t="shared" si="36"/>
        <v>2</v>
      </c>
      <c r="C52" s="308"/>
      <c r="D52" s="309"/>
      <c r="E52" s="61" t="str">
        <f t="shared" si="37"/>
        <v/>
      </c>
      <c r="F52" s="323"/>
      <c r="G52" s="316"/>
      <c r="H52" s="316"/>
      <c r="I52" s="66" t="str">
        <f t="shared" si="31"/>
        <v/>
      </c>
      <c r="J52" s="69" t="str">
        <f t="shared" si="38"/>
        <v/>
      </c>
      <c r="K52" s="78" t="str">
        <f t="shared" si="32"/>
        <v/>
      </c>
      <c r="L52" s="330" t="str">
        <f t="shared" si="33"/>
        <v/>
      </c>
      <c r="M52" s="308"/>
      <c r="N52" s="315"/>
      <c r="O52" s="316"/>
      <c r="P52" s="66" t="str">
        <f t="shared" si="34"/>
        <v/>
      </c>
      <c r="Q52" s="334"/>
      <c r="R52" s="336"/>
      <c r="S52" s="316"/>
      <c r="T52" s="316"/>
      <c r="U52" s="107" t="str">
        <f t="shared" si="35"/>
        <v/>
      </c>
      <c r="V52" s="478" t="s">
        <v>71</v>
      </c>
      <c r="W52" s="479"/>
      <c r="X52" s="480"/>
      <c r="Y52" s="410"/>
      <c r="Z52" s="413"/>
      <c r="AA52" s="414"/>
      <c r="AB52" s="415" t="str">
        <f>IF(SUM(Y52:AA52)=0,"",SUM(Y52:AA52))</f>
        <v/>
      </c>
    </row>
    <row r="53" spans="1:29" ht="14.4" customHeight="1" thickBot="1">
      <c r="A53" s="17">
        <f t="shared" si="39"/>
        <v>4</v>
      </c>
      <c r="B53" s="307">
        <v>3</v>
      </c>
      <c r="C53" s="308"/>
      <c r="D53" s="309"/>
      <c r="E53" s="61" t="str">
        <f t="shared" si="37"/>
        <v/>
      </c>
      <c r="F53" s="323"/>
      <c r="G53" s="316"/>
      <c r="H53" s="316"/>
      <c r="I53" s="66" t="str">
        <f t="shared" si="31"/>
        <v/>
      </c>
      <c r="J53" s="69" t="str">
        <f t="shared" si="38"/>
        <v/>
      </c>
      <c r="K53" s="78" t="str">
        <f t="shared" si="32"/>
        <v/>
      </c>
      <c r="L53" s="330" t="str">
        <f t="shared" si="33"/>
        <v/>
      </c>
      <c r="M53" s="308"/>
      <c r="N53" s="315"/>
      <c r="O53" s="316"/>
      <c r="P53" s="66" t="str">
        <f t="shared" si="34"/>
        <v/>
      </c>
      <c r="Q53" s="334"/>
      <c r="R53" s="336"/>
      <c r="S53" s="316"/>
      <c r="T53" s="334"/>
      <c r="U53" s="107" t="str">
        <f t="shared" si="35"/>
        <v/>
      </c>
      <c r="V53" s="411"/>
      <c r="Z53" s="476" t="s">
        <v>277</v>
      </c>
      <c r="AA53" s="477"/>
      <c r="AB53" s="420">
        <f>SUM(AB48:AB52)</f>
        <v>0</v>
      </c>
      <c r="AC53" s="10"/>
    </row>
    <row r="54" spans="1:29" ht="15.6" customHeight="1">
      <c r="A54" s="17">
        <f t="shared" si="39"/>
        <v>5</v>
      </c>
      <c r="B54" s="307">
        <v>4</v>
      </c>
      <c r="C54" s="308">
        <v>0.52083333333333337</v>
      </c>
      <c r="D54" s="309">
        <v>10</v>
      </c>
      <c r="E54" s="61">
        <f t="shared" si="37"/>
        <v>7</v>
      </c>
      <c r="F54" s="323">
        <v>2100</v>
      </c>
      <c r="G54" s="316">
        <v>97.2</v>
      </c>
      <c r="H54" s="316">
        <v>55.28</v>
      </c>
      <c r="I54" s="66">
        <f t="shared" si="31"/>
        <v>56.87</v>
      </c>
      <c r="J54" s="69">
        <f t="shared" si="38"/>
        <v>31.626506024096379</v>
      </c>
      <c r="K54" s="78">
        <f t="shared" si="32"/>
        <v>91.26</v>
      </c>
      <c r="L54" s="330">
        <f t="shared" si="33"/>
        <v>1.5347299999999999</v>
      </c>
      <c r="M54" s="308">
        <v>0.125</v>
      </c>
      <c r="N54" s="315">
        <v>84.5</v>
      </c>
      <c r="O54" s="316">
        <v>31.2</v>
      </c>
      <c r="P54" s="66">
        <f t="shared" si="34"/>
        <v>36.92</v>
      </c>
      <c r="Q54" s="334">
        <v>39.4</v>
      </c>
      <c r="R54" s="336">
        <v>0.125</v>
      </c>
      <c r="S54" s="316">
        <v>92.24</v>
      </c>
      <c r="T54" s="334">
        <v>76.319999999999993</v>
      </c>
      <c r="U54" s="107">
        <f t="shared" si="35"/>
        <v>82.74</v>
      </c>
      <c r="V54" s="412"/>
      <c r="AC54" s="10"/>
    </row>
    <row r="55" spans="1:29" ht="15.6" customHeight="1">
      <c r="A55" s="17">
        <f t="shared" si="39"/>
        <v>6</v>
      </c>
      <c r="B55" s="307">
        <v>5</v>
      </c>
      <c r="C55" s="308">
        <v>0.30902777777777779</v>
      </c>
      <c r="D55" s="309">
        <v>10</v>
      </c>
      <c r="E55" s="61">
        <f t="shared" si="37"/>
        <v>7</v>
      </c>
      <c r="F55" s="323">
        <v>2000</v>
      </c>
      <c r="G55" s="316">
        <v>97.28</v>
      </c>
      <c r="H55" s="316">
        <v>50.24</v>
      </c>
      <c r="I55" s="66">
        <f t="shared" si="31"/>
        <v>51.64</v>
      </c>
      <c r="J55" s="69">
        <f t="shared" si="38"/>
        <v>23.444673104321673</v>
      </c>
      <c r="K55" s="78">
        <f t="shared" si="32"/>
        <v>86.95</v>
      </c>
      <c r="L55" s="330">
        <f t="shared" si="33"/>
        <v>1.53532</v>
      </c>
      <c r="M55" s="308">
        <v>0.20833333333333334</v>
      </c>
      <c r="N55" s="315">
        <v>82.32</v>
      </c>
      <c r="O55" s="316">
        <v>30.32</v>
      </c>
      <c r="P55" s="66">
        <f t="shared" si="34"/>
        <v>36.83</v>
      </c>
      <c r="Q55" s="334"/>
      <c r="R55" s="336">
        <v>0.20833333333333334</v>
      </c>
      <c r="S55" s="316">
        <v>92.92</v>
      </c>
      <c r="T55" s="316">
        <v>77.52</v>
      </c>
      <c r="U55" s="107">
        <f t="shared" si="35"/>
        <v>83.43</v>
      </c>
      <c r="V55" s="473" t="s">
        <v>66</v>
      </c>
      <c r="W55" s="474"/>
      <c r="X55" s="475"/>
      <c r="Y55" s="407"/>
      <c r="Z55" s="408"/>
      <c r="AA55" s="409"/>
      <c r="AB55" s="403">
        <f>SUM(Y55:AA55)</f>
        <v>0</v>
      </c>
      <c r="AC55" s="10"/>
    </row>
    <row r="56" spans="1:29" ht="15.6" customHeight="1" thickBot="1">
      <c r="A56" s="17">
        <f t="shared" si="39"/>
        <v>7</v>
      </c>
      <c r="B56" s="307">
        <v>6</v>
      </c>
      <c r="C56" s="308">
        <v>0.10416666666666667</v>
      </c>
      <c r="D56" s="309">
        <v>10</v>
      </c>
      <c r="E56" s="61">
        <f t="shared" si="37"/>
        <v>7</v>
      </c>
      <c r="F56" s="323">
        <v>2000</v>
      </c>
      <c r="G56" s="316">
        <v>92.86</v>
      </c>
      <c r="H56" s="316">
        <v>57.16</v>
      </c>
      <c r="I56" s="66">
        <f t="shared" si="31"/>
        <v>61.56</v>
      </c>
      <c r="J56" s="69">
        <f t="shared" si="38"/>
        <v>40.087281795511224</v>
      </c>
      <c r="K56" s="78">
        <f t="shared" si="32"/>
        <v>85.14</v>
      </c>
      <c r="L56" s="330">
        <f t="shared" si="33"/>
        <v>1.50342</v>
      </c>
      <c r="M56" s="308">
        <v>0.29166666666666669</v>
      </c>
      <c r="N56" s="315">
        <v>80.14</v>
      </c>
      <c r="O56" s="316">
        <v>28.72</v>
      </c>
      <c r="P56" s="66">
        <f t="shared" si="34"/>
        <v>35.840000000000003</v>
      </c>
      <c r="Q56" s="334"/>
      <c r="R56" s="336">
        <v>0.29166666666666669</v>
      </c>
      <c r="S56" s="316">
        <v>92.12</v>
      </c>
      <c r="T56" s="316">
        <v>74</v>
      </c>
      <c r="U56" s="120">
        <f t="shared" si="35"/>
        <v>80.33</v>
      </c>
      <c r="V56" s="473" t="s">
        <v>67</v>
      </c>
      <c r="W56" s="474"/>
      <c r="X56" s="475"/>
      <c r="Y56" s="407"/>
      <c r="Z56" s="413"/>
      <c r="AA56" s="414"/>
      <c r="AB56" s="415">
        <f>AB53-AB55</f>
        <v>0</v>
      </c>
      <c r="AC56" s="10"/>
    </row>
    <row r="57" spans="1:29" ht="15.6" customHeight="1" thickBot="1">
      <c r="A57" s="17">
        <f t="shared" si="39"/>
        <v>8</v>
      </c>
      <c r="B57" s="307"/>
      <c r="C57" s="308"/>
      <c r="D57" s="309"/>
      <c r="E57" s="61" t="str">
        <f t="shared" si="37"/>
        <v/>
      </c>
      <c r="F57" s="323"/>
      <c r="G57" s="316"/>
      <c r="H57" s="316"/>
      <c r="I57" s="66" t="str">
        <f t="shared" si="31"/>
        <v/>
      </c>
      <c r="J57" s="69" t="str">
        <f t="shared" si="38"/>
        <v/>
      </c>
      <c r="K57" s="78" t="str">
        <f t="shared" si="32"/>
        <v/>
      </c>
      <c r="L57" s="330" t="str">
        <f t="shared" si="33"/>
        <v/>
      </c>
      <c r="M57" s="308">
        <v>0.45833333333333331</v>
      </c>
      <c r="N57" s="315">
        <v>79.02</v>
      </c>
      <c r="O57" s="316">
        <v>31.6</v>
      </c>
      <c r="P57" s="66">
        <v>39.99</v>
      </c>
      <c r="Q57" s="334"/>
      <c r="R57" s="336">
        <v>0.45833333333333331</v>
      </c>
      <c r="S57" s="316">
        <v>92.62</v>
      </c>
      <c r="T57" s="316">
        <v>75.28</v>
      </c>
      <c r="U57" s="120">
        <f t="shared" si="35"/>
        <v>81.28</v>
      </c>
      <c r="Z57" s="476" t="s">
        <v>278</v>
      </c>
      <c r="AA57" s="477"/>
      <c r="AB57" s="420">
        <f>+AB56-AB55</f>
        <v>0</v>
      </c>
      <c r="AC57" s="10"/>
    </row>
    <row r="58" spans="1:29" ht="15.6" customHeight="1">
      <c r="A58" s="17">
        <f t="shared" si="39"/>
        <v>9</v>
      </c>
      <c r="B58" s="307"/>
      <c r="C58" s="308"/>
      <c r="D58" s="309"/>
      <c r="E58" s="61" t="str">
        <f t="shared" si="37"/>
        <v/>
      </c>
      <c r="F58" s="323"/>
      <c r="G58" s="316"/>
      <c r="H58" s="316"/>
      <c r="I58" s="66" t="str">
        <f t="shared" si="31"/>
        <v/>
      </c>
      <c r="J58" s="69" t="str">
        <f t="shared" si="38"/>
        <v/>
      </c>
      <c r="K58" s="78" t="str">
        <f t="shared" si="32"/>
        <v/>
      </c>
      <c r="L58" s="330" t="str">
        <f t="shared" si="33"/>
        <v/>
      </c>
      <c r="M58" s="308">
        <v>4.1666666666666664E-2</v>
      </c>
      <c r="N58" s="315">
        <v>76.400000000000006</v>
      </c>
      <c r="O58" s="316">
        <v>31.84</v>
      </c>
      <c r="P58" s="66">
        <f t="shared" si="34"/>
        <v>41.68</v>
      </c>
      <c r="Q58" s="334"/>
      <c r="R58" s="336">
        <v>4.1666666666666664E-2</v>
      </c>
      <c r="S58" s="316">
        <v>93.42</v>
      </c>
      <c r="T58" s="316">
        <v>77.36</v>
      </c>
      <c r="U58" s="120">
        <f t="shared" si="35"/>
        <v>82.81</v>
      </c>
      <c r="AC58" s="10"/>
    </row>
    <row r="59" spans="1:29" ht="16.350000000000001" customHeight="1" thickBot="1">
      <c r="A59" s="17">
        <f t="shared" si="39"/>
        <v>10</v>
      </c>
      <c r="B59" s="307"/>
      <c r="C59" s="308"/>
      <c r="D59" s="309"/>
      <c r="E59" s="92" t="str">
        <f t="shared" si="37"/>
        <v/>
      </c>
      <c r="F59" s="323"/>
      <c r="G59" s="316"/>
      <c r="H59" s="316"/>
      <c r="I59" s="66" t="str">
        <f t="shared" si="31"/>
        <v/>
      </c>
      <c r="J59" s="69" t="str">
        <f t="shared" si="38"/>
        <v/>
      </c>
      <c r="K59" s="78" t="str">
        <f t="shared" si="32"/>
        <v/>
      </c>
      <c r="L59" s="330" t="str">
        <f t="shared" si="33"/>
        <v/>
      </c>
      <c r="M59" s="308"/>
      <c r="N59" s="315"/>
      <c r="O59" s="316"/>
      <c r="P59" s="66" t="str">
        <f t="shared" si="34"/>
        <v/>
      </c>
      <c r="Q59" s="334"/>
      <c r="R59" s="337"/>
      <c r="S59" s="338"/>
      <c r="T59" s="338"/>
      <c r="U59" s="121" t="str">
        <f t="shared" si="35"/>
        <v/>
      </c>
      <c r="AC59" s="10"/>
    </row>
    <row r="60" spans="1:29" ht="24" customHeight="1" thickBot="1">
      <c r="A60" s="17"/>
      <c r="B60" s="89" t="s">
        <v>10</v>
      </c>
      <c r="C60" s="90"/>
      <c r="D60" s="81">
        <f>COUNT(D50:D59)</f>
        <v>3</v>
      </c>
      <c r="E60" s="331"/>
      <c r="F60" s="82">
        <f>IF(SUM(F50:F59)=0,0,ROUND(SUM(F50:F59),2))</f>
        <v>6100</v>
      </c>
      <c r="G60" s="83">
        <f>IF(SUM(G50:G59)=0,0,ROUND(AVERAGE(G50:G59),2))</f>
        <v>95.78</v>
      </c>
      <c r="H60" s="83">
        <f>IF(SUM(H50:H59)=0,0,ROUND(AVERAGE(H50:H59),2))</f>
        <v>54.23</v>
      </c>
      <c r="I60" s="84">
        <f>IF(G60=0,"",ROUND(H60*100/G60,2))</f>
        <v>56.62</v>
      </c>
      <c r="J60" s="69">
        <f t="shared" si="38"/>
        <v>30.391527599486519</v>
      </c>
      <c r="K60" s="86">
        <f>SUM(K50:K59)</f>
        <v>263.35000000000002</v>
      </c>
      <c r="L60" s="332">
        <f>K60/(F60*0.3048^3)</f>
        <v>1.5246094231318066</v>
      </c>
      <c r="M60" s="90"/>
      <c r="N60" s="83">
        <f>IF(SUM(N50:N59)=0,0,ROUND(AVERAGE(N50:N59),2))</f>
        <v>80.7</v>
      </c>
      <c r="O60" s="83">
        <f>IF(SUM(O50:O59)=0,0,ROUND(AVERAGE(O50:O59),2))</f>
        <v>30.41</v>
      </c>
      <c r="P60" s="84">
        <f>IF(N60=0,0,ROUND(O60*100/N60,2))</f>
        <v>37.68</v>
      </c>
      <c r="Q60" s="94">
        <f>IF(SUM(Q50:Q59)=0,0,ROUND(AVERAGE(Q50:Q59),2))</f>
        <v>39.4</v>
      </c>
      <c r="R60" s="257"/>
      <c r="S60" s="258">
        <f>IF(SUM(S50:S59)=0,0,ROUND(AVERAGE(S50:S59),2))</f>
        <v>92.56</v>
      </c>
      <c r="T60" s="258">
        <f>IF(SUM(T50:T59)=0,0,ROUND(AVERAGE(T50:T59),2))</f>
        <v>75.97</v>
      </c>
      <c r="U60" s="259">
        <f>IF(S60=0,0,ROUND(T60*100/S60,2))</f>
        <v>82.08</v>
      </c>
      <c r="AB60" s="234"/>
    </row>
    <row r="61" spans="1:29" ht="13.8">
      <c r="B61" s="18"/>
      <c r="C61" s="18"/>
      <c r="D61" s="18"/>
      <c r="E61" s="18"/>
      <c r="F61" s="18"/>
      <c r="G61" s="18"/>
      <c r="H61" s="18"/>
      <c r="I61" s="18"/>
      <c r="J61" s="18"/>
      <c r="L61" s="18"/>
      <c r="M61" s="19"/>
      <c r="N61" s="19"/>
      <c r="O61" s="19"/>
      <c r="P61" s="19"/>
      <c r="Q61" s="20"/>
      <c r="R61" s="19"/>
      <c r="S61" s="19"/>
    </row>
    <row r="62" spans="1:29" ht="13.8">
      <c r="B62" s="18"/>
      <c r="C62" s="18"/>
      <c r="D62" s="18"/>
      <c r="E62" s="18"/>
      <c r="F62" s="18"/>
      <c r="G62" s="18"/>
      <c r="H62" s="18"/>
      <c r="I62" s="18"/>
      <c r="J62" s="18"/>
      <c r="L62" s="18"/>
      <c r="M62" s="19"/>
      <c r="N62" s="21"/>
      <c r="O62" s="19"/>
      <c r="P62" s="19"/>
      <c r="Q62" s="19"/>
      <c r="R62" s="19"/>
      <c r="S62" s="19"/>
    </row>
    <row r="63" spans="1:29" ht="13.8">
      <c r="B63" s="18"/>
      <c r="C63" s="18"/>
      <c r="D63" s="18"/>
      <c r="E63" s="18"/>
      <c r="F63" s="18"/>
      <c r="G63" s="18"/>
      <c r="H63" s="18"/>
      <c r="I63" s="18"/>
      <c r="J63" s="18"/>
      <c r="L63" s="18"/>
      <c r="M63" s="19"/>
      <c r="N63" s="19"/>
      <c r="O63" s="19"/>
      <c r="P63" s="19"/>
      <c r="Q63" s="19"/>
      <c r="R63" s="19"/>
      <c r="S63" s="19"/>
    </row>
    <row r="64" spans="1:29" ht="13.8">
      <c r="B64" s="18"/>
      <c r="C64" s="18"/>
      <c r="D64" s="18"/>
      <c r="E64" s="18"/>
      <c r="F64" s="18"/>
      <c r="G64" s="18"/>
      <c r="H64" s="18"/>
      <c r="I64" s="18"/>
      <c r="J64" s="18"/>
      <c r="L64" s="18"/>
      <c r="M64" s="19"/>
      <c r="N64" s="19"/>
      <c r="O64" s="19"/>
      <c r="P64" s="19"/>
      <c r="Q64" s="19"/>
      <c r="R64" s="19"/>
      <c r="S64" s="19"/>
    </row>
    <row r="65" spans="2:26">
      <c r="B65" s="18"/>
      <c r="C65" s="18"/>
      <c r="D65" s="18"/>
      <c r="E65" s="18"/>
      <c r="F65" s="18"/>
      <c r="G65" s="18"/>
      <c r="H65" s="18"/>
      <c r="I65" s="18"/>
      <c r="J65" s="18"/>
      <c r="L65" s="18"/>
      <c r="M65" s="18"/>
      <c r="N65" s="18"/>
      <c r="O65" s="18"/>
      <c r="P65" s="18"/>
      <c r="Q65" s="18"/>
      <c r="R65" s="18"/>
      <c r="S65" s="18"/>
    </row>
    <row r="66" spans="2:26">
      <c r="B66" s="22"/>
      <c r="C66" s="22"/>
      <c r="D66" s="22"/>
      <c r="E66" s="22"/>
      <c r="F66" s="22"/>
      <c r="G66" s="22"/>
      <c r="H66" s="22"/>
      <c r="I66" s="22"/>
      <c r="J66" s="22"/>
      <c r="L66" s="22"/>
      <c r="M66" s="22"/>
      <c r="N66" s="22"/>
      <c r="O66" s="22"/>
      <c r="P66" s="22"/>
      <c r="Q66" s="22"/>
      <c r="R66" s="22"/>
      <c r="S66" s="18"/>
    </row>
    <row r="67" spans="2:26">
      <c r="B67" s="22"/>
      <c r="C67" s="22"/>
      <c r="D67" s="22"/>
      <c r="E67" s="22"/>
      <c r="F67" s="22"/>
      <c r="G67" s="22"/>
      <c r="H67" s="22"/>
      <c r="I67" s="22"/>
      <c r="J67" s="22"/>
      <c r="L67" s="22"/>
      <c r="M67" s="22"/>
      <c r="N67" s="22"/>
      <c r="O67" s="22"/>
      <c r="P67" s="22"/>
      <c r="Q67" s="22"/>
      <c r="R67" s="22"/>
      <c r="S67" s="18"/>
    </row>
    <row r="68" spans="2:26">
      <c r="B68" s="22"/>
      <c r="C68" s="22"/>
      <c r="D68" s="22"/>
      <c r="E68" s="22"/>
      <c r="F68" s="22"/>
      <c r="G68" s="22"/>
      <c r="H68" s="22"/>
      <c r="I68" s="22"/>
      <c r="J68" s="22"/>
      <c r="L68" s="22"/>
      <c r="M68" s="22"/>
      <c r="N68" s="22"/>
      <c r="O68" s="22"/>
      <c r="P68" s="22"/>
      <c r="Q68" s="22"/>
      <c r="R68" s="22"/>
      <c r="S68" s="18"/>
    </row>
    <row r="69" spans="2:26">
      <c r="B69" s="22"/>
      <c r="C69" s="22"/>
      <c r="D69" s="22"/>
      <c r="E69" s="22"/>
      <c r="F69" s="22"/>
      <c r="G69" s="22"/>
      <c r="H69" s="22"/>
      <c r="I69" s="22"/>
      <c r="J69" s="22"/>
      <c r="L69" s="22"/>
      <c r="M69" s="22"/>
      <c r="N69" s="22"/>
      <c r="O69" s="22"/>
      <c r="P69" s="22"/>
      <c r="Q69" s="22"/>
      <c r="R69" s="22"/>
      <c r="S69" s="18"/>
    </row>
    <row r="70" spans="2:26">
      <c r="B70" s="7"/>
      <c r="C70" s="7"/>
      <c r="D70" s="7"/>
      <c r="E70" s="7"/>
      <c r="F70" s="7"/>
      <c r="G70" s="7"/>
      <c r="H70" s="7"/>
      <c r="I70" s="7"/>
      <c r="J70" s="7"/>
      <c r="L70" s="7"/>
      <c r="M70" s="7"/>
      <c r="N70" s="7"/>
      <c r="O70" s="7"/>
      <c r="P70" s="7"/>
      <c r="Q70" s="7"/>
      <c r="R70" s="7"/>
    </row>
    <row r="71" spans="2:26" ht="13.8">
      <c r="B71" s="7"/>
      <c r="C71" s="7"/>
      <c r="D71" s="7"/>
      <c r="E71" s="7"/>
      <c r="F71" s="7"/>
      <c r="G71" s="238" t="s">
        <v>3</v>
      </c>
      <c r="H71" s="316">
        <v>10</v>
      </c>
      <c r="I71" s="14"/>
      <c r="J71" s="66"/>
      <c r="K71" s="69"/>
      <c r="L71" s="78"/>
      <c r="N71" s="7"/>
      <c r="O71" s="7"/>
      <c r="P71" s="7"/>
      <c r="Q71" s="7"/>
      <c r="R71" s="7"/>
    </row>
    <row r="72" spans="2:26" ht="13.8">
      <c r="B72" s="7"/>
      <c r="C72" s="7"/>
      <c r="D72" s="7"/>
      <c r="E72" s="7"/>
      <c r="F72" s="7"/>
      <c r="G72" s="238" t="s">
        <v>281</v>
      </c>
      <c r="H72" s="330">
        <f>ROUND(1+0.003865*H71+0.000012912*H71^2+0.0000000643323*H71^3-0.00000000024661*H71^4,5)</f>
        <v>1.04</v>
      </c>
      <c r="I72" s="7"/>
      <c r="J72" s="7"/>
      <c r="L72" s="7"/>
      <c r="M72" s="7"/>
      <c r="N72" s="7"/>
      <c r="O72" s="7"/>
      <c r="P72" s="7"/>
      <c r="Q72" s="7"/>
      <c r="R72" s="7"/>
    </row>
    <row r="73" spans="2:2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X73" s="23"/>
      <c r="Y73" s="23"/>
      <c r="Z73" s="23"/>
    </row>
    <row r="74" spans="2:2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X74" s="23"/>
      <c r="Y74" s="23"/>
      <c r="Z74" s="23"/>
    </row>
    <row r="75" spans="2:26">
      <c r="X75" s="23"/>
      <c r="Y75" s="23"/>
      <c r="Z75" s="23"/>
    </row>
    <row r="76" spans="2:26">
      <c r="X76" s="23"/>
      <c r="Y76" s="23"/>
      <c r="Z76" s="23"/>
    </row>
    <row r="77" spans="2:26">
      <c r="X77" s="23"/>
      <c r="Y77" s="23"/>
      <c r="Z77" s="23"/>
    </row>
    <row r="78" spans="2:26">
      <c r="X78" s="23"/>
      <c r="Y78" s="23"/>
      <c r="Z78" s="23"/>
    </row>
  </sheetData>
  <mergeCells count="36">
    <mergeCell ref="B48:L48"/>
    <mergeCell ref="R32:U32"/>
    <mergeCell ref="R48:U48"/>
    <mergeCell ref="M48:Q48"/>
    <mergeCell ref="Q8:X8"/>
    <mergeCell ref="V38:X38"/>
    <mergeCell ref="V40:X40"/>
    <mergeCell ref="V42:X42"/>
    <mergeCell ref="V43:X43"/>
    <mergeCell ref="V41:X41"/>
    <mergeCell ref="V48:X48"/>
    <mergeCell ref="V44:X44"/>
    <mergeCell ref="V45:X45"/>
    <mergeCell ref="V35:W35"/>
    <mergeCell ref="V46:X46"/>
    <mergeCell ref="V39:X39"/>
    <mergeCell ref="Y8:AB8"/>
    <mergeCell ref="X35:Y35"/>
    <mergeCell ref="B8:L8"/>
    <mergeCell ref="M8:P8"/>
    <mergeCell ref="B6:F6"/>
    <mergeCell ref="B32:L32"/>
    <mergeCell ref="M32:P32"/>
    <mergeCell ref="AA4:AB4"/>
    <mergeCell ref="AA5:AB5"/>
    <mergeCell ref="L3:R3"/>
    <mergeCell ref="L4:R4"/>
    <mergeCell ref="L5:R5"/>
    <mergeCell ref="V56:X56"/>
    <mergeCell ref="V49:X49"/>
    <mergeCell ref="V50:X50"/>
    <mergeCell ref="V51:X51"/>
    <mergeCell ref="Z57:AA57"/>
    <mergeCell ref="Z53:AA53"/>
    <mergeCell ref="V55:X55"/>
    <mergeCell ref="V52:X52"/>
  </mergeCells>
  <printOptions horizontalCentered="1" verticalCentered="1"/>
  <pageMargins left="0.35433070866141736" right="0.35433070866141736" top="0.39370078740157483" bottom="0.39370078740157483" header="0" footer="0"/>
  <pageSetup paperSize="9" scale="48" orientation="landscape" horizontalDpi="360" verticalDpi="360" r:id="rId1"/>
  <headerFooter alignWithMargins="0"/>
  <ignoredErrors>
    <ignoredError sqref="AB53 AB44:AB47 P60" formula="1"/>
    <ignoredError sqref="B11:B15 AA6 B35:B37 Q11:Q16" unlockedFormula="1"/>
    <ignoredError sqref="L30 L60" evalError="1"/>
    <ignoredError sqref="L46" evalError="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8"/>
  <sheetViews>
    <sheetView showGridLines="0" topLeftCell="A3" zoomScaleNormal="100" workbookViewId="0">
      <selection activeCell="P10" sqref="P10"/>
    </sheetView>
  </sheetViews>
  <sheetFormatPr baseColWidth="10" defaultColWidth="11.5546875" defaultRowHeight="13.2"/>
  <cols>
    <col min="1" max="1" width="11.5546875" style="1"/>
    <col min="2" max="2" width="10.109375" style="1" customWidth="1"/>
    <col min="3" max="4" width="10.88671875" style="1" customWidth="1"/>
    <col min="5" max="5" width="13.5546875" style="1" bestFit="1" customWidth="1"/>
    <col min="6" max="6" width="11" style="1" bestFit="1" customWidth="1"/>
    <col min="7" max="7" width="11.88671875" style="1" customWidth="1"/>
    <col min="8" max="8" width="11.44140625" style="1" customWidth="1"/>
    <col min="9" max="10" width="11.109375" style="1" customWidth="1"/>
    <col min="11" max="11" width="11.44140625" style="1" customWidth="1"/>
    <col min="12" max="12" width="12.5546875" style="1" customWidth="1"/>
    <col min="13" max="13" width="12.44140625" style="1" customWidth="1"/>
    <col min="14" max="14" width="12.5546875" style="1" customWidth="1"/>
    <col min="15" max="15" width="16.109375" style="1" bestFit="1" customWidth="1"/>
    <col min="16" max="16" width="12.88671875" style="1" customWidth="1"/>
    <col min="17" max="17" width="13.5546875" style="1" customWidth="1"/>
    <col min="18" max="18" width="13" style="1" customWidth="1"/>
    <col min="19" max="24" width="12.88671875" style="1" customWidth="1"/>
    <col min="25" max="25" width="13.109375" style="1" customWidth="1"/>
    <col min="26" max="26" width="13.88671875" style="1" customWidth="1"/>
    <col min="27" max="27" width="12.44140625" style="1" customWidth="1"/>
    <col min="28" max="28" width="12" style="1" customWidth="1"/>
    <col min="29" max="29" width="14.44140625" style="1" customWidth="1"/>
    <col min="30" max="16384" width="11.5546875" style="1"/>
  </cols>
  <sheetData>
    <row r="1" spans="1:32" ht="18" customHeight="1">
      <c r="N1" s="53"/>
      <c r="O1" s="53"/>
      <c r="Q1" s="87"/>
      <c r="R1" s="87"/>
    </row>
    <row r="2" spans="1:32" ht="18" customHeight="1">
      <c r="M2" s="53"/>
      <c r="N2" s="53"/>
      <c r="O2" s="53"/>
      <c r="P2" s="87"/>
    </row>
    <row r="3" spans="1:32" ht="30">
      <c r="C3" s="26"/>
      <c r="D3" s="26"/>
      <c r="E3" s="26"/>
      <c r="F3" s="26"/>
      <c r="I3" s="95"/>
      <c r="J3" s="95"/>
      <c r="L3" s="468" t="s">
        <v>12</v>
      </c>
      <c r="M3" s="468"/>
      <c r="N3" s="468"/>
      <c r="O3" s="468"/>
      <c r="P3" s="468"/>
      <c r="Q3" s="468"/>
      <c r="R3" s="468"/>
      <c r="S3" s="468"/>
      <c r="U3" s="102" t="s">
        <v>15</v>
      </c>
      <c r="X3" s="10"/>
      <c r="Y3" s="10"/>
      <c r="Z3" s="10"/>
    </row>
    <row r="4" spans="1:32" ht="21" customHeight="1" thickBot="1">
      <c r="I4" s="24"/>
      <c r="J4" s="24"/>
      <c r="L4" s="482" t="s">
        <v>73</v>
      </c>
      <c r="M4" s="482"/>
      <c r="N4" s="482"/>
      <c r="O4" s="482"/>
      <c r="P4" s="482"/>
      <c r="Q4" s="482"/>
      <c r="R4" s="482"/>
      <c r="S4" s="482"/>
      <c r="X4" s="297" t="s">
        <v>26</v>
      </c>
      <c r="Y4" s="481">
        <f>+'Jugos &amp; Meladura'!Q4</f>
        <v>45268</v>
      </c>
      <c r="Z4" s="481"/>
    </row>
    <row r="5" spans="1:32" ht="27" customHeight="1">
      <c r="B5" s="2"/>
      <c r="C5" s="2"/>
      <c r="D5" s="2"/>
      <c r="E5" s="2"/>
      <c r="F5" s="2"/>
      <c r="I5" s="27"/>
      <c r="J5" s="27"/>
      <c r="L5" s="464" t="s">
        <v>72</v>
      </c>
      <c r="M5" s="464"/>
      <c r="N5" s="464"/>
      <c r="O5" s="464"/>
      <c r="P5" s="464"/>
      <c r="Q5" s="464"/>
      <c r="R5" s="464"/>
      <c r="S5" s="464"/>
      <c r="X5" s="298"/>
      <c r="Y5" s="472">
        <f>+Y4</f>
        <v>45268</v>
      </c>
      <c r="Z5" s="472"/>
    </row>
    <row r="6" spans="1:32" ht="22.65" customHeight="1" thickBot="1">
      <c r="B6" s="464" t="s">
        <v>13</v>
      </c>
      <c r="C6" s="464"/>
      <c r="D6" s="464"/>
      <c r="E6" s="464"/>
      <c r="F6" s="464"/>
      <c r="G6" s="3"/>
      <c r="H6" s="4"/>
      <c r="I6" s="5"/>
      <c r="J6" s="5"/>
      <c r="K6" s="6"/>
      <c r="L6" s="7"/>
      <c r="M6" s="7"/>
      <c r="N6" s="7"/>
      <c r="O6" s="6"/>
      <c r="X6" s="297" t="s">
        <v>25</v>
      </c>
      <c r="Y6" s="299">
        <f>+'Jugos &amp; Meladura'!Q6</f>
        <v>5</v>
      </c>
      <c r="Z6" s="299"/>
    </row>
    <row r="7" spans="1:32" ht="14.4" thickBot="1">
      <c r="B7" s="2"/>
      <c r="C7" s="2"/>
      <c r="D7" s="2"/>
      <c r="E7" s="2"/>
      <c r="F7" s="2"/>
      <c r="G7" s="2"/>
      <c r="H7" s="2"/>
      <c r="I7" s="8"/>
      <c r="J7" s="8"/>
      <c r="L7" s="397">
        <v>598340</v>
      </c>
      <c r="M7" s="497" t="s">
        <v>276</v>
      </c>
      <c r="N7" s="498"/>
      <c r="O7" s="397">
        <v>1000160992</v>
      </c>
      <c r="U7" s="101"/>
      <c r="X7" s="101"/>
      <c r="Y7" s="101"/>
      <c r="Z7" s="101"/>
    </row>
    <row r="8" spans="1:32" s="62" customFormat="1" ht="24.6" customHeight="1" thickBot="1">
      <c r="B8" s="465" t="s">
        <v>74</v>
      </c>
      <c r="C8" s="466"/>
      <c r="D8" s="466"/>
      <c r="E8" s="466"/>
      <c r="F8" s="466"/>
      <c r="G8" s="466"/>
      <c r="H8" s="466"/>
      <c r="I8" s="466"/>
      <c r="J8" s="467"/>
      <c r="K8" s="465" t="s">
        <v>82</v>
      </c>
      <c r="L8" s="466"/>
      <c r="M8" s="467"/>
      <c r="N8" s="465" t="s">
        <v>16</v>
      </c>
      <c r="O8" s="466"/>
      <c r="P8" s="467"/>
      <c r="Q8" s="465" t="s">
        <v>86</v>
      </c>
      <c r="R8" s="467"/>
      <c r="S8" s="465" t="s">
        <v>87</v>
      </c>
      <c r="T8" s="467"/>
      <c r="U8" s="465" t="s">
        <v>90</v>
      </c>
      <c r="V8" s="467"/>
      <c r="W8" s="465" t="s">
        <v>91</v>
      </c>
      <c r="X8" s="467"/>
      <c r="Y8" s="465" t="s">
        <v>99</v>
      </c>
      <c r="Z8" s="467"/>
      <c r="AA8" s="1"/>
      <c r="AB8" s="1"/>
      <c r="AC8" s="1"/>
      <c r="AD8" s="1"/>
      <c r="AE8" s="1"/>
      <c r="AF8" s="1"/>
    </row>
    <row r="9" spans="1:32" s="63" customFormat="1" ht="32.4" customHeight="1" thickBot="1">
      <c r="B9" s="28" t="s">
        <v>2</v>
      </c>
      <c r="C9" s="74" t="s">
        <v>75</v>
      </c>
      <c r="D9" s="60" t="s">
        <v>76</v>
      </c>
      <c r="E9" s="60" t="s">
        <v>77</v>
      </c>
      <c r="F9" s="60" t="s">
        <v>78</v>
      </c>
      <c r="G9" s="60" t="s">
        <v>273</v>
      </c>
      <c r="H9" s="60" t="s">
        <v>79</v>
      </c>
      <c r="I9" s="60" t="s">
        <v>80</v>
      </c>
      <c r="J9" s="103" t="s">
        <v>81</v>
      </c>
      <c r="K9" s="122" t="s">
        <v>83</v>
      </c>
      <c r="L9" s="75" t="s">
        <v>84</v>
      </c>
      <c r="M9" s="76" t="s">
        <v>85</v>
      </c>
      <c r="N9" s="122" t="s">
        <v>83</v>
      </c>
      <c r="O9" s="75" t="s">
        <v>84</v>
      </c>
      <c r="P9" s="76" t="s">
        <v>85</v>
      </c>
      <c r="Q9" s="124" t="s">
        <v>33</v>
      </c>
      <c r="R9" s="125" t="s">
        <v>48</v>
      </c>
      <c r="S9" s="72" t="s">
        <v>88</v>
      </c>
      <c r="T9" s="73" t="s">
        <v>89</v>
      </c>
      <c r="U9" s="72" t="s">
        <v>88</v>
      </c>
      <c r="V9" s="73" t="s">
        <v>89</v>
      </c>
      <c r="W9" s="72" t="s">
        <v>88</v>
      </c>
      <c r="X9" s="73" t="s">
        <v>89</v>
      </c>
      <c r="Y9" s="72" t="s">
        <v>48</v>
      </c>
      <c r="Z9" s="73" t="s">
        <v>8</v>
      </c>
      <c r="AA9" s="118"/>
      <c r="AB9" s="118"/>
      <c r="AC9" s="118"/>
      <c r="AD9" s="1"/>
      <c r="AE9" s="1"/>
      <c r="AF9" s="1"/>
    </row>
    <row r="10" spans="1:32" s="10" customFormat="1" ht="15.6">
      <c r="A10" s="17">
        <v>1</v>
      </c>
      <c r="B10" s="99">
        <v>0.25</v>
      </c>
      <c r="C10" s="354"/>
      <c r="D10" s="355"/>
      <c r="E10" s="355"/>
      <c r="F10" s="356"/>
      <c r="G10" s="356"/>
      <c r="H10" s="356"/>
      <c r="I10" s="356"/>
      <c r="J10" s="357"/>
      <c r="K10" s="358"/>
      <c r="L10" s="359">
        <v>599694</v>
      </c>
      <c r="M10" s="379">
        <f>IF((L10-L7)&lt;0,"",ROUND((L10-L7)*0.003511943101,3))</f>
        <v>4.7549999999999999</v>
      </c>
      <c r="N10" s="369"/>
      <c r="O10" s="359">
        <v>1000263642</v>
      </c>
      <c r="P10" s="379">
        <f>IF((O10-O7)&lt;0,"",ROUND((O10-O7)*0.003511943101,3))</f>
        <v>360.50099999999998</v>
      </c>
      <c r="Q10" s="369"/>
      <c r="R10" s="325"/>
      <c r="S10" s="369"/>
      <c r="T10" s="435"/>
      <c r="U10" s="369"/>
      <c r="V10" s="435"/>
      <c r="W10" s="369"/>
      <c r="X10" s="435"/>
      <c r="Y10" s="369"/>
      <c r="Z10" s="374"/>
      <c r="AA10" s="118"/>
      <c r="AB10" s="118"/>
      <c r="AC10" s="118"/>
      <c r="AD10" s="1"/>
      <c r="AE10" s="1"/>
      <c r="AF10" s="1"/>
    </row>
    <row r="11" spans="1:32" s="10" customFormat="1" ht="15.6">
      <c r="A11" s="17">
        <f>+A10+1</f>
        <v>2</v>
      </c>
      <c r="B11" s="99">
        <v>0.29166666666666669</v>
      </c>
      <c r="C11" s="360"/>
      <c r="D11" s="361"/>
      <c r="E11" s="361"/>
      <c r="F11" s="362"/>
      <c r="G11" s="362"/>
      <c r="H11" s="362"/>
      <c r="I11" s="362"/>
      <c r="J11" s="363"/>
      <c r="K11" s="364"/>
      <c r="L11" s="365">
        <v>606249</v>
      </c>
      <c r="M11" s="213">
        <f>ROUND((L11-L10)*0.003511943101,3)</f>
        <v>23.021000000000001</v>
      </c>
      <c r="N11" s="370"/>
      <c r="O11" s="365">
        <v>1000542397</v>
      </c>
      <c r="P11" s="225">
        <f>ROUND((O11-O10)/2204.62*0.95,3)</f>
        <v>120.119</v>
      </c>
      <c r="Q11" s="370">
        <v>2.4</v>
      </c>
      <c r="R11" s="326">
        <v>51.83</v>
      </c>
      <c r="S11" s="370"/>
      <c r="T11" s="432"/>
      <c r="U11" s="370"/>
      <c r="V11" s="432"/>
      <c r="W11" s="370"/>
      <c r="X11" s="432"/>
      <c r="Y11" s="370"/>
      <c r="Z11" s="375"/>
      <c r="AA11" s="118"/>
      <c r="AB11" s="118"/>
      <c r="AC11" s="118"/>
      <c r="AD11" s="1" t="s">
        <v>53</v>
      </c>
      <c r="AE11" s="1"/>
      <c r="AF11" s="1"/>
    </row>
    <row r="12" spans="1:32" s="10" customFormat="1" ht="15.6">
      <c r="A12" s="17">
        <f t="shared" ref="A12:A33" si="0">+A11+1</f>
        <v>3</v>
      </c>
      <c r="B12" s="99">
        <v>0.33333333333333331</v>
      </c>
      <c r="C12" s="360">
        <v>5.2</v>
      </c>
      <c r="D12" s="361">
        <v>5.3</v>
      </c>
      <c r="E12" s="361">
        <v>6</v>
      </c>
      <c r="F12" s="362">
        <v>4.9000000000000004</v>
      </c>
      <c r="G12" s="362">
        <v>6.6</v>
      </c>
      <c r="H12" s="362">
        <v>8</v>
      </c>
      <c r="I12" s="362">
        <v>6.3</v>
      </c>
      <c r="J12" s="363">
        <v>6.1</v>
      </c>
      <c r="K12" s="364"/>
      <c r="L12" s="365">
        <v>618370</v>
      </c>
      <c r="M12" s="213">
        <f t="shared" ref="M12:M33" si="1">ROUND((L12-L11)*0.003511943101,3)</f>
        <v>42.567999999999998</v>
      </c>
      <c r="N12" s="370"/>
      <c r="O12" s="365">
        <v>1000958247</v>
      </c>
      <c r="P12" s="225">
        <f t="shared" ref="P12:P33" si="2">ROUND((O12-O11)/2204.62*0.95,3)</f>
        <v>179.19499999999999</v>
      </c>
      <c r="Q12" s="370">
        <v>2.13</v>
      </c>
      <c r="R12" s="326">
        <v>50.95</v>
      </c>
      <c r="S12" s="370">
        <v>1.94</v>
      </c>
      <c r="T12" s="432">
        <v>186</v>
      </c>
      <c r="U12" s="370">
        <v>2.48</v>
      </c>
      <c r="V12" s="432">
        <v>228</v>
      </c>
      <c r="W12" s="370"/>
      <c r="X12" s="432"/>
      <c r="Y12" s="370"/>
      <c r="Z12" s="375"/>
      <c r="AA12" s="118"/>
      <c r="AB12" s="118"/>
      <c r="AC12" s="118"/>
      <c r="AD12" s="1"/>
      <c r="AE12" s="1"/>
      <c r="AF12" s="1"/>
    </row>
    <row r="13" spans="1:32" s="10" customFormat="1" ht="15.6">
      <c r="A13" s="17">
        <f t="shared" si="0"/>
        <v>4</v>
      </c>
      <c r="B13" s="99">
        <v>0.375</v>
      </c>
      <c r="C13" s="360">
        <v>5.0999999999999996</v>
      </c>
      <c r="D13" s="361">
        <v>5.2</v>
      </c>
      <c r="E13" s="361">
        <v>5.9</v>
      </c>
      <c r="F13" s="362">
        <v>5</v>
      </c>
      <c r="G13" s="362"/>
      <c r="H13" s="362">
        <v>7.2</v>
      </c>
      <c r="I13" s="362">
        <v>6.4</v>
      </c>
      <c r="J13" s="363">
        <v>6</v>
      </c>
      <c r="K13" s="364">
        <v>130</v>
      </c>
      <c r="L13" s="365">
        <v>628008</v>
      </c>
      <c r="M13" s="213">
        <f t="shared" si="1"/>
        <v>33.847999999999999</v>
      </c>
      <c r="N13" s="370"/>
      <c r="O13" s="365">
        <v>1001381232</v>
      </c>
      <c r="P13" s="225">
        <f t="shared" si="2"/>
        <v>182.27</v>
      </c>
      <c r="Q13" s="370">
        <v>1.64</v>
      </c>
      <c r="R13" s="326">
        <v>51.28</v>
      </c>
      <c r="S13" s="370">
        <v>1.96</v>
      </c>
      <c r="T13" s="432">
        <v>166.23</v>
      </c>
      <c r="U13" s="370">
        <v>2.42</v>
      </c>
      <c r="V13" s="432">
        <v>175.64</v>
      </c>
      <c r="W13" s="370">
        <v>2.5</v>
      </c>
      <c r="X13" s="432">
        <v>201.22</v>
      </c>
      <c r="Y13" s="370"/>
      <c r="Z13" s="375"/>
      <c r="AA13" s="118"/>
      <c r="AB13" s="118"/>
      <c r="AC13" s="118"/>
      <c r="AD13" s="1"/>
      <c r="AE13" s="1"/>
      <c r="AF13" s="1"/>
    </row>
    <row r="14" spans="1:32" s="10" customFormat="1" ht="15.6">
      <c r="A14" s="17">
        <f t="shared" si="0"/>
        <v>5</v>
      </c>
      <c r="B14" s="99">
        <v>0.41666666666666669</v>
      </c>
      <c r="C14" s="360">
        <v>5.3</v>
      </c>
      <c r="D14" s="361">
        <v>5.4</v>
      </c>
      <c r="E14" s="361">
        <v>6.1</v>
      </c>
      <c r="F14" s="362">
        <v>5.0999999999999996</v>
      </c>
      <c r="G14" s="362"/>
      <c r="H14" s="362">
        <v>7</v>
      </c>
      <c r="I14" s="362">
        <v>6.5</v>
      </c>
      <c r="J14" s="363">
        <v>6.1</v>
      </c>
      <c r="K14" s="364"/>
      <c r="L14" s="365">
        <v>632276</v>
      </c>
      <c r="M14" s="213">
        <f t="shared" si="1"/>
        <v>14.989000000000001</v>
      </c>
      <c r="N14" s="370"/>
      <c r="O14" s="365">
        <v>1001572149</v>
      </c>
      <c r="P14" s="225">
        <f t="shared" si="2"/>
        <v>82.269000000000005</v>
      </c>
      <c r="Q14" s="370">
        <v>2.16</v>
      </c>
      <c r="R14" s="326">
        <v>51.52</v>
      </c>
      <c r="S14" s="370"/>
      <c r="T14" s="432"/>
      <c r="U14" s="370"/>
      <c r="V14" s="432"/>
      <c r="W14" s="370"/>
      <c r="X14" s="432"/>
      <c r="Y14" s="370"/>
      <c r="Z14" s="375"/>
      <c r="AA14" s="118"/>
      <c r="AB14" s="118"/>
      <c r="AC14" s="118"/>
      <c r="AD14" s="1"/>
      <c r="AE14" s="1"/>
      <c r="AF14" s="1"/>
    </row>
    <row r="15" spans="1:32" s="10" customFormat="1" ht="15.6">
      <c r="A15" s="17">
        <f t="shared" si="0"/>
        <v>6</v>
      </c>
      <c r="B15" s="99">
        <v>0.45833333333333331</v>
      </c>
      <c r="C15" s="360">
        <v>5.0999999999999996</v>
      </c>
      <c r="D15" s="361">
        <v>5.2</v>
      </c>
      <c r="E15" s="361">
        <v>6</v>
      </c>
      <c r="F15" s="362">
        <v>4.8</v>
      </c>
      <c r="G15" s="362">
        <v>6.5</v>
      </c>
      <c r="H15" s="362">
        <v>6.9</v>
      </c>
      <c r="I15" s="362">
        <v>6</v>
      </c>
      <c r="J15" s="363"/>
      <c r="K15" s="364">
        <v>128</v>
      </c>
      <c r="L15" s="365">
        <v>639665</v>
      </c>
      <c r="M15" s="213">
        <f t="shared" si="1"/>
        <v>25.95</v>
      </c>
      <c r="N15" s="370"/>
      <c r="O15" s="365">
        <v>1001926076</v>
      </c>
      <c r="P15" s="225">
        <f t="shared" si="2"/>
        <v>152.512</v>
      </c>
      <c r="Q15" s="370">
        <v>2.2400000000000002</v>
      </c>
      <c r="R15" s="326">
        <v>50.84</v>
      </c>
      <c r="S15" s="370">
        <v>2.1</v>
      </c>
      <c r="T15" s="432">
        <v>216.27</v>
      </c>
      <c r="U15" s="370">
        <v>2.2400000000000002</v>
      </c>
      <c r="V15" s="432">
        <v>241</v>
      </c>
      <c r="W15" s="370">
        <v>2.48</v>
      </c>
      <c r="X15" s="432">
        <v>314.58</v>
      </c>
      <c r="Y15" s="370"/>
      <c r="Z15" s="375"/>
      <c r="AA15" s="118"/>
      <c r="AB15" s="118"/>
      <c r="AC15" s="118"/>
      <c r="AD15" s="1"/>
      <c r="AE15" s="1"/>
      <c r="AF15" s="1"/>
    </row>
    <row r="16" spans="1:32" s="10" customFormat="1" ht="15.6">
      <c r="A16" s="17">
        <f t="shared" si="0"/>
        <v>7</v>
      </c>
      <c r="B16" s="99">
        <v>0.5</v>
      </c>
      <c r="C16" s="360">
        <v>5.2</v>
      </c>
      <c r="D16" s="361">
        <v>5.3</v>
      </c>
      <c r="E16" s="361">
        <v>6.1</v>
      </c>
      <c r="F16" s="362">
        <v>4.5999999999999996</v>
      </c>
      <c r="G16" s="362"/>
      <c r="H16" s="362">
        <v>7.4</v>
      </c>
      <c r="I16" s="362">
        <v>6.3</v>
      </c>
      <c r="J16" s="363">
        <v>6</v>
      </c>
      <c r="K16" s="364">
        <v>131</v>
      </c>
      <c r="L16" s="365">
        <v>649570</v>
      </c>
      <c r="M16" s="213">
        <f t="shared" si="1"/>
        <v>34.786000000000001</v>
      </c>
      <c r="N16" s="371"/>
      <c r="O16" s="365">
        <v>1002410678</v>
      </c>
      <c r="P16" s="225">
        <f t="shared" si="2"/>
        <v>208.821</v>
      </c>
      <c r="Q16" s="370">
        <v>1.91</v>
      </c>
      <c r="R16" s="326">
        <v>51.35</v>
      </c>
      <c r="S16" s="370">
        <v>2.02</v>
      </c>
      <c r="T16" s="432">
        <v>198</v>
      </c>
      <c r="U16" s="370">
        <v>2.16</v>
      </c>
      <c r="V16" s="432">
        <v>217</v>
      </c>
      <c r="W16" s="370">
        <v>2.2400000000000002</v>
      </c>
      <c r="X16" s="432">
        <v>227</v>
      </c>
      <c r="Y16" s="370"/>
      <c r="Z16" s="375"/>
      <c r="AA16" s="118"/>
      <c r="AB16" s="118"/>
      <c r="AC16" s="118"/>
      <c r="AD16" s="1"/>
      <c r="AE16" s="1"/>
      <c r="AF16" s="1"/>
    </row>
    <row r="17" spans="1:32" s="10" customFormat="1" ht="15.6">
      <c r="A17" s="17">
        <f t="shared" si="0"/>
        <v>8</v>
      </c>
      <c r="B17" s="99">
        <v>0.54166666666666663</v>
      </c>
      <c r="C17" s="360"/>
      <c r="D17" s="361"/>
      <c r="E17" s="361"/>
      <c r="F17" s="362"/>
      <c r="G17" s="362"/>
      <c r="H17" s="362"/>
      <c r="I17" s="362"/>
      <c r="J17" s="363"/>
      <c r="K17" s="364">
        <v>130</v>
      </c>
      <c r="L17" s="365">
        <v>658670</v>
      </c>
      <c r="M17" s="213">
        <f t="shared" si="1"/>
        <v>31.959</v>
      </c>
      <c r="N17" s="372"/>
      <c r="O17" s="365">
        <v>1002865074</v>
      </c>
      <c r="P17" s="225">
        <f t="shared" si="2"/>
        <v>195.80500000000001</v>
      </c>
      <c r="Q17" s="370"/>
      <c r="R17" s="326"/>
      <c r="S17" s="370"/>
      <c r="T17" s="432"/>
      <c r="U17" s="370"/>
      <c r="V17" s="432"/>
      <c r="W17" s="370"/>
      <c r="X17" s="430"/>
      <c r="Y17" s="370"/>
      <c r="Z17" s="375"/>
      <c r="AA17" s="118"/>
      <c r="AB17" s="118"/>
      <c r="AC17" s="118"/>
      <c r="AD17" s="1"/>
      <c r="AE17" s="1"/>
      <c r="AF17" s="1"/>
    </row>
    <row r="18" spans="1:32" s="10" customFormat="1" ht="15.6">
      <c r="A18" s="17">
        <f t="shared" si="0"/>
        <v>9</v>
      </c>
      <c r="B18" s="99">
        <v>0.58333333333333337</v>
      </c>
      <c r="C18" s="360">
        <v>5.21</v>
      </c>
      <c r="D18" s="361">
        <v>5.3</v>
      </c>
      <c r="E18" s="361">
        <v>6.15</v>
      </c>
      <c r="F18" s="362">
        <v>5.0999999999999996</v>
      </c>
      <c r="G18" s="362">
        <v>8.66</v>
      </c>
      <c r="H18" s="362">
        <v>7.14</v>
      </c>
      <c r="I18" s="362">
        <v>6.61</v>
      </c>
      <c r="J18" s="363">
        <v>5.92</v>
      </c>
      <c r="K18" s="364">
        <v>131</v>
      </c>
      <c r="L18" s="365">
        <v>664770</v>
      </c>
      <c r="M18" s="213">
        <f t="shared" si="1"/>
        <v>21.422999999999998</v>
      </c>
      <c r="N18" s="372"/>
      <c r="O18" s="365">
        <v>1003159507</v>
      </c>
      <c r="P18" s="225">
        <f t="shared" si="2"/>
        <v>126.875</v>
      </c>
      <c r="Q18" s="370">
        <v>2.7</v>
      </c>
      <c r="R18" s="326">
        <v>51.45</v>
      </c>
      <c r="S18" s="370">
        <v>1.78</v>
      </c>
      <c r="T18" s="436">
        <v>122.94</v>
      </c>
      <c r="U18" s="370">
        <v>2.1800000000000002</v>
      </c>
      <c r="V18" s="432">
        <v>143.63999999999999</v>
      </c>
      <c r="W18" s="370">
        <v>2.8</v>
      </c>
      <c r="X18" s="432">
        <v>106</v>
      </c>
      <c r="Y18" s="370"/>
      <c r="Z18" s="375"/>
      <c r="AA18" s="118"/>
      <c r="AB18" s="118"/>
      <c r="AC18" s="118"/>
      <c r="AD18" s="1"/>
      <c r="AE18" s="1"/>
      <c r="AF18" s="1"/>
    </row>
    <row r="19" spans="1:32" s="10" customFormat="1" ht="15.6">
      <c r="A19" s="17">
        <f t="shared" si="0"/>
        <v>10</v>
      </c>
      <c r="B19" s="99">
        <v>0.625</v>
      </c>
      <c r="C19" s="360">
        <v>5.0999999999999996</v>
      </c>
      <c r="D19" s="361">
        <v>5.18</v>
      </c>
      <c r="E19" s="361">
        <v>5.3</v>
      </c>
      <c r="F19" s="362">
        <v>5</v>
      </c>
      <c r="G19" s="362"/>
      <c r="H19" s="362">
        <v>7.74</v>
      </c>
      <c r="I19" s="362">
        <v>6.4</v>
      </c>
      <c r="J19" s="363">
        <v>5.21</v>
      </c>
      <c r="K19" s="364">
        <v>99</v>
      </c>
      <c r="L19" s="365">
        <v>671947</v>
      </c>
      <c r="M19" s="213">
        <f t="shared" si="1"/>
        <v>25.204999999999998</v>
      </c>
      <c r="N19" s="370"/>
      <c r="O19" s="365">
        <v>1003578802</v>
      </c>
      <c r="P19" s="225">
        <f t="shared" si="2"/>
        <v>180.68</v>
      </c>
      <c r="Q19" s="370">
        <v>2.78</v>
      </c>
      <c r="R19" s="326">
        <v>51.32</v>
      </c>
      <c r="S19" s="370">
        <v>1.8</v>
      </c>
      <c r="T19" s="436">
        <v>64</v>
      </c>
      <c r="U19" s="370">
        <v>2.2400000000000002</v>
      </c>
      <c r="V19" s="432">
        <v>71</v>
      </c>
      <c r="W19" s="370">
        <v>2.4</v>
      </c>
      <c r="X19" s="432">
        <v>137</v>
      </c>
      <c r="Y19" s="370"/>
      <c r="Z19" s="375"/>
      <c r="AA19" s="118"/>
      <c r="AB19" s="118"/>
      <c r="AC19" s="118"/>
      <c r="AD19" s="1"/>
      <c r="AE19" s="1"/>
      <c r="AF19" s="1"/>
    </row>
    <row r="20" spans="1:32" s="10" customFormat="1" ht="15.6">
      <c r="A20" s="17">
        <f t="shared" si="0"/>
        <v>11</v>
      </c>
      <c r="B20" s="99">
        <v>0.66666666666666663</v>
      </c>
      <c r="C20" s="360">
        <v>5.25</v>
      </c>
      <c r="D20" s="361">
        <v>5.27</v>
      </c>
      <c r="E20" s="361">
        <v>5.76</v>
      </c>
      <c r="F20" s="362">
        <v>4.71</v>
      </c>
      <c r="G20" s="362">
        <v>6.64</v>
      </c>
      <c r="H20" s="362">
        <v>7.28</v>
      </c>
      <c r="I20" s="362">
        <v>6.27</v>
      </c>
      <c r="J20" s="363">
        <v>6.19</v>
      </c>
      <c r="K20" s="364">
        <v>102</v>
      </c>
      <c r="L20" s="365">
        <v>678899</v>
      </c>
      <c r="M20" s="213">
        <f t="shared" si="1"/>
        <v>24.414999999999999</v>
      </c>
      <c r="N20" s="370"/>
      <c r="O20" s="365">
        <v>1004009968</v>
      </c>
      <c r="P20" s="225">
        <f t="shared" si="2"/>
        <v>185.79499999999999</v>
      </c>
      <c r="Q20" s="370">
        <v>2.35</v>
      </c>
      <c r="R20" s="326">
        <v>51.78</v>
      </c>
      <c r="S20" s="370">
        <v>2</v>
      </c>
      <c r="T20" s="436">
        <v>137</v>
      </c>
      <c r="U20" s="370">
        <v>2.36</v>
      </c>
      <c r="V20" s="432">
        <v>163</v>
      </c>
      <c r="W20" s="370">
        <v>2.68</v>
      </c>
      <c r="X20" s="432">
        <v>198</v>
      </c>
      <c r="Y20" s="370"/>
      <c r="Z20" s="375"/>
      <c r="AA20" s="118"/>
      <c r="AB20" s="118"/>
      <c r="AC20" s="118"/>
      <c r="AD20" s="1"/>
      <c r="AE20" s="1"/>
      <c r="AF20" s="1"/>
    </row>
    <row r="21" spans="1:32" s="10" customFormat="1" ht="15.6">
      <c r="A21" s="17">
        <f t="shared" si="0"/>
        <v>12</v>
      </c>
      <c r="B21" s="99">
        <v>0.70833333333333337</v>
      </c>
      <c r="C21" s="360">
        <v>5.22</v>
      </c>
      <c r="D21" s="361">
        <v>5.27</v>
      </c>
      <c r="E21" s="361">
        <v>5.84</v>
      </c>
      <c r="F21" s="362">
        <v>4.82</v>
      </c>
      <c r="G21" s="362"/>
      <c r="H21" s="362">
        <v>7.16</v>
      </c>
      <c r="I21" s="362">
        <v>6.67</v>
      </c>
      <c r="J21" s="363">
        <v>6.15</v>
      </c>
      <c r="K21" s="364">
        <v>103</v>
      </c>
      <c r="L21" s="365">
        <v>685896</v>
      </c>
      <c r="M21" s="213">
        <f t="shared" si="1"/>
        <v>24.573</v>
      </c>
      <c r="N21" s="370"/>
      <c r="O21" s="365">
        <v>1004437908</v>
      </c>
      <c r="P21" s="225">
        <f t="shared" si="2"/>
        <v>184.405</v>
      </c>
      <c r="Q21" s="370">
        <v>2.81</v>
      </c>
      <c r="R21" s="326">
        <v>51.63</v>
      </c>
      <c r="S21" s="370">
        <v>1.58</v>
      </c>
      <c r="T21" s="436">
        <v>92.01</v>
      </c>
      <c r="U21" s="370">
        <v>2.2999999999999998</v>
      </c>
      <c r="V21" s="432">
        <v>80.89</v>
      </c>
      <c r="W21" s="370">
        <v>2.58</v>
      </c>
      <c r="X21" s="432">
        <v>85</v>
      </c>
      <c r="Y21" s="370"/>
      <c r="Z21" s="375"/>
      <c r="AA21" s="118"/>
      <c r="AB21" s="118"/>
      <c r="AC21" s="118"/>
      <c r="AD21" s="1"/>
      <c r="AE21" s="1"/>
      <c r="AF21" s="1"/>
    </row>
    <row r="22" spans="1:32" s="10" customFormat="1" ht="15.6">
      <c r="A22" s="17">
        <f t="shared" si="0"/>
        <v>13</v>
      </c>
      <c r="B22" s="99">
        <v>0.75</v>
      </c>
      <c r="C22" s="360"/>
      <c r="D22" s="361"/>
      <c r="E22" s="361"/>
      <c r="F22" s="362"/>
      <c r="G22" s="366"/>
      <c r="H22" s="362"/>
      <c r="I22" s="362">
        <v>7.64</v>
      </c>
      <c r="J22" s="363">
        <v>6.23</v>
      </c>
      <c r="K22" s="367"/>
      <c r="L22" s="365">
        <v>690815</v>
      </c>
      <c r="M22" s="213">
        <f t="shared" si="1"/>
        <v>17.274999999999999</v>
      </c>
      <c r="N22" s="371"/>
      <c r="O22" s="365">
        <v>1004751549</v>
      </c>
      <c r="P22" s="225">
        <f t="shared" si="2"/>
        <v>135.15199999999999</v>
      </c>
      <c r="Q22" s="370"/>
      <c r="R22" s="326"/>
      <c r="S22" s="370">
        <v>1.9</v>
      </c>
      <c r="T22" s="436">
        <v>150</v>
      </c>
      <c r="U22" s="429">
        <v>2.16</v>
      </c>
      <c r="V22" s="431">
        <v>207</v>
      </c>
      <c r="W22" s="429">
        <v>2.2400000000000002</v>
      </c>
      <c r="X22" s="432">
        <v>173</v>
      </c>
      <c r="Y22" s="371"/>
      <c r="Z22" s="376"/>
      <c r="AA22" s="118"/>
      <c r="AB22" s="118"/>
      <c r="AC22" s="118"/>
      <c r="AD22" s="1"/>
      <c r="AE22" s="1"/>
      <c r="AF22" s="1"/>
    </row>
    <row r="23" spans="1:32" s="10" customFormat="1" ht="15.6">
      <c r="A23" s="17">
        <f t="shared" si="0"/>
        <v>14</v>
      </c>
      <c r="B23" s="99">
        <v>0.79166666666666663</v>
      </c>
      <c r="C23" s="360">
        <v>5.26</v>
      </c>
      <c r="D23" s="361">
        <v>5.4</v>
      </c>
      <c r="E23" s="361">
        <v>5.9</v>
      </c>
      <c r="F23" s="362">
        <v>4.7</v>
      </c>
      <c r="G23" s="366"/>
      <c r="H23" s="362">
        <v>6.93</v>
      </c>
      <c r="I23" s="362">
        <v>7.36</v>
      </c>
      <c r="J23" s="363">
        <v>6.47</v>
      </c>
      <c r="K23" s="368">
        <v>100</v>
      </c>
      <c r="L23" s="365">
        <v>696189</v>
      </c>
      <c r="M23" s="213">
        <f t="shared" si="1"/>
        <v>18.873000000000001</v>
      </c>
      <c r="N23" s="372"/>
      <c r="O23" s="365">
        <v>1005097022</v>
      </c>
      <c r="P23" s="225">
        <f t="shared" si="2"/>
        <v>148.869</v>
      </c>
      <c r="Q23" s="370">
        <v>2.5099999999999998</v>
      </c>
      <c r="R23" s="326">
        <v>50.98</v>
      </c>
      <c r="S23" s="370">
        <v>1.88</v>
      </c>
      <c r="T23" s="436">
        <v>113</v>
      </c>
      <c r="U23" s="433">
        <v>2.6</v>
      </c>
      <c r="V23" s="377">
        <v>83</v>
      </c>
      <c r="W23" s="433">
        <v>2.88</v>
      </c>
      <c r="X23" s="432">
        <v>108</v>
      </c>
      <c r="Y23" s="372"/>
      <c r="Z23" s="377"/>
      <c r="AA23" s="118"/>
      <c r="AB23" s="118"/>
      <c r="AC23" s="118"/>
      <c r="AD23" s="1"/>
      <c r="AE23" s="1"/>
      <c r="AF23" s="1"/>
    </row>
    <row r="24" spans="1:32" s="10" customFormat="1" ht="15.6">
      <c r="A24" s="17">
        <f t="shared" si="0"/>
        <v>15</v>
      </c>
      <c r="B24" s="99">
        <v>0.83333333333333337</v>
      </c>
      <c r="C24" s="360">
        <v>5.2</v>
      </c>
      <c r="D24" s="361">
        <v>5.3</v>
      </c>
      <c r="E24" s="361">
        <v>6</v>
      </c>
      <c r="F24" s="362">
        <v>4.8</v>
      </c>
      <c r="G24" s="366"/>
      <c r="H24" s="362">
        <v>7</v>
      </c>
      <c r="I24" s="362">
        <v>7</v>
      </c>
      <c r="J24" s="363">
        <v>5.9</v>
      </c>
      <c r="K24" s="368">
        <v>99</v>
      </c>
      <c r="L24" s="365">
        <v>703999</v>
      </c>
      <c r="M24" s="213">
        <f t="shared" si="1"/>
        <v>27.428000000000001</v>
      </c>
      <c r="N24" s="372"/>
      <c r="O24" s="365">
        <v>1005607319</v>
      </c>
      <c r="P24" s="225">
        <f t="shared" si="2"/>
        <v>219.89400000000001</v>
      </c>
      <c r="Q24" s="370">
        <v>2.54</v>
      </c>
      <c r="R24" s="326">
        <v>51.89</v>
      </c>
      <c r="S24" s="370">
        <v>1.94</v>
      </c>
      <c r="T24" s="436">
        <v>175</v>
      </c>
      <c r="U24" s="433">
        <v>2.48</v>
      </c>
      <c r="V24" s="377">
        <v>184</v>
      </c>
      <c r="W24" s="433">
        <v>2.6</v>
      </c>
      <c r="X24" s="432">
        <v>203</v>
      </c>
      <c r="Y24" s="372"/>
      <c r="Z24" s="377"/>
      <c r="AA24" s="118"/>
      <c r="AB24" s="118"/>
      <c r="AC24" s="118"/>
      <c r="AD24" s="1"/>
      <c r="AE24" s="1"/>
      <c r="AF24" s="1"/>
    </row>
    <row r="25" spans="1:32" s="10" customFormat="1" ht="15.6">
      <c r="A25" s="17">
        <f t="shared" si="0"/>
        <v>16</v>
      </c>
      <c r="B25" s="99">
        <v>0.875</v>
      </c>
      <c r="C25" s="360"/>
      <c r="D25" s="361"/>
      <c r="E25" s="361"/>
      <c r="F25" s="362"/>
      <c r="G25" s="366"/>
      <c r="H25" s="362"/>
      <c r="I25" s="362"/>
      <c r="J25" s="363"/>
      <c r="K25" s="368">
        <v>102</v>
      </c>
      <c r="L25" s="365">
        <v>710972</v>
      </c>
      <c r="M25" s="213">
        <f t="shared" si="1"/>
        <v>24.489000000000001</v>
      </c>
      <c r="N25" s="372"/>
      <c r="O25" s="365">
        <v>1006054642</v>
      </c>
      <c r="P25" s="225">
        <f t="shared" si="2"/>
        <v>192.75700000000001</v>
      </c>
      <c r="Q25" s="370"/>
      <c r="R25" s="326"/>
      <c r="S25" s="370"/>
      <c r="T25" s="434"/>
      <c r="U25" s="433"/>
      <c r="V25" s="377"/>
      <c r="W25" s="433"/>
      <c r="X25" s="432"/>
      <c r="Y25" s="372"/>
      <c r="Z25" s="377"/>
      <c r="AA25" s="118"/>
      <c r="AB25" s="118"/>
      <c r="AC25" s="118"/>
      <c r="AD25" s="1"/>
      <c r="AE25" s="1"/>
      <c r="AF25" s="1"/>
    </row>
    <row r="26" spans="1:32" s="10" customFormat="1" ht="15.6">
      <c r="A26" s="17">
        <f t="shared" si="0"/>
        <v>17</v>
      </c>
      <c r="B26" s="99">
        <v>0.91666666666666663</v>
      </c>
      <c r="C26" s="360">
        <v>5.3</v>
      </c>
      <c r="D26" s="361">
        <v>5.4</v>
      </c>
      <c r="E26" s="361">
        <v>5.7</v>
      </c>
      <c r="F26" s="362">
        <v>4.5</v>
      </c>
      <c r="G26" s="366">
        <v>7.2</v>
      </c>
      <c r="H26" s="362">
        <v>7.5</v>
      </c>
      <c r="I26" s="362">
        <v>6.6</v>
      </c>
      <c r="J26" s="363">
        <v>6.3</v>
      </c>
      <c r="K26" s="368">
        <v>103</v>
      </c>
      <c r="L26" s="365">
        <v>716748</v>
      </c>
      <c r="M26" s="213">
        <f t="shared" si="1"/>
        <v>20.285</v>
      </c>
      <c r="N26" s="372"/>
      <c r="O26" s="365">
        <v>1006408409</v>
      </c>
      <c r="P26" s="225">
        <f t="shared" si="2"/>
        <v>152.44300000000001</v>
      </c>
      <c r="Q26" s="370">
        <v>2.27</v>
      </c>
      <c r="R26" s="326">
        <v>51.42</v>
      </c>
      <c r="S26" s="370">
        <v>3.74</v>
      </c>
      <c r="T26" s="434">
        <v>107</v>
      </c>
      <c r="U26" s="433">
        <v>3.8</v>
      </c>
      <c r="V26" s="377">
        <v>79</v>
      </c>
      <c r="W26" s="433">
        <v>3.12</v>
      </c>
      <c r="X26" s="432">
        <v>71</v>
      </c>
      <c r="Y26" s="372"/>
      <c r="Z26" s="377"/>
      <c r="AA26" s="118"/>
      <c r="AB26" s="118"/>
      <c r="AC26" s="118"/>
      <c r="AD26" s="1"/>
      <c r="AE26" s="1"/>
      <c r="AF26" s="1"/>
    </row>
    <row r="27" spans="1:32" s="10" customFormat="1" ht="15.6">
      <c r="A27" s="17">
        <f t="shared" si="0"/>
        <v>18</v>
      </c>
      <c r="B27" s="99">
        <v>0.95833333333333337</v>
      </c>
      <c r="C27" s="360">
        <v>5.3</v>
      </c>
      <c r="D27" s="361">
        <v>5.3</v>
      </c>
      <c r="E27" s="361">
        <v>5.8</v>
      </c>
      <c r="F27" s="362">
        <v>4.4000000000000004</v>
      </c>
      <c r="G27" s="366"/>
      <c r="H27" s="362">
        <v>7.4</v>
      </c>
      <c r="I27" s="362">
        <v>7</v>
      </c>
      <c r="J27" s="363">
        <v>6.1</v>
      </c>
      <c r="K27" s="368">
        <v>103</v>
      </c>
      <c r="L27" s="365">
        <v>723095</v>
      </c>
      <c r="M27" s="213">
        <f t="shared" si="1"/>
        <v>22.29</v>
      </c>
      <c r="N27" s="372"/>
      <c r="O27" s="365">
        <v>1006794571</v>
      </c>
      <c r="P27" s="225">
        <f t="shared" si="2"/>
        <v>166.40199999999999</v>
      </c>
      <c r="Q27" s="370">
        <v>2.46</v>
      </c>
      <c r="R27" s="326">
        <v>50.64</v>
      </c>
      <c r="S27" s="370">
        <v>2.52</v>
      </c>
      <c r="T27" s="434">
        <v>44</v>
      </c>
      <c r="U27" s="433">
        <v>3</v>
      </c>
      <c r="V27" s="377">
        <v>72</v>
      </c>
      <c r="W27" s="433">
        <v>2.9</v>
      </c>
      <c r="X27" s="432">
        <v>61</v>
      </c>
      <c r="Y27" s="372"/>
      <c r="Z27" s="377"/>
      <c r="AA27" s="118"/>
      <c r="AB27" s="118"/>
      <c r="AC27" s="118"/>
      <c r="AD27" s="1"/>
      <c r="AE27" s="1"/>
      <c r="AF27" s="1"/>
    </row>
    <row r="28" spans="1:32" s="10" customFormat="1" ht="15.6">
      <c r="A28" s="17">
        <f t="shared" si="0"/>
        <v>19</v>
      </c>
      <c r="B28" s="99">
        <v>1</v>
      </c>
      <c r="C28" s="360">
        <v>5.3</v>
      </c>
      <c r="D28" s="361">
        <v>5.3</v>
      </c>
      <c r="E28" s="361">
        <v>5.9</v>
      </c>
      <c r="F28" s="362">
        <v>4.5</v>
      </c>
      <c r="G28" s="366">
        <v>6.7</v>
      </c>
      <c r="H28" s="362">
        <v>7.5</v>
      </c>
      <c r="I28" s="362">
        <v>6.9</v>
      </c>
      <c r="J28" s="363">
        <v>6.4</v>
      </c>
      <c r="K28" s="368">
        <v>101</v>
      </c>
      <c r="L28" s="365">
        <v>730205</v>
      </c>
      <c r="M28" s="213">
        <f t="shared" si="1"/>
        <v>24.97</v>
      </c>
      <c r="N28" s="372"/>
      <c r="O28" s="365">
        <v>1007226735</v>
      </c>
      <c r="P28" s="225">
        <f t="shared" si="2"/>
        <v>186.22499999999999</v>
      </c>
      <c r="Q28" s="370">
        <v>2.7</v>
      </c>
      <c r="R28" s="326">
        <v>50.32</v>
      </c>
      <c r="S28" s="370">
        <v>2.12</v>
      </c>
      <c r="T28" s="434">
        <v>75</v>
      </c>
      <c r="U28" s="433">
        <v>2.44</v>
      </c>
      <c r="V28" s="377">
        <v>70</v>
      </c>
      <c r="W28" s="433">
        <v>2.08</v>
      </c>
      <c r="X28" s="432">
        <v>63</v>
      </c>
      <c r="Y28" s="372"/>
      <c r="Z28" s="377"/>
      <c r="AA28" s="118"/>
      <c r="AB28" s="118"/>
      <c r="AC28" s="118"/>
      <c r="AD28" s="1"/>
      <c r="AE28" s="1"/>
      <c r="AF28" s="1"/>
    </row>
    <row r="29" spans="1:32" s="10" customFormat="1" ht="15.6">
      <c r="A29" s="17">
        <f t="shared" si="0"/>
        <v>20</v>
      </c>
      <c r="B29" s="99">
        <v>4.1666666666666664E-2</v>
      </c>
      <c r="C29" s="360">
        <v>5.3</v>
      </c>
      <c r="D29" s="361">
        <v>5.4</v>
      </c>
      <c r="E29" s="361">
        <v>5.8</v>
      </c>
      <c r="F29" s="362">
        <v>4.9000000000000004</v>
      </c>
      <c r="G29" s="366"/>
      <c r="H29" s="362">
        <v>6.9</v>
      </c>
      <c r="I29" s="362">
        <v>6.8</v>
      </c>
      <c r="J29" s="363">
        <v>6.4</v>
      </c>
      <c r="K29" s="368">
        <v>100</v>
      </c>
      <c r="L29" s="365">
        <v>736883</v>
      </c>
      <c r="M29" s="213">
        <f t="shared" si="1"/>
        <v>23.452999999999999</v>
      </c>
      <c r="N29" s="372"/>
      <c r="O29" s="365">
        <v>1007624876</v>
      </c>
      <c r="P29" s="225">
        <f t="shared" si="2"/>
        <v>171.56399999999999</v>
      </c>
      <c r="Q29" s="370">
        <v>2.62</v>
      </c>
      <c r="R29" s="326">
        <v>51</v>
      </c>
      <c r="S29" s="370">
        <v>2.08</v>
      </c>
      <c r="T29" s="434">
        <v>56</v>
      </c>
      <c r="U29" s="433">
        <v>2.56</v>
      </c>
      <c r="V29" s="377">
        <v>76</v>
      </c>
      <c r="W29" s="433">
        <v>2.76</v>
      </c>
      <c r="X29" s="432">
        <v>74</v>
      </c>
      <c r="Y29" s="372"/>
      <c r="Z29" s="377"/>
      <c r="AA29" s="118"/>
      <c r="AB29" s="118"/>
      <c r="AC29" s="118"/>
      <c r="AD29" s="1"/>
      <c r="AE29" s="1"/>
      <c r="AF29" s="1"/>
    </row>
    <row r="30" spans="1:32" s="10" customFormat="1" ht="19.649999999999999" customHeight="1">
      <c r="A30" s="17">
        <f t="shared" si="0"/>
        <v>21</v>
      </c>
      <c r="B30" s="99">
        <v>8.3333333333333329E-2</v>
      </c>
      <c r="C30" s="360">
        <v>5.3</v>
      </c>
      <c r="D30" s="361">
        <v>5.3</v>
      </c>
      <c r="E30" s="361">
        <v>5.9</v>
      </c>
      <c r="F30" s="362">
        <v>4.7</v>
      </c>
      <c r="G30" s="366">
        <v>7.15</v>
      </c>
      <c r="H30" s="362">
        <v>6.8</v>
      </c>
      <c r="I30" s="362">
        <v>6.6</v>
      </c>
      <c r="J30" s="363">
        <v>6.3</v>
      </c>
      <c r="K30" s="368">
        <v>95</v>
      </c>
      <c r="L30" s="365">
        <v>744860</v>
      </c>
      <c r="M30" s="213">
        <f t="shared" si="1"/>
        <v>28.015000000000001</v>
      </c>
      <c r="N30" s="372"/>
      <c r="O30" s="365">
        <v>1008132459</v>
      </c>
      <c r="P30" s="225">
        <f t="shared" si="2"/>
        <v>218.72399999999999</v>
      </c>
      <c r="Q30" s="370">
        <v>2.4300000000000002</v>
      </c>
      <c r="R30" s="326">
        <v>50.2</v>
      </c>
      <c r="S30" s="370">
        <v>2.2599999999999998</v>
      </c>
      <c r="T30" s="434">
        <v>42</v>
      </c>
      <c r="U30" s="433">
        <v>2.4</v>
      </c>
      <c r="V30" s="377">
        <v>84</v>
      </c>
      <c r="W30" s="433">
        <v>2.36</v>
      </c>
      <c r="X30" s="432">
        <v>66</v>
      </c>
      <c r="Y30" s="372"/>
      <c r="Z30" s="377"/>
      <c r="AA30" s="118"/>
      <c r="AB30" s="118"/>
      <c r="AC30" s="118"/>
      <c r="AD30" s="1"/>
      <c r="AE30" s="1"/>
      <c r="AF30" s="1"/>
    </row>
    <row r="31" spans="1:32" ht="14.4" customHeight="1">
      <c r="A31" s="17">
        <f t="shared" si="0"/>
        <v>22</v>
      </c>
      <c r="B31" s="99">
        <v>0.125</v>
      </c>
      <c r="C31" s="360">
        <v>5.4</v>
      </c>
      <c r="D31" s="361">
        <v>5.4</v>
      </c>
      <c r="E31" s="361">
        <v>5.8</v>
      </c>
      <c r="F31" s="362">
        <v>4.7</v>
      </c>
      <c r="G31" s="366"/>
      <c r="H31" s="362">
        <v>6.6</v>
      </c>
      <c r="I31" s="362">
        <v>6.6</v>
      </c>
      <c r="J31" s="363">
        <v>6</v>
      </c>
      <c r="K31" s="368">
        <v>102</v>
      </c>
      <c r="L31" s="365">
        <v>751490</v>
      </c>
      <c r="M31" s="213">
        <f t="shared" si="1"/>
        <v>23.283999999999999</v>
      </c>
      <c r="N31" s="372"/>
      <c r="O31" s="365">
        <v>1008523693</v>
      </c>
      <c r="P31" s="225">
        <f t="shared" si="2"/>
        <v>168.58799999999999</v>
      </c>
      <c r="Q31" s="370">
        <v>1.8</v>
      </c>
      <c r="R31" s="326">
        <v>50.72</v>
      </c>
      <c r="S31" s="370">
        <v>2</v>
      </c>
      <c r="T31" s="434">
        <v>60</v>
      </c>
      <c r="U31" s="433">
        <v>2.66</v>
      </c>
      <c r="V31" s="377">
        <v>88</v>
      </c>
      <c r="W31" s="433">
        <v>2.04</v>
      </c>
      <c r="X31" s="432">
        <v>78</v>
      </c>
      <c r="Y31" s="372"/>
      <c r="Z31" s="377"/>
      <c r="AA31" s="118"/>
      <c r="AB31" s="118"/>
      <c r="AC31" s="118"/>
    </row>
    <row r="32" spans="1:32" ht="16.350000000000001" customHeight="1">
      <c r="A32" s="17">
        <f t="shared" si="0"/>
        <v>23</v>
      </c>
      <c r="B32" s="99">
        <v>0.16666666666666666</v>
      </c>
      <c r="C32" s="360">
        <v>5.3</v>
      </c>
      <c r="D32" s="361">
        <v>5.4</v>
      </c>
      <c r="E32" s="361">
        <v>5.6</v>
      </c>
      <c r="F32" s="362">
        <v>4.7</v>
      </c>
      <c r="G32" s="366">
        <v>6.74</v>
      </c>
      <c r="H32" s="362">
        <v>6.7</v>
      </c>
      <c r="I32" s="362">
        <v>6.4</v>
      </c>
      <c r="J32" s="363">
        <v>5.9</v>
      </c>
      <c r="K32" s="368">
        <v>102</v>
      </c>
      <c r="L32" s="365">
        <v>758107</v>
      </c>
      <c r="M32" s="213">
        <f t="shared" si="1"/>
        <v>23.239000000000001</v>
      </c>
      <c r="N32" s="372"/>
      <c r="O32" s="365">
        <v>1008931488</v>
      </c>
      <c r="P32" s="225">
        <f t="shared" si="2"/>
        <v>175.72399999999999</v>
      </c>
      <c r="Q32" s="370">
        <v>1.97</v>
      </c>
      <c r="R32" s="326">
        <v>51.23</v>
      </c>
      <c r="S32" s="370">
        <v>2.34</v>
      </c>
      <c r="T32" s="434">
        <v>96</v>
      </c>
      <c r="U32" s="433">
        <v>2.52</v>
      </c>
      <c r="V32" s="377">
        <v>49</v>
      </c>
      <c r="W32" s="433">
        <v>2.84</v>
      </c>
      <c r="X32" s="432">
        <v>43</v>
      </c>
      <c r="Y32" s="372"/>
      <c r="Z32" s="377"/>
      <c r="AA32" s="118"/>
      <c r="AB32" s="118"/>
      <c r="AC32" s="118"/>
    </row>
    <row r="33" spans="1:29" ht="15.6">
      <c r="A33" s="17">
        <f t="shared" si="0"/>
        <v>24</v>
      </c>
      <c r="B33" s="99">
        <v>0.20833333333333334</v>
      </c>
      <c r="C33" s="360"/>
      <c r="D33" s="361"/>
      <c r="E33" s="366"/>
      <c r="F33" s="366"/>
      <c r="G33" s="366"/>
      <c r="H33" s="362"/>
      <c r="I33" s="362"/>
      <c r="J33" s="363"/>
      <c r="K33" s="368">
        <v>104</v>
      </c>
      <c r="L33" s="365">
        <v>761593</v>
      </c>
      <c r="M33" s="213">
        <f t="shared" si="1"/>
        <v>12.243</v>
      </c>
      <c r="N33" s="372"/>
      <c r="O33" s="365">
        <v>1009145908</v>
      </c>
      <c r="P33" s="225">
        <f t="shared" si="2"/>
        <v>92.396000000000001</v>
      </c>
      <c r="Q33" s="372"/>
      <c r="R33" s="326"/>
      <c r="S33" s="372"/>
      <c r="T33" s="434"/>
      <c r="U33" s="372"/>
      <c r="V33" s="377"/>
      <c r="W33" s="433"/>
      <c r="X33" s="432"/>
      <c r="Y33" s="372"/>
      <c r="Z33" s="377"/>
      <c r="AA33" s="118"/>
      <c r="AB33" s="118"/>
      <c r="AC33" s="118"/>
    </row>
    <row r="34" spans="1:29" ht="16.350000000000001" customHeight="1" thickBot="1">
      <c r="A34" s="17"/>
      <c r="B34" s="119"/>
      <c r="C34" s="380"/>
      <c r="D34" s="381"/>
      <c r="E34" s="382"/>
      <c r="F34" s="382"/>
      <c r="G34" s="382"/>
      <c r="H34" s="383"/>
      <c r="I34" s="384"/>
      <c r="J34" s="385"/>
      <c r="K34" s="210"/>
      <c r="L34" s="211"/>
      <c r="M34" s="212"/>
      <c r="N34" s="372"/>
      <c r="O34" s="373"/>
      <c r="P34" s="67"/>
      <c r="Q34" s="372"/>
      <c r="R34" s="377"/>
      <c r="S34" s="50"/>
      <c r="T34" s="349"/>
      <c r="U34" s="50"/>
      <c r="V34" s="349"/>
      <c r="W34" s="123"/>
      <c r="X34" s="126"/>
      <c r="Y34" s="123"/>
      <c r="Z34" s="126"/>
      <c r="AA34" s="118"/>
      <c r="AB34" s="118"/>
      <c r="AC34" s="118"/>
    </row>
    <row r="35" spans="1:29" ht="28.2" thickBot="1">
      <c r="A35" s="17"/>
      <c r="B35" s="100" t="s">
        <v>20</v>
      </c>
      <c r="C35" s="129">
        <f>IF(SUM(C10:C33)=0,0,ROUND(AVERAGE(C10:C33),2))</f>
        <v>5.24</v>
      </c>
      <c r="D35" s="83">
        <f t="shared" ref="D35:J35" si="3">IF(SUM(D10:D33)=0,0,ROUND(AVERAGE(D10:D33),2))</f>
        <v>5.31</v>
      </c>
      <c r="E35" s="83">
        <f t="shared" si="3"/>
        <v>5.86</v>
      </c>
      <c r="F35" s="83">
        <f t="shared" si="3"/>
        <v>4.7699999999999996</v>
      </c>
      <c r="G35" s="83">
        <f t="shared" si="3"/>
        <v>7.02</v>
      </c>
      <c r="H35" s="83">
        <f t="shared" si="3"/>
        <v>7.18</v>
      </c>
      <c r="I35" s="83">
        <f t="shared" si="3"/>
        <v>6.65</v>
      </c>
      <c r="J35" s="130">
        <f t="shared" si="3"/>
        <v>6.09</v>
      </c>
      <c r="K35" s="128"/>
      <c r="L35" s="86"/>
      <c r="M35" s="452">
        <f>SUM(M10:M33)</f>
        <v>573.33600000000001</v>
      </c>
      <c r="N35" s="453"/>
      <c r="O35" s="454"/>
      <c r="P35" s="452">
        <f>SUM(P10:P33)</f>
        <v>4187.9850000000006</v>
      </c>
      <c r="Q35" s="129">
        <f t="shared" ref="Q35:V35" si="4">IF(SUM(Q10:Q33)=0,0,ROUND(AVERAGE(Q10:Q33),2))</f>
        <v>2.34</v>
      </c>
      <c r="R35" s="348">
        <f t="shared" si="4"/>
        <v>51.18</v>
      </c>
      <c r="S35" s="129">
        <f t="shared" si="4"/>
        <v>2.11</v>
      </c>
      <c r="T35" s="94">
        <f t="shared" si="4"/>
        <v>116.69</v>
      </c>
      <c r="U35" s="129">
        <f t="shared" si="4"/>
        <v>2.5</v>
      </c>
      <c r="V35" s="130">
        <f t="shared" si="4"/>
        <v>128.44999999999999</v>
      </c>
      <c r="W35" s="347">
        <f t="shared" ref="W35:Z35" si="5">IF(SUM(W10:W33)=0,0,ROUND(AVERAGE(W10:W33),2))</f>
        <v>2.56</v>
      </c>
      <c r="X35" s="130">
        <f t="shared" si="5"/>
        <v>129.93</v>
      </c>
      <c r="Y35" s="347">
        <f t="shared" si="5"/>
        <v>0</v>
      </c>
      <c r="Z35" s="130">
        <f t="shared" si="5"/>
        <v>0</v>
      </c>
      <c r="AA35" s="118"/>
      <c r="AB35" s="118"/>
      <c r="AC35" s="118"/>
    </row>
    <row r="36" spans="1:29" ht="23.4" customHeight="1" thickBot="1">
      <c r="A36" s="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350"/>
      <c r="T36" s="351" t="s">
        <v>235</v>
      </c>
      <c r="U36" s="352">
        <f>ROUND((S35+0.5*U35+W35)/2.5,2)</f>
        <v>2.37</v>
      </c>
      <c r="V36" s="353"/>
      <c r="W36" s="188"/>
      <c r="X36" s="189"/>
      <c r="Y36" s="118"/>
      <c r="Z36" s="118"/>
      <c r="AA36" s="118"/>
      <c r="AB36" s="118"/>
      <c r="AC36" s="118"/>
    </row>
    <row r="37" spans="1:29" ht="34.65" customHeight="1" thickBot="1">
      <c r="A37" s="17"/>
      <c r="B37" s="118"/>
      <c r="C37" s="131" t="s">
        <v>92</v>
      </c>
      <c r="D37" s="132" t="s">
        <v>93</v>
      </c>
      <c r="E37" s="133" t="s">
        <v>94</v>
      </c>
      <c r="F37" s="499" t="s">
        <v>95</v>
      </c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1"/>
      <c r="AA37" s="118"/>
      <c r="AB37" s="118"/>
      <c r="AC37" s="118"/>
    </row>
    <row r="38" spans="1:29" ht="18" customHeight="1">
      <c r="A38" s="17"/>
      <c r="B38" s="118"/>
      <c r="C38" s="269">
        <v>0.21527777777777779</v>
      </c>
      <c r="D38" s="270">
        <v>0.25694444444444448</v>
      </c>
      <c r="E38" s="266">
        <f t="shared" ref="E38:E42" si="6">IF(D38&lt;C38,1-C38+D38,D38-C38)</f>
        <v>4.1666666666666685E-2</v>
      </c>
      <c r="F38" s="1" t="s">
        <v>286</v>
      </c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6"/>
      <c r="Z38" s="137"/>
      <c r="AA38" s="118"/>
      <c r="AB38" s="118"/>
      <c r="AC38" s="118"/>
    </row>
    <row r="39" spans="1:29" ht="18" customHeight="1">
      <c r="A39" s="17"/>
      <c r="B39" s="118"/>
      <c r="C39" s="271">
        <v>0.375</v>
      </c>
      <c r="D39" s="272">
        <v>0.39583333333333331</v>
      </c>
      <c r="E39" s="267">
        <f t="shared" si="6"/>
        <v>2.0833333333333315E-2</v>
      </c>
      <c r="F39" s="1" t="s">
        <v>287</v>
      </c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40"/>
      <c r="Z39" s="141"/>
      <c r="AA39" s="118"/>
      <c r="AB39" s="118"/>
      <c r="AC39" s="118"/>
    </row>
    <row r="40" spans="1:29" ht="18" customHeight="1">
      <c r="A40" s="17"/>
      <c r="B40" s="118"/>
      <c r="C40" s="271"/>
      <c r="D40" s="272"/>
      <c r="E40" s="267">
        <f t="shared" si="6"/>
        <v>0</v>
      </c>
      <c r="F40" s="138"/>
      <c r="G40" s="139"/>
      <c r="H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40"/>
      <c r="Z40" s="141"/>
      <c r="AA40" s="118"/>
      <c r="AB40" s="118"/>
      <c r="AC40" s="118"/>
    </row>
    <row r="41" spans="1:29" ht="18" customHeight="1">
      <c r="A41" s="17"/>
      <c r="B41" s="118"/>
      <c r="C41" s="271"/>
      <c r="D41" s="272"/>
      <c r="E41" s="267">
        <f t="shared" si="6"/>
        <v>0</v>
      </c>
      <c r="F41" s="138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40"/>
      <c r="Z41" s="141"/>
      <c r="AA41" s="118"/>
      <c r="AB41" s="118"/>
      <c r="AC41" s="118"/>
    </row>
    <row r="42" spans="1:29" ht="18" customHeight="1">
      <c r="A42" s="17"/>
      <c r="B42" s="118"/>
      <c r="C42" s="271"/>
      <c r="D42" s="272"/>
      <c r="E42" s="267">
        <f t="shared" si="6"/>
        <v>0</v>
      </c>
      <c r="F42" s="138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40"/>
      <c r="Z42" s="141"/>
      <c r="AA42" s="118"/>
      <c r="AB42" s="118"/>
      <c r="AC42" s="118"/>
    </row>
    <row r="43" spans="1:29" ht="18" customHeight="1">
      <c r="A43" s="17"/>
      <c r="B43" s="118"/>
      <c r="C43" s="271"/>
      <c r="D43" s="272"/>
      <c r="E43" s="267">
        <f>IF(D43&lt;C43,1-C43+D43,D43-C43)</f>
        <v>0</v>
      </c>
      <c r="F43" s="138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40"/>
      <c r="Z43" s="141"/>
      <c r="AA43" s="118"/>
      <c r="AB43" s="118"/>
      <c r="AC43" s="118"/>
    </row>
    <row r="44" spans="1:29" ht="18" customHeight="1">
      <c r="A44" s="17"/>
      <c r="B44" s="118"/>
      <c r="C44" s="271"/>
      <c r="D44" s="272"/>
      <c r="E44" s="267">
        <f t="shared" ref="E44:E47" si="7">IF(D44&lt;C44,1-C44+D44,D44-C44)</f>
        <v>0</v>
      </c>
      <c r="F44" s="138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40"/>
      <c r="Z44" s="141"/>
      <c r="AA44" s="118"/>
      <c r="AB44" s="118"/>
      <c r="AC44" s="118"/>
    </row>
    <row r="45" spans="1:29" ht="18" customHeight="1">
      <c r="A45" s="17"/>
      <c r="B45" s="118"/>
      <c r="C45" s="271"/>
      <c r="D45" s="272"/>
      <c r="E45" s="267">
        <f t="shared" si="7"/>
        <v>0</v>
      </c>
      <c r="F45" s="138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40"/>
      <c r="Z45" s="141"/>
      <c r="AA45" s="118"/>
      <c r="AB45" s="118"/>
      <c r="AC45" s="118"/>
    </row>
    <row r="46" spans="1:29" ht="18" customHeight="1">
      <c r="A46" s="17"/>
      <c r="B46" s="118"/>
      <c r="C46" s="271"/>
      <c r="D46" s="272"/>
      <c r="E46" s="267">
        <f t="shared" si="7"/>
        <v>0</v>
      </c>
      <c r="F46" s="138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40"/>
      <c r="Z46" s="141"/>
      <c r="AA46" s="118"/>
      <c r="AB46" s="118"/>
      <c r="AC46" s="118"/>
    </row>
    <row r="47" spans="1:29" ht="18" customHeight="1" thickBot="1">
      <c r="A47" s="10"/>
      <c r="B47" s="118"/>
      <c r="C47" s="273"/>
      <c r="D47" s="274"/>
      <c r="E47" s="268">
        <f t="shared" si="7"/>
        <v>0</v>
      </c>
      <c r="F47" s="142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4"/>
      <c r="Z47" s="145"/>
      <c r="AA47" s="118"/>
      <c r="AB47" s="118"/>
      <c r="AC47" s="118"/>
    </row>
    <row r="48" spans="1:29" ht="21.9" customHeight="1" thickBot="1">
      <c r="A48" s="62"/>
      <c r="B48" s="118"/>
      <c r="C48" s="118"/>
      <c r="D48" s="118"/>
      <c r="E48" s="386">
        <f>SUM(E38:E47)</f>
        <v>6.25E-2</v>
      </c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46"/>
      <c r="X48" s="146"/>
      <c r="Y48" s="127"/>
      <c r="Z48" s="127"/>
      <c r="AA48" s="127"/>
      <c r="AB48" s="127"/>
      <c r="AC48" s="127"/>
    </row>
    <row r="49" spans="1:29" ht="18" customHeight="1" thickTop="1" thickBot="1">
      <c r="A49" s="63"/>
      <c r="B49" s="118"/>
      <c r="C49" s="118"/>
      <c r="D49" s="118"/>
      <c r="E49" s="387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502" t="s">
        <v>96</v>
      </c>
      <c r="X49" s="502"/>
      <c r="Y49" s="127"/>
      <c r="Z49" s="127"/>
      <c r="AA49" s="127"/>
      <c r="AB49" s="127"/>
      <c r="AC49" s="127"/>
    </row>
    <row r="50" spans="1:29" ht="31.8" thickBot="1">
      <c r="A50" s="17"/>
      <c r="B50" s="118"/>
      <c r="C50" s="131" t="s">
        <v>92</v>
      </c>
      <c r="D50" s="132" t="s">
        <v>93</v>
      </c>
      <c r="E50" s="388" t="s">
        <v>94</v>
      </c>
      <c r="F50" s="499" t="s">
        <v>95</v>
      </c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1"/>
      <c r="AA50" s="127"/>
      <c r="AB50" s="127"/>
      <c r="AC50" s="127"/>
    </row>
    <row r="51" spans="1:29" ht="18" customHeight="1">
      <c r="A51" s="17"/>
      <c r="B51" s="118"/>
      <c r="C51" s="269">
        <v>0.625</v>
      </c>
      <c r="D51" s="270">
        <v>0.63541666666666663</v>
      </c>
      <c r="E51" s="266">
        <f t="shared" ref="E51:E60" si="8">IF(D51&lt;C51,1-C51+D51,D51-C51)</f>
        <v>1.041666666666663E-2</v>
      </c>
      <c r="F51" s="134" t="s">
        <v>289</v>
      </c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6"/>
      <c r="Z51" s="137"/>
      <c r="AA51" s="127"/>
      <c r="AB51" s="127"/>
      <c r="AC51" s="127"/>
    </row>
    <row r="52" spans="1:29" ht="18" customHeight="1">
      <c r="A52" s="17"/>
      <c r="B52" s="118"/>
      <c r="C52" s="271">
        <v>0.73263888888888884</v>
      </c>
      <c r="D52" s="272">
        <v>0.75</v>
      </c>
      <c r="E52" s="267">
        <f t="shared" si="8"/>
        <v>1.736111111111116E-2</v>
      </c>
      <c r="F52" s="138" t="s">
        <v>288</v>
      </c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40"/>
      <c r="Z52" s="141"/>
      <c r="AA52" s="127"/>
      <c r="AB52" s="127"/>
      <c r="AC52" s="127"/>
    </row>
    <row r="53" spans="1:29" ht="18" customHeight="1">
      <c r="A53" s="17"/>
      <c r="B53" s="118"/>
      <c r="C53" s="271"/>
      <c r="D53" s="272"/>
      <c r="E53" s="267">
        <f t="shared" si="8"/>
        <v>0</v>
      </c>
      <c r="F53" s="138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40"/>
      <c r="Z53" s="141"/>
      <c r="AA53" s="127"/>
      <c r="AB53" s="127"/>
      <c r="AC53" s="127"/>
    </row>
    <row r="54" spans="1:29" ht="18" customHeight="1">
      <c r="A54" s="17"/>
      <c r="B54" s="118"/>
      <c r="C54" s="271"/>
      <c r="D54" s="272"/>
      <c r="E54" s="267">
        <f t="shared" si="8"/>
        <v>0</v>
      </c>
      <c r="F54" s="138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40"/>
      <c r="Z54" s="141"/>
      <c r="AA54" s="127"/>
      <c r="AB54" s="127"/>
      <c r="AC54" s="127"/>
    </row>
    <row r="55" spans="1:29" ht="18" customHeight="1">
      <c r="A55" s="17"/>
      <c r="B55" s="118"/>
      <c r="C55" s="271"/>
      <c r="D55" s="272"/>
      <c r="E55" s="267">
        <f t="shared" si="8"/>
        <v>0</v>
      </c>
      <c r="F55" s="138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40"/>
      <c r="Z55" s="141"/>
    </row>
    <row r="56" spans="1:29" ht="18" customHeight="1">
      <c r="A56" s="17"/>
      <c r="B56" s="118"/>
      <c r="C56" s="271"/>
      <c r="D56" s="272"/>
      <c r="E56" s="267">
        <f t="shared" si="8"/>
        <v>0</v>
      </c>
      <c r="F56" s="138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40"/>
      <c r="Z56" s="141"/>
    </row>
    <row r="57" spans="1:29" ht="18" customHeight="1">
      <c r="A57" s="17"/>
      <c r="B57" s="118"/>
      <c r="C57" s="271"/>
      <c r="D57" s="272"/>
      <c r="E57" s="267">
        <f t="shared" si="8"/>
        <v>0</v>
      </c>
      <c r="F57" s="138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40"/>
      <c r="Z57" s="141"/>
    </row>
    <row r="58" spans="1:29" ht="18" customHeight="1">
      <c r="A58" s="17"/>
      <c r="B58" s="118"/>
      <c r="C58" s="271"/>
      <c r="D58" s="272"/>
      <c r="E58" s="267">
        <f t="shared" si="8"/>
        <v>0</v>
      </c>
      <c r="F58" s="138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40"/>
      <c r="Z58" s="141"/>
    </row>
    <row r="59" spans="1:29" ht="18" customHeight="1">
      <c r="A59" s="17"/>
      <c r="B59" s="118"/>
      <c r="C59" s="271"/>
      <c r="D59" s="272"/>
      <c r="E59" s="267">
        <f t="shared" si="8"/>
        <v>0</v>
      </c>
      <c r="F59" s="138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40"/>
      <c r="Z59" s="141"/>
    </row>
    <row r="60" spans="1:29" ht="18" customHeight="1" thickBot="1">
      <c r="A60" s="17"/>
      <c r="B60" s="118"/>
      <c r="C60" s="273"/>
      <c r="D60" s="274"/>
      <c r="E60" s="389">
        <f t="shared" si="8"/>
        <v>0</v>
      </c>
      <c r="F60" s="142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4"/>
      <c r="Z60" s="145"/>
    </row>
    <row r="61" spans="1:29" ht="21.9" customHeight="1" thickBot="1">
      <c r="B61" s="118"/>
      <c r="C61" s="118"/>
      <c r="D61" s="118"/>
      <c r="E61" s="386">
        <f>SUM(E51:E60)</f>
        <v>2.777777777777779E-2</v>
      </c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46"/>
      <c r="X61" s="146"/>
    </row>
    <row r="62" spans="1:29" ht="21.9" customHeight="1" thickTop="1" thickBot="1">
      <c r="B62" s="118"/>
      <c r="C62" s="118"/>
      <c r="D62" s="118"/>
      <c r="E62" s="38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502" t="s">
        <v>97</v>
      </c>
      <c r="X62" s="502"/>
    </row>
    <row r="63" spans="1:29" ht="31.8" thickBot="1">
      <c r="B63" s="264"/>
      <c r="C63" s="131" t="s">
        <v>92</v>
      </c>
      <c r="D63" s="132" t="s">
        <v>93</v>
      </c>
      <c r="E63" s="388" t="s">
        <v>94</v>
      </c>
      <c r="F63" s="499" t="s">
        <v>95</v>
      </c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1"/>
    </row>
    <row r="64" spans="1:29" ht="18" customHeight="1">
      <c r="B64" s="265"/>
      <c r="C64" s="269">
        <v>0.44444444444444442</v>
      </c>
      <c r="D64" s="270">
        <v>0.4513888888888889</v>
      </c>
      <c r="E64" s="266">
        <f t="shared" ref="E64:E68" si="9">IF(D64&lt;C64,1-C64+D64,D64-C64)</f>
        <v>6.9444444444444753E-3</v>
      </c>
      <c r="F64" s="134" t="s">
        <v>291</v>
      </c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6"/>
      <c r="Z64" s="137"/>
    </row>
    <row r="65" spans="2:27" ht="18" customHeight="1">
      <c r="B65" s="264"/>
      <c r="C65" s="271">
        <v>0.15277777777777776</v>
      </c>
      <c r="D65" s="272">
        <v>0.15625</v>
      </c>
      <c r="E65" s="267">
        <f t="shared" si="9"/>
        <v>3.4722222222222376E-3</v>
      </c>
      <c r="F65" s="138" t="s">
        <v>292</v>
      </c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40"/>
      <c r="Z65" s="141"/>
    </row>
    <row r="66" spans="2:27" ht="18" customHeight="1">
      <c r="B66" s="118"/>
      <c r="C66" s="271">
        <v>0.16666666666666666</v>
      </c>
      <c r="D66" s="272">
        <v>0.17361111111111113</v>
      </c>
      <c r="E66" s="267">
        <f t="shared" si="9"/>
        <v>6.9444444444444753E-3</v>
      </c>
      <c r="F66" s="138" t="s">
        <v>293</v>
      </c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40"/>
      <c r="Z66" s="141"/>
    </row>
    <row r="67" spans="2:27" ht="18" customHeight="1">
      <c r="B67" s="118"/>
      <c r="C67" s="271">
        <v>0.17708333333333334</v>
      </c>
      <c r="D67" s="272">
        <v>0.18402777777777779</v>
      </c>
      <c r="E67" s="267">
        <f t="shared" si="9"/>
        <v>6.9444444444444475E-3</v>
      </c>
      <c r="F67" s="138" t="s">
        <v>293</v>
      </c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40"/>
      <c r="Z67" s="141"/>
    </row>
    <row r="68" spans="2:27" ht="18" customHeight="1">
      <c r="B68" s="118"/>
      <c r="C68" s="271">
        <v>0.1875</v>
      </c>
      <c r="D68" s="272">
        <v>0.19791666666666666</v>
      </c>
      <c r="E68" s="267">
        <f t="shared" si="9"/>
        <v>1.0416666666666657E-2</v>
      </c>
      <c r="F68" s="138" t="s">
        <v>293</v>
      </c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40"/>
      <c r="Z68" s="141"/>
    </row>
    <row r="69" spans="2:27" ht="18" customHeight="1">
      <c r="B69" s="118"/>
      <c r="C69" s="271"/>
      <c r="D69" s="272"/>
      <c r="E69" s="267">
        <f>IF(D69&lt;C69,1-C69+D69,D69-C69)</f>
        <v>0</v>
      </c>
      <c r="F69" s="138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40"/>
      <c r="Z69" s="141"/>
    </row>
    <row r="70" spans="2:27" ht="18" customHeight="1">
      <c r="B70" s="263"/>
      <c r="C70" s="271"/>
      <c r="D70" s="272"/>
      <c r="E70" s="267">
        <f t="shared" ref="E70:E73" si="10">IF(D70&lt;C70,1-C70+D70,D70-C70)</f>
        <v>0</v>
      </c>
      <c r="F70" s="138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40"/>
      <c r="Z70" s="141"/>
    </row>
    <row r="71" spans="2:27" ht="18" customHeight="1">
      <c r="B71" s="263"/>
      <c r="C71" s="271"/>
      <c r="D71" s="272"/>
      <c r="E71" s="267">
        <f t="shared" si="10"/>
        <v>0</v>
      </c>
      <c r="F71" s="138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40"/>
      <c r="Z71" s="141"/>
      <c r="AA71" s="23"/>
    </row>
    <row r="72" spans="2:27" ht="18" customHeight="1">
      <c r="B72" s="118"/>
      <c r="C72" s="271"/>
      <c r="D72" s="272"/>
      <c r="E72" s="267">
        <f t="shared" si="10"/>
        <v>0</v>
      </c>
      <c r="F72" s="138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40"/>
      <c r="Z72" s="141"/>
      <c r="AA72" s="23"/>
    </row>
    <row r="73" spans="2:27" ht="18" customHeight="1" thickBot="1">
      <c r="B73" s="118"/>
      <c r="C73" s="273"/>
      <c r="D73" s="274"/>
      <c r="E73" s="268">
        <f t="shared" si="10"/>
        <v>0</v>
      </c>
      <c r="F73" s="142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4"/>
      <c r="Z73" s="145"/>
      <c r="AA73" s="23"/>
    </row>
    <row r="74" spans="2:27" ht="18" customHeight="1">
      <c r="B74" s="118"/>
      <c r="C74" s="118"/>
      <c r="D74" s="118"/>
      <c r="E74" s="386">
        <f>SUM(E64:E73)</f>
        <v>3.4722222222222293E-2</v>
      </c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Y74" s="23"/>
      <c r="Z74" s="23"/>
      <c r="AA74" s="23"/>
    </row>
    <row r="75" spans="2:27" ht="18" customHeight="1" thickBot="1">
      <c r="B75" s="118"/>
      <c r="C75" s="118"/>
      <c r="D75" s="118"/>
      <c r="E75" s="386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43"/>
      <c r="W75" s="144"/>
      <c r="X75" s="144"/>
      <c r="Y75" s="390"/>
      <c r="Z75" s="23"/>
      <c r="AA75" s="23"/>
    </row>
    <row r="76" spans="2:27" ht="20.399999999999999" customHeight="1">
      <c r="C76" s="118"/>
      <c r="D76" s="378" t="s">
        <v>274</v>
      </c>
      <c r="E76" s="386">
        <f>SUM(E48+E61+E74)</f>
        <v>0.12500000000000008</v>
      </c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502" t="s">
        <v>98</v>
      </c>
      <c r="X76" s="502"/>
      <c r="Y76" s="23"/>
      <c r="Z76" s="23"/>
      <c r="AA76" s="23"/>
    </row>
    <row r="77" spans="2:27" ht="18" customHeight="1">
      <c r="Y77" s="23"/>
      <c r="Z77" s="23"/>
      <c r="AA77" s="23"/>
    </row>
    <row r="78" spans="2:27" ht="18" customHeight="1"/>
    <row r="79" spans="2:27" ht="18" customHeight="1"/>
    <row r="80" spans="2:27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1">
    <mergeCell ref="W49:X49"/>
    <mergeCell ref="W62:X62"/>
    <mergeCell ref="W76:X76"/>
    <mergeCell ref="F50:Z50"/>
    <mergeCell ref="F63:Z63"/>
    <mergeCell ref="L3:S3"/>
    <mergeCell ref="B8:J8"/>
    <mergeCell ref="M7:N7"/>
    <mergeCell ref="F37:Z37"/>
    <mergeCell ref="K8:M8"/>
    <mergeCell ref="N8:P8"/>
    <mergeCell ref="B6:F6"/>
    <mergeCell ref="L4:S4"/>
    <mergeCell ref="L5:S5"/>
    <mergeCell ref="Y8:Z8"/>
    <mergeCell ref="Y4:Z4"/>
    <mergeCell ref="Y5:Z5"/>
    <mergeCell ref="Q8:R8"/>
    <mergeCell ref="S8:T8"/>
    <mergeCell ref="U8:V8"/>
    <mergeCell ref="W8:X8"/>
  </mergeCells>
  <printOptions horizontalCentered="1" verticalCentered="1"/>
  <pageMargins left="0.35433070866141736" right="0.35433070866141736" top="0.19685039370078741" bottom="0.19685039370078741" header="0" footer="0"/>
  <pageSetup paperSize="5" scale="4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0"/>
  <sheetViews>
    <sheetView zoomScale="70" zoomScaleNormal="70" workbookViewId="0">
      <selection activeCell="L42" sqref="L42"/>
    </sheetView>
  </sheetViews>
  <sheetFormatPr baseColWidth="10" defaultRowHeight="13.2"/>
  <cols>
    <col min="1" max="1" width="27.44140625" customWidth="1"/>
    <col min="3" max="3" width="15.88671875" customWidth="1"/>
    <col min="4" max="4" width="24.109375" customWidth="1"/>
    <col min="5" max="6" width="15.88671875" customWidth="1"/>
    <col min="7" max="7" width="32.5546875" customWidth="1"/>
    <col min="8" max="8" width="15.88671875" customWidth="1"/>
    <col min="9" max="9" width="15.88671875" style="204" customWidth="1"/>
    <col min="10" max="10" width="22.88671875" customWidth="1"/>
    <col min="11" max="11" width="13.44140625" bestFit="1" customWidth="1"/>
    <col min="12" max="12" width="13.5546875" customWidth="1"/>
    <col min="15" max="15" width="11.5546875" style="204"/>
    <col min="16" max="16" width="12.109375" bestFit="1" customWidth="1"/>
  </cols>
  <sheetData>
    <row r="1" spans="1:16" ht="27.9" customHeight="1">
      <c r="A1" s="164"/>
      <c r="B1" s="165"/>
      <c r="C1" s="166"/>
      <c r="D1" s="506" t="s">
        <v>232</v>
      </c>
      <c r="E1" s="506"/>
      <c r="F1" s="506"/>
      <c r="G1" s="506"/>
      <c r="H1" s="506"/>
      <c r="I1" s="165"/>
      <c r="J1" s="508">
        <f>+'Jugos &amp; Meladura'!Q4</f>
        <v>45268</v>
      </c>
      <c r="K1" s="508"/>
      <c r="L1" s="509"/>
    </row>
    <row r="2" spans="1:16" ht="27.9" customHeight="1">
      <c r="A2" s="167"/>
      <c r="B2" s="168"/>
      <c r="D2" s="507" t="s">
        <v>100</v>
      </c>
      <c r="E2" s="507"/>
      <c r="F2" s="507"/>
      <c r="G2" s="507"/>
      <c r="H2" s="507"/>
      <c r="I2" s="170"/>
      <c r="J2" s="169"/>
      <c r="K2" s="170"/>
      <c r="L2" s="171"/>
    </row>
    <row r="3" spans="1:16" ht="27.9" customHeight="1" thickBot="1">
      <c r="A3" s="172"/>
      <c r="B3" s="262"/>
      <c r="C3" s="262"/>
      <c r="D3" s="262"/>
      <c r="E3" s="173"/>
      <c r="F3" s="175" t="s">
        <v>234</v>
      </c>
      <c r="G3" s="228"/>
      <c r="H3" s="168"/>
      <c r="J3" s="416" t="s">
        <v>280</v>
      </c>
      <c r="K3" s="417">
        <f>+'Jugos &amp; Meladura'!Q6</f>
        <v>5</v>
      </c>
      <c r="L3" s="174"/>
    </row>
    <row r="4" spans="1:16" ht="18" thickBot="1">
      <c r="A4" s="516" t="s">
        <v>152</v>
      </c>
      <c r="B4" s="517"/>
      <c r="C4" s="518"/>
      <c r="D4" s="522" t="s">
        <v>102</v>
      </c>
      <c r="E4" s="522"/>
      <c r="F4" s="523"/>
      <c r="G4" s="524" t="s">
        <v>103</v>
      </c>
      <c r="H4" s="525"/>
      <c r="I4" s="526"/>
      <c r="J4" s="527" t="s">
        <v>104</v>
      </c>
      <c r="K4" s="527"/>
      <c r="L4" s="528"/>
      <c r="O4" s="238" t="s">
        <v>248</v>
      </c>
      <c r="P4" s="233">
        <f>F17/F16%</f>
        <v>76.061776061776058</v>
      </c>
    </row>
    <row r="5" spans="1:16" ht="15">
      <c r="A5" s="152" t="s">
        <v>236</v>
      </c>
      <c r="B5" s="153">
        <v>1</v>
      </c>
      <c r="C5" s="197">
        <f>+'Masas &amp; Mieles'!AB47</f>
        <v>363.75</v>
      </c>
      <c r="D5" s="147" t="s">
        <v>106</v>
      </c>
      <c r="E5" s="148">
        <v>0</v>
      </c>
      <c r="F5" s="150"/>
      <c r="G5" s="147" t="s">
        <v>107</v>
      </c>
      <c r="H5" s="151">
        <v>1</v>
      </c>
      <c r="I5" s="229">
        <v>1</v>
      </c>
      <c r="J5" s="147" t="s">
        <v>108</v>
      </c>
      <c r="K5" s="148">
        <v>1</v>
      </c>
      <c r="L5" s="195">
        <f>+'pH, Molinos Bagazo &amp; Cachaza'!H35</f>
        <v>7.18</v>
      </c>
      <c r="O5" s="238"/>
      <c r="P5" s="1"/>
    </row>
    <row r="6" spans="1:16" ht="15">
      <c r="A6" s="152" t="s">
        <v>159</v>
      </c>
      <c r="B6" s="153">
        <f t="shared" ref="B6:B14" si="0">B5+1</f>
        <v>2</v>
      </c>
      <c r="C6" s="198">
        <f>IF(C5="","",'Masas &amp; Mieles'!U30)</f>
        <v>99.52</v>
      </c>
      <c r="D6" s="152" t="s">
        <v>110</v>
      </c>
      <c r="E6" s="153">
        <f t="shared" ref="E6:E19" si="1">E5+1</f>
        <v>1</v>
      </c>
      <c r="F6" s="451">
        <f>+'Masas &amp; Mieles'!AB40</f>
        <v>4389.3600000000006</v>
      </c>
      <c r="G6" s="147" t="s">
        <v>111</v>
      </c>
      <c r="H6" s="153">
        <f t="shared" ref="H6:H54" si="2">1+H5</f>
        <v>2</v>
      </c>
      <c r="I6" s="226">
        <v>24</v>
      </c>
      <c r="J6" s="152" t="s">
        <v>112</v>
      </c>
      <c r="K6" s="153">
        <f t="shared" ref="K6:K15" si="3">1+K5</f>
        <v>2</v>
      </c>
      <c r="L6" s="155">
        <f>+'Jugos &amp; Meladura'!N34</f>
        <v>14.602500000000001</v>
      </c>
      <c r="O6" s="238" t="s">
        <v>3</v>
      </c>
      <c r="P6" s="233">
        <f>+F18/P4%</f>
        <v>3.0764467005076144</v>
      </c>
    </row>
    <row r="7" spans="1:16" ht="15">
      <c r="A7" s="152" t="s">
        <v>161</v>
      </c>
      <c r="B7" s="153">
        <f t="shared" si="0"/>
        <v>3</v>
      </c>
      <c r="C7" s="198">
        <f>IF(C6="","",'Masas &amp; Mieles'!V30)</f>
        <v>0.04</v>
      </c>
      <c r="D7" s="152" t="s">
        <v>114</v>
      </c>
      <c r="E7" s="153">
        <f t="shared" si="1"/>
        <v>2</v>
      </c>
      <c r="F7" s="226">
        <f>+'pH, Molinos Bagazo &amp; Cachaza'!P35</f>
        <v>4187.9850000000006</v>
      </c>
      <c r="G7" s="152" t="s">
        <v>115</v>
      </c>
      <c r="H7" s="153">
        <f t="shared" si="2"/>
        <v>3</v>
      </c>
      <c r="I7" s="461">
        <v>0</v>
      </c>
      <c r="J7" s="152" t="s">
        <v>116</v>
      </c>
      <c r="K7" s="153">
        <f t="shared" si="3"/>
        <v>3</v>
      </c>
      <c r="L7" s="155">
        <f>+'Jugos &amp; Meladura'!O34</f>
        <v>11.83625</v>
      </c>
      <c r="O7" s="238" t="s">
        <v>242</v>
      </c>
      <c r="P7" s="233">
        <f>100-P6-F19</f>
        <v>45.743553299492383</v>
      </c>
    </row>
    <row r="8" spans="1:16" ht="15">
      <c r="A8" s="152" t="s">
        <v>165</v>
      </c>
      <c r="B8" s="153">
        <f t="shared" si="0"/>
        <v>4</v>
      </c>
      <c r="C8" s="198">
        <f>IF(C7="","",'Masas &amp; Mieles'!W30)</f>
        <v>0.14000000000000001</v>
      </c>
      <c r="D8" s="152" t="s">
        <v>118</v>
      </c>
      <c r="E8" s="153">
        <f t="shared" si="1"/>
        <v>3</v>
      </c>
      <c r="F8" s="153"/>
      <c r="G8" s="152" t="s">
        <v>119</v>
      </c>
      <c r="H8" s="153">
        <f t="shared" si="2"/>
        <v>4</v>
      </c>
      <c r="I8" s="461">
        <v>0</v>
      </c>
      <c r="J8" s="152" t="s">
        <v>120</v>
      </c>
      <c r="K8" s="153">
        <f t="shared" si="3"/>
        <v>4</v>
      </c>
      <c r="L8" s="155">
        <f>+'Jugos &amp; Meladura'!Q34</f>
        <v>0.57999999999999996</v>
      </c>
      <c r="O8" s="93"/>
      <c r="P8" s="1"/>
    </row>
    <row r="9" spans="1:16" ht="15">
      <c r="A9" s="152" t="s">
        <v>168</v>
      </c>
      <c r="B9" s="153">
        <f t="shared" si="0"/>
        <v>5</v>
      </c>
      <c r="C9" s="200">
        <f>IF(C8="","",'Masas &amp; Mieles'!R30)</f>
        <v>353</v>
      </c>
      <c r="D9" s="152" t="s">
        <v>122</v>
      </c>
      <c r="E9" s="153">
        <f t="shared" si="1"/>
        <v>4</v>
      </c>
      <c r="F9" s="153">
        <f>+'pH, Molinos Bagazo &amp; Cachaza'!M35</f>
        <v>573.33600000000001</v>
      </c>
      <c r="G9" s="152" t="s">
        <v>123</v>
      </c>
      <c r="H9" s="153">
        <f t="shared" si="2"/>
        <v>5</v>
      </c>
      <c r="I9" s="463">
        <v>2.0833333333333332E-2</v>
      </c>
      <c r="J9" s="152" t="s">
        <v>124</v>
      </c>
      <c r="K9" s="153">
        <f t="shared" si="3"/>
        <v>5</v>
      </c>
      <c r="L9" s="155">
        <f>+'pH, Molinos Bagazo &amp; Cachaza'!I35</f>
        <v>6.65</v>
      </c>
      <c r="N9" s="237" t="s">
        <v>244</v>
      </c>
      <c r="O9" s="234">
        <f>+F6</f>
        <v>4389.3600000000006</v>
      </c>
      <c r="P9" s="235">
        <f>+O9/$O$9</f>
        <v>1</v>
      </c>
    </row>
    <row r="10" spans="1:16" ht="15">
      <c r="A10" s="152" t="s">
        <v>271</v>
      </c>
      <c r="B10" s="153">
        <f t="shared" si="0"/>
        <v>6</v>
      </c>
      <c r="C10" s="198"/>
      <c r="D10" s="152" t="s">
        <v>125</v>
      </c>
      <c r="E10" s="153">
        <f t="shared" si="1"/>
        <v>5</v>
      </c>
      <c r="F10" s="226">
        <f>+'Jugos &amp; Meladura'!D34</f>
        <v>15.838124999999998</v>
      </c>
      <c r="G10" s="152" t="s">
        <v>126</v>
      </c>
      <c r="H10" s="153">
        <f t="shared" si="2"/>
        <v>6</v>
      </c>
      <c r="I10" s="461">
        <v>0</v>
      </c>
      <c r="J10" s="152" t="s">
        <v>112</v>
      </c>
      <c r="K10" s="153">
        <f t="shared" si="3"/>
        <v>6</v>
      </c>
      <c r="L10" s="155">
        <f>+'Jugos &amp; Meladura'!N90</f>
        <v>64.39</v>
      </c>
      <c r="N10" s="237" t="s">
        <v>245</v>
      </c>
      <c r="O10" s="93">
        <f>+F9</f>
        <v>573.33600000000001</v>
      </c>
      <c r="P10" s="235">
        <f t="shared" ref="P10:P12" si="4">+O10/$O$9</f>
        <v>0.13061949805894252</v>
      </c>
    </row>
    <row r="11" spans="1:16" ht="15">
      <c r="A11" s="152" t="s">
        <v>159</v>
      </c>
      <c r="B11" s="153">
        <f t="shared" si="0"/>
        <v>7</v>
      </c>
      <c r="C11" s="198" t="str">
        <f>IF(C10="","",'Masas &amp; Mieles'!U30)</f>
        <v/>
      </c>
      <c r="D11" s="152" t="s">
        <v>116</v>
      </c>
      <c r="E11" s="153">
        <f t="shared" si="1"/>
        <v>6</v>
      </c>
      <c r="F11" s="226">
        <f>+'Jugos &amp; Meladura'!E34</f>
        <v>12.980625</v>
      </c>
      <c r="G11" s="152" t="s">
        <v>128</v>
      </c>
      <c r="H11" s="153">
        <f t="shared" si="2"/>
        <v>7</v>
      </c>
      <c r="I11" s="461">
        <v>0</v>
      </c>
      <c r="J11" s="152" t="s">
        <v>116</v>
      </c>
      <c r="K11" s="153">
        <f t="shared" si="3"/>
        <v>7</v>
      </c>
      <c r="L11" s="155">
        <f>+'Jugos &amp; Meladura'!O90</f>
        <v>53.04</v>
      </c>
      <c r="N11" s="237" t="s">
        <v>246</v>
      </c>
      <c r="O11" s="93">
        <f>+F7</f>
        <v>4187.9850000000006</v>
      </c>
      <c r="P11" s="235">
        <f t="shared" si="4"/>
        <v>0.95412201323199741</v>
      </c>
    </row>
    <row r="12" spans="1:16" ht="15">
      <c r="A12" s="152" t="s">
        <v>161</v>
      </c>
      <c r="B12" s="153">
        <f t="shared" si="0"/>
        <v>8</v>
      </c>
      <c r="C12" s="198" t="str">
        <f>IF(C11="","",'Masas &amp; Mieles'!V30)</f>
        <v/>
      </c>
      <c r="D12" s="152" t="s">
        <v>120</v>
      </c>
      <c r="E12" s="153">
        <f t="shared" si="1"/>
        <v>7</v>
      </c>
      <c r="F12" s="226">
        <f>+'Jugos &amp; Meladura'!G34</f>
        <v>0.54333333333333333</v>
      </c>
      <c r="G12" s="152" t="s">
        <v>130</v>
      </c>
      <c r="H12" s="153">
        <f t="shared" si="2"/>
        <v>8</v>
      </c>
      <c r="I12" s="462">
        <v>0</v>
      </c>
      <c r="J12" s="152" t="s">
        <v>120</v>
      </c>
      <c r="K12" s="153">
        <f t="shared" si="3"/>
        <v>8</v>
      </c>
      <c r="L12" s="155">
        <f>+'Jugos &amp; Meladura'!Q90</f>
        <v>2.7</v>
      </c>
      <c r="N12" s="237" t="s">
        <v>247</v>
      </c>
      <c r="O12" s="234">
        <f>+O9+O10-O11</f>
        <v>774.71100000000024</v>
      </c>
      <c r="P12" s="235">
        <f t="shared" si="4"/>
        <v>0.17649748482694519</v>
      </c>
    </row>
    <row r="13" spans="1:16" ht="15">
      <c r="A13" s="152" t="s">
        <v>165</v>
      </c>
      <c r="B13" s="153">
        <f t="shared" si="0"/>
        <v>9</v>
      </c>
      <c r="C13" s="198" t="str">
        <f>IF(C12="","",'Masas &amp; Mieles'!W30)</f>
        <v/>
      </c>
      <c r="D13" s="152" t="s">
        <v>132</v>
      </c>
      <c r="E13" s="153">
        <f t="shared" si="1"/>
        <v>8</v>
      </c>
      <c r="F13" s="226">
        <f>+'Jugos &amp; Meladura'!D62</f>
        <v>13.947500000000003</v>
      </c>
      <c r="G13" s="152" t="s">
        <v>133</v>
      </c>
      <c r="H13" s="153">
        <f t="shared" si="2"/>
        <v>9</v>
      </c>
      <c r="I13" s="463">
        <v>4.1666666666666664E-2</v>
      </c>
      <c r="J13" s="152" t="s">
        <v>134</v>
      </c>
      <c r="K13" s="153">
        <f t="shared" si="3"/>
        <v>9</v>
      </c>
      <c r="L13" s="155">
        <f>+'Masas &amp; Mieles'!G60</f>
        <v>95.78</v>
      </c>
      <c r="O13" s="93"/>
      <c r="P13" s="1"/>
    </row>
    <row r="14" spans="1:16" ht="15">
      <c r="A14" s="152" t="s">
        <v>168</v>
      </c>
      <c r="B14" s="153">
        <f t="shared" si="0"/>
        <v>10</v>
      </c>
      <c r="C14" s="198" t="str">
        <f>IF(C13="","",'Masas &amp; Mieles'!R30)</f>
        <v/>
      </c>
      <c r="D14" s="152" t="s">
        <v>116</v>
      </c>
      <c r="E14" s="153">
        <f t="shared" si="1"/>
        <v>9</v>
      </c>
      <c r="F14" s="226">
        <f>+'Jugos &amp; Meladura'!E62</f>
        <v>11.200000000000001</v>
      </c>
      <c r="G14" s="152" t="s">
        <v>135</v>
      </c>
      <c r="H14" s="153">
        <f t="shared" si="2"/>
        <v>10</v>
      </c>
      <c r="I14" s="461">
        <v>0</v>
      </c>
      <c r="J14" s="152" t="s">
        <v>116</v>
      </c>
      <c r="K14" s="153">
        <f t="shared" si="3"/>
        <v>10</v>
      </c>
      <c r="L14" s="155">
        <f>+'Masas &amp; Mieles'!H60</f>
        <v>54.23</v>
      </c>
      <c r="O14" s="238" t="s">
        <v>241</v>
      </c>
      <c r="P14" s="236">
        <f>(P11*F14+P12*F18)%*100</f>
        <v>11.099170662693425</v>
      </c>
    </row>
    <row r="15" spans="1:16" ht="15.6" thickBot="1">
      <c r="B15" s="161"/>
      <c r="C15" s="199"/>
      <c r="D15" s="152" t="s">
        <v>120</v>
      </c>
      <c r="E15" s="153">
        <f t="shared" si="1"/>
        <v>10</v>
      </c>
      <c r="F15" s="226">
        <f>+'Jugos &amp; Meladura'!G62</f>
        <v>0.5099999999999999</v>
      </c>
      <c r="G15" s="152" t="s">
        <v>137</v>
      </c>
      <c r="H15" s="153">
        <f t="shared" si="2"/>
        <v>11</v>
      </c>
      <c r="I15" s="461">
        <v>0</v>
      </c>
      <c r="J15" s="152" t="s">
        <v>138</v>
      </c>
      <c r="K15" s="153">
        <f t="shared" si="3"/>
        <v>11</v>
      </c>
      <c r="L15" s="155">
        <f>+'Masas &amp; Mieles'!K60</f>
        <v>263.35000000000002</v>
      </c>
      <c r="O15" s="238" t="s">
        <v>243</v>
      </c>
      <c r="P15" s="205">
        <f>+P12*P7</f>
        <v>8.0736221044077148</v>
      </c>
    </row>
    <row r="16" spans="1:16" ht="18" thickBot="1">
      <c r="A16" s="510" t="s">
        <v>101</v>
      </c>
      <c r="B16" s="511"/>
      <c r="C16" s="512"/>
      <c r="D16" s="176" t="s">
        <v>140</v>
      </c>
      <c r="E16" s="153">
        <f t="shared" si="1"/>
        <v>11</v>
      </c>
      <c r="F16" s="226">
        <f>+'Jugos &amp; Meladura'!D90</f>
        <v>2.59</v>
      </c>
      <c r="G16" s="152" t="s">
        <v>141</v>
      </c>
      <c r="H16" s="153">
        <f t="shared" si="2"/>
        <v>12</v>
      </c>
      <c r="I16" s="461">
        <v>0</v>
      </c>
      <c r="J16" s="516" t="s">
        <v>142</v>
      </c>
      <c r="K16" s="517"/>
      <c r="L16" s="518"/>
      <c r="O16" s="114"/>
      <c r="P16" s="1"/>
    </row>
    <row r="17" spans="1:16" ht="15">
      <c r="A17" s="147" t="s">
        <v>105</v>
      </c>
      <c r="B17" s="150">
        <v>1</v>
      </c>
      <c r="C17" s="201"/>
      <c r="D17" s="176" t="s">
        <v>116</v>
      </c>
      <c r="E17" s="153">
        <f t="shared" si="1"/>
        <v>12</v>
      </c>
      <c r="F17" s="226">
        <f>+'Jugos &amp; Meladura'!E90</f>
        <v>1.97</v>
      </c>
      <c r="G17" s="152" t="s">
        <v>143</v>
      </c>
      <c r="H17" s="153">
        <f t="shared" si="2"/>
        <v>13</v>
      </c>
      <c r="I17" s="461">
        <v>0</v>
      </c>
      <c r="J17" s="152" t="s">
        <v>144</v>
      </c>
      <c r="K17" s="153">
        <v>1</v>
      </c>
      <c r="L17" s="155">
        <f>+'pH, Molinos Bagazo &amp; Cachaza'!D35</f>
        <v>5.31</v>
      </c>
      <c r="O17" s="238" t="s">
        <v>249</v>
      </c>
      <c r="P17" s="205">
        <f>+P12*F18</f>
        <v>0.4130041144950517</v>
      </c>
    </row>
    <row r="18" spans="1:16" ht="15">
      <c r="A18" s="152" t="s">
        <v>109</v>
      </c>
      <c r="B18" s="192">
        <v>2</v>
      </c>
      <c r="C18" s="202"/>
      <c r="D18" s="176" t="s">
        <v>146</v>
      </c>
      <c r="E18" s="153">
        <f t="shared" si="1"/>
        <v>13</v>
      </c>
      <c r="F18" s="226">
        <f>+'pH, Molinos Bagazo &amp; Cachaza'!Q35</f>
        <v>2.34</v>
      </c>
      <c r="G18" s="152" t="s">
        <v>147</v>
      </c>
      <c r="H18" s="153">
        <f t="shared" si="2"/>
        <v>14</v>
      </c>
      <c r="I18" s="461">
        <v>0</v>
      </c>
      <c r="J18" s="152" t="s">
        <v>148</v>
      </c>
      <c r="K18" s="153">
        <f t="shared" ref="K18:K35" si="5">1+K17</f>
        <v>2</v>
      </c>
      <c r="L18" s="154"/>
      <c r="O18" s="238" t="s">
        <v>250</v>
      </c>
      <c r="P18" s="205">
        <f>(P14-P17)/P14%</f>
        <v>96.278964194295668</v>
      </c>
    </row>
    <row r="19" spans="1:16" ht="15.6" thickBot="1">
      <c r="A19" s="152" t="s">
        <v>113</v>
      </c>
      <c r="B19" s="192">
        <v>3</v>
      </c>
      <c r="C19" s="202"/>
      <c r="D19" s="190" t="s">
        <v>149</v>
      </c>
      <c r="E19" s="161">
        <f t="shared" si="1"/>
        <v>14</v>
      </c>
      <c r="F19" s="227">
        <f>+'pH, Molinos Bagazo &amp; Cachaza'!R35</f>
        <v>51.18</v>
      </c>
      <c r="G19" s="152" t="s">
        <v>150</v>
      </c>
      <c r="H19" s="153">
        <f t="shared" si="2"/>
        <v>15</v>
      </c>
      <c r="I19" s="461">
        <v>0</v>
      </c>
      <c r="J19" s="152" t="s">
        <v>151</v>
      </c>
      <c r="K19" s="153">
        <f t="shared" si="5"/>
        <v>3</v>
      </c>
      <c r="L19" s="154" t="str">
        <f>[1]EXTRAC_CLARI_EVAP!L14</f>
        <v/>
      </c>
    </row>
    <row r="20" spans="1:16" ht="18" thickBot="1">
      <c r="A20" s="152" t="s">
        <v>117</v>
      </c>
      <c r="B20" s="192">
        <v>4</v>
      </c>
      <c r="C20" s="203"/>
      <c r="D20" s="510" t="s">
        <v>153</v>
      </c>
      <c r="E20" s="511"/>
      <c r="F20" s="512"/>
      <c r="G20" s="176" t="s">
        <v>154</v>
      </c>
      <c r="H20" s="153">
        <f t="shared" si="2"/>
        <v>16</v>
      </c>
      <c r="I20" s="461">
        <v>0</v>
      </c>
      <c r="J20" s="152" t="s">
        <v>155</v>
      </c>
      <c r="K20" s="153">
        <f t="shared" si="5"/>
        <v>4</v>
      </c>
      <c r="L20" s="154" t="str">
        <f>[1]EXTRAC_CLARI_EVAP!N14</f>
        <v/>
      </c>
      <c r="P20" s="239">
        <f>(C5+C17)*C6%/F6%</f>
        <v>8.2473071245010647</v>
      </c>
    </row>
    <row r="21" spans="1:16" ht="15.6">
      <c r="A21" s="152" t="s">
        <v>121</v>
      </c>
      <c r="B21" s="216">
        <v>5</v>
      </c>
      <c r="C21" s="217"/>
      <c r="D21" s="193" t="s">
        <v>156</v>
      </c>
      <c r="E21" s="148">
        <v>1</v>
      </c>
      <c r="F21" s="194"/>
      <c r="G21" s="152" t="s">
        <v>157</v>
      </c>
      <c r="H21" s="153">
        <f t="shared" si="2"/>
        <v>17</v>
      </c>
      <c r="I21" s="461">
        <v>0</v>
      </c>
      <c r="J21" s="152" t="s">
        <v>158</v>
      </c>
      <c r="K21" s="153">
        <f t="shared" si="5"/>
        <v>5</v>
      </c>
      <c r="L21" s="154" t="str">
        <f>[1]EXTRAC_CLARI_EVAP!AA43</f>
        <v/>
      </c>
    </row>
    <row r="22" spans="1:16" ht="15">
      <c r="A22" s="214" t="s">
        <v>272</v>
      </c>
      <c r="B22" s="222">
        <v>6</v>
      </c>
      <c r="C22" s="391">
        <v>0</v>
      </c>
      <c r="D22" s="176" t="s">
        <v>112</v>
      </c>
      <c r="E22" s="153">
        <f t="shared" ref="E22:E40" si="6">E21+1</f>
        <v>2</v>
      </c>
      <c r="F22" s="159"/>
      <c r="G22" s="152" t="s">
        <v>160</v>
      </c>
      <c r="H22" s="153">
        <f t="shared" si="2"/>
        <v>18</v>
      </c>
      <c r="I22" s="461">
        <v>0</v>
      </c>
      <c r="J22" s="152" t="s">
        <v>151</v>
      </c>
      <c r="K22" s="153">
        <f t="shared" si="5"/>
        <v>6</v>
      </c>
      <c r="L22" s="154" t="str">
        <f>[1]EXTRAC_CLARI_EVAP!Z14</f>
        <v/>
      </c>
    </row>
    <row r="23" spans="1:16" ht="15">
      <c r="A23" s="215" t="s">
        <v>238</v>
      </c>
      <c r="B23" s="219">
        <f>+B22+1</f>
        <v>7</v>
      </c>
      <c r="C23" s="221" t="str">
        <f>IF(C22=0,"",ROUND(C22*0.0037854*C51,2))</f>
        <v/>
      </c>
      <c r="D23" s="176" t="s">
        <v>159</v>
      </c>
      <c r="E23" s="153">
        <f t="shared" si="6"/>
        <v>3</v>
      </c>
      <c r="F23" s="159"/>
      <c r="G23" s="152" t="s">
        <v>137</v>
      </c>
      <c r="H23" s="153">
        <f t="shared" si="2"/>
        <v>19</v>
      </c>
      <c r="I23" s="461">
        <v>0</v>
      </c>
      <c r="J23" s="152" t="s">
        <v>162</v>
      </c>
      <c r="K23" s="153">
        <f t="shared" si="5"/>
        <v>7</v>
      </c>
      <c r="L23" s="155">
        <f>+'Masas &amp; Mieles'!G30</f>
        <v>91.78</v>
      </c>
    </row>
    <row r="24" spans="1:16" ht="15">
      <c r="A24" s="214" t="s">
        <v>127</v>
      </c>
      <c r="B24" s="219">
        <f t="shared" ref="B24:B31" si="7">+B23+1</f>
        <v>8</v>
      </c>
      <c r="C24" s="209">
        <f>+'Masas &amp; Mieles'!N60</f>
        <v>80.7</v>
      </c>
      <c r="D24" s="176" t="s">
        <v>163</v>
      </c>
      <c r="E24" s="153">
        <f t="shared" si="6"/>
        <v>4</v>
      </c>
      <c r="F24" s="159"/>
      <c r="G24" s="152" t="s">
        <v>164</v>
      </c>
      <c r="H24" s="153">
        <f t="shared" si="2"/>
        <v>20</v>
      </c>
      <c r="I24" s="461">
        <v>0</v>
      </c>
      <c r="J24" s="152" t="s">
        <v>116</v>
      </c>
      <c r="K24" s="153">
        <f t="shared" si="5"/>
        <v>8</v>
      </c>
      <c r="L24" s="155">
        <f>+'Masas &amp; Mieles'!H30</f>
        <v>77.12</v>
      </c>
    </row>
    <row r="25" spans="1:16" ht="15">
      <c r="A25" s="152" t="s">
        <v>129</v>
      </c>
      <c r="B25" s="219">
        <f t="shared" si="7"/>
        <v>9</v>
      </c>
      <c r="C25" s="195">
        <f>+'Masas &amp; Mieles'!O60</f>
        <v>30.41</v>
      </c>
      <c r="D25" s="152" t="s">
        <v>120</v>
      </c>
      <c r="E25" s="153">
        <f t="shared" si="6"/>
        <v>5</v>
      </c>
      <c r="F25" s="159"/>
      <c r="G25" s="152" t="s">
        <v>166</v>
      </c>
      <c r="H25" s="153">
        <f t="shared" si="2"/>
        <v>21</v>
      </c>
      <c r="I25" s="461">
        <v>0</v>
      </c>
      <c r="J25" s="152" t="s">
        <v>167</v>
      </c>
      <c r="K25" s="153">
        <f t="shared" si="5"/>
        <v>9</v>
      </c>
      <c r="L25" s="155">
        <f>+'Masas &amp; Mieles'!O30</f>
        <v>70.28</v>
      </c>
    </row>
    <row r="26" spans="1:16" ht="15">
      <c r="A26" s="152" t="s">
        <v>131</v>
      </c>
      <c r="B26" s="219">
        <f t="shared" si="7"/>
        <v>10</v>
      </c>
      <c r="C26" s="155">
        <f>+'Masas &amp; Mieles'!Q60</f>
        <v>39.4</v>
      </c>
      <c r="D26" s="152" t="s">
        <v>169</v>
      </c>
      <c r="E26" s="153">
        <f t="shared" si="6"/>
        <v>6</v>
      </c>
      <c r="F26" s="159"/>
      <c r="G26" s="152" t="s">
        <v>170</v>
      </c>
      <c r="H26" s="153">
        <f t="shared" si="2"/>
        <v>22</v>
      </c>
      <c r="I26" s="461">
        <v>0</v>
      </c>
      <c r="J26" s="152" t="s">
        <v>171</v>
      </c>
      <c r="K26" s="153">
        <f t="shared" si="5"/>
        <v>10</v>
      </c>
      <c r="L26" s="155">
        <f>+'Masas &amp; Mieles'!G46</f>
        <v>93.08</v>
      </c>
    </row>
    <row r="27" spans="1:16" ht="15.6">
      <c r="A27" s="152" t="s">
        <v>117</v>
      </c>
      <c r="B27" s="219">
        <f t="shared" si="7"/>
        <v>11</v>
      </c>
      <c r="C27" s="154"/>
      <c r="D27" s="158" t="s">
        <v>172</v>
      </c>
      <c r="E27" s="153">
        <f t="shared" si="6"/>
        <v>7</v>
      </c>
      <c r="F27" s="159"/>
      <c r="G27" s="152" t="s">
        <v>173</v>
      </c>
      <c r="H27" s="153">
        <f t="shared" si="2"/>
        <v>23</v>
      </c>
      <c r="I27" s="463">
        <v>2.7777777777777776E-2</v>
      </c>
      <c r="J27" s="152" t="s">
        <v>116</v>
      </c>
      <c r="K27" s="153">
        <f t="shared" si="5"/>
        <v>11</v>
      </c>
      <c r="L27" s="155">
        <f>+'Masas &amp; Mieles'!H46</f>
        <v>65.28</v>
      </c>
    </row>
    <row r="28" spans="1:16" ht="15">
      <c r="A28" s="152" t="s">
        <v>136</v>
      </c>
      <c r="B28" s="261">
        <f t="shared" si="7"/>
        <v>12</v>
      </c>
      <c r="C28" s="392"/>
      <c r="D28" s="152" t="s">
        <v>112</v>
      </c>
      <c r="E28" s="153">
        <f t="shared" si="6"/>
        <v>8</v>
      </c>
      <c r="F28" s="159"/>
      <c r="G28" s="152" t="s">
        <v>261</v>
      </c>
      <c r="H28" s="153">
        <f t="shared" si="2"/>
        <v>24</v>
      </c>
      <c r="I28" s="461">
        <v>0</v>
      </c>
      <c r="J28" s="152" t="s">
        <v>174</v>
      </c>
      <c r="K28" s="153">
        <f t="shared" si="5"/>
        <v>12</v>
      </c>
      <c r="L28" s="155">
        <f>+'Masas &amp; Mieles'!O46</f>
        <v>51.6</v>
      </c>
    </row>
    <row r="29" spans="1:16" ht="15">
      <c r="A29" s="152" t="s">
        <v>139</v>
      </c>
      <c r="B29" s="219">
        <f t="shared" si="7"/>
        <v>13</v>
      </c>
      <c r="C29" s="154">
        <f>+'pH, Molinos Bagazo &amp; Cachaza'!U36</f>
        <v>2.37</v>
      </c>
      <c r="D29" s="152" t="s">
        <v>159</v>
      </c>
      <c r="E29" s="153">
        <f t="shared" si="6"/>
        <v>9</v>
      </c>
      <c r="F29" s="159"/>
      <c r="G29" s="152" t="s">
        <v>175</v>
      </c>
      <c r="H29" s="153">
        <f t="shared" si="2"/>
        <v>25</v>
      </c>
      <c r="I29" s="461">
        <v>0</v>
      </c>
      <c r="J29" s="152" t="s">
        <v>176</v>
      </c>
      <c r="K29" s="153">
        <f t="shared" si="5"/>
        <v>13</v>
      </c>
      <c r="L29" s="155" t="str">
        <f>[1]CRISTALIZACIÓN!L55</f>
        <v/>
      </c>
    </row>
    <row r="30" spans="1:16" ht="15">
      <c r="A30" s="152" t="s">
        <v>113</v>
      </c>
      <c r="B30" s="219">
        <f t="shared" si="7"/>
        <v>14</v>
      </c>
      <c r="C30" s="154"/>
      <c r="D30" s="152" t="s">
        <v>163</v>
      </c>
      <c r="E30" s="153">
        <f t="shared" si="6"/>
        <v>10</v>
      </c>
      <c r="F30" s="159"/>
      <c r="G30" s="152" t="s">
        <v>177</v>
      </c>
      <c r="H30" s="153">
        <f t="shared" si="2"/>
        <v>26</v>
      </c>
      <c r="I30" s="461">
        <v>0</v>
      </c>
      <c r="J30" s="152" t="s">
        <v>148</v>
      </c>
      <c r="K30" s="153">
        <f t="shared" si="5"/>
        <v>14</v>
      </c>
      <c r="L30" s="154"/>
    </row>
    <row r="31" spans="1:16" ht="15.6" thickBot="1">
      <c r="A31" s="152" t="s">
        <v>145</v>
      </c>
      <c r="B31" s="219">
        <f t="shared" si="7"/>
        <v>15</v>
      </c>
      <c r="C31" s="157"/>
      <c r="D31" s="152" t="s">
        <v>120</v>
      </c>
      <c r="E31" s="153">
        <f t="shared" si="6"/>
        <v>11</v>
      </c>
      <c r="F31" s="159"/>
      <c r="G31" s="152" t="s">
        <v>137</v>
      </c>
      <c r="H31" s="153">
        <f t="shared" si="2"/>
        <v>27</v>
      </c>
      <c r="I31" s="461">
        <v>0</v>
      </c>
      <c r="J31" s="152" t="s">
        <v>178</v>
      </c>
      <c r="K31" s="153">
        <f t="shared" si="5"/>
        <v>15</v>
      </c>
      <c r="L31" s="154"/>
    </row>
    <row r="32" spans="1:16" ht="18" thickBot="1">
      <c r="A32" s="510" t="s">
        <v>268</v>
      </c>
      <c r="B32" s="511"/>
      <c r="C32" s="512"/>
      <c r="D32" s="176" t="s">
        <v>169</v>
      </c>
      <c r="E32" s="153">
        <f t="shared" si="6"/>
        <v>12</v>
      </c>
      <c r="F32" s="159"/>
      <c r="G32" s="152" t="s">
        <v>179</v>
      </c>
      <c r="H32" s="153">
        <f t="shared" si="2"/>
        <v>28</v>
      </c>
      <c r="I32" s="461">
        <v>0</v>
      </c>
      <c r="J32" s="152" t="s">
        <v>180</v>
      </c>
      <c r="K32" s="153">
        <f t="shared" si="5"/>
        <v>16</v>
      </c>
      <c r="L32" s="155">
        <f>+'Masas &amp; Mieles'!S60</f>
        <v>92.56</v>
      </c>
    </row>
    <row r="33" spans="1:12" ht="15.6">
      <c r="A33" s="147" t="s">
        <v>183</v>
      </c>
      <c r="B33" s="394">
        <v>1</v>
      </c>
      <c r="C33" s="393"/>
      <c r="D33" s="163" t="s">
        <v>181</v>
      </c>
      <c r="E33" s="153">
        <f t="shared" si="6"/>
        <v>13</v>
      </c>
      <c r="F33" s="159"/>
      <c r="G33" s="152" t="s">
        <v>182</v>
      </c>
      <c r="H33" s="153">
        <f t="shared" si="2"/>
        <v>29</v>
      </c>
      <c r="I33" s="461">
        <v>0</v>
      </c>
      <c r="J33" s="152" t="s">
        <v>116</v>
      </c>
      <c r="K33" s="153">
        <f t="shared" si="5"/>
        <v>17</v>
      </c>
      <c r="L33" s="155">
        <f>+'Masas &amp; Mieles'!T60</f>
        <v>75.97</v>
      </c>
    </row>
    <row r="34" spans="1:12" ht="15">
      <c r="A34" s="152" t="s">
        <v>282</v>
      </c>
      <c r="B34" s="153">
        <f>B33+1</f>
        <v>2</v>
      </c>
      <c r="C34" s="450" t="str">
        <f>+'Masas &amp; Mieles'!AB39</f>
        <v/>
      </c>
      <c r="D34" s="152" t="s">
        <v>112</v>
      </c>
      <c r="E34" s="153">
        <f t="shared" si="6"/>
        <v>14</v>
      </c>
      <c r="F34" s="159"/>
      <c r="G34" s="152" t="s">
        <v>184</v>
      </c>
      <c r="H34" s="153">
        <f t="shared" si="2"/>
        <v>30</v>
      </c>
      <c r="I34" s="461">
        <v>0</v>
      </c>
      <c r="J34" s="152" t="s">
        <v>185</v>
      </c>
      <c r="K34" s="153">
        <f t="shared" si="5"/>
        <v>18</v>
      </c>
      <c r="L34" s="154">
        <f>+'Masas &amp; Mieles'!K30</f>
        <v>715.43</v>
      </c>
    </row>
    <row r="35" spans="1:12" ht="15.6" thickBot="1">
      <c r="A35" s="152" t="s">
        <v>283</v>
      </c>
      <c r="B35" s="153">
        <f>B34+1</f>
        <v>3</v>
      </c>
      <c r="C35" s="450" t="e">
        <f>IF(F6="",0,(F6-C34))</f>
        <v>#VALUE!</v>
      </c>
      <c r="D35" s="152" t="s">
        <v>159</v>
      </c>
      <c r="E35" s="153">
        <f t="shared" si="6"/>
        <v>15</v>
      </c>
      <c r="F35" s="159"/>
      <c r="G35" s="152" t="s">
        <v>186</v>
      </c>
      <c r="H35" s="153">
        <f t="shared" si="2"/>
        <v>31</v>
      </c>
      <c r="I35" s="461">
        <v>0</v>
      </c>
      <c r="J35" s="152" t="s">
        <v>187</v>
      </c>
      <c r="K35" s="153">
        <f t="shared" si="5"/>
        <v>19</v>
      </c>
      <c r="L35" s="154">
        <f>+'Masas &amp; Mieles'!K46</f>
        <v>430.43000000000006</v>
      </c>
    </row>
    <row r="36" spans="1:12" ht="17.399999999999999">
      <c r="A36" s="152" t="s">
        <v>190</v>
      </c>
      <c r="B36" s="153">
        <f>B35+1</f>
        <v>4</v>
      </c>
      <c r="C36" s="395">
        <f>+'pH, Molinos Bagazo &amp; Cachaza'!F35</f>
        <v>4.7699999999999996</v>
      </c>
      <c r="D36" s="152" t="s">
        <v>163</v>
      </c>
      <c r="E36" s="153">
        <f t="shared" si="6"/>
        <v>16</v>
      </c>
      <c r="F36" s="159"/>
      <c r="G36" s="152" t="s">
        <v>188</v>
      </c>
      <c r="H36" s="153">
        <f t="shared" si="2"/>
        <v>32</v>
      </c>
      <c r="I36" s="461">
        <v>0</v>
      </c>
      <c r="J36" s="519" t="s">
        <v>189</v>
      </c>
      <c r="K36" s="520"/>
      <c r="L36" s="521"/>
    </row>
    <row r="37" spans="1:12" ht="15">
      <c r="A37" s="152" t="s">
        <v>193</v>
      </c>
      <c r="B37" s="153">
        <f>B36+1</f>
        <v>5</v>
      </c>
      <c r="C37" s="395">
        <f>+'pH, Molinos Bagazo &amp; Cachaza'!G35</f>
        <v>7.02</v>
      </c>
      <c r="D37" s="152" t="s">
        <v>120</v>
      </c>
      <c r="E37" s="153">
        <f t="shared" si="6"/>
        <v>17</v>
      </c>
      <c r="F37" s="159"/>
      <c r="G37" s="152" t="s">
        <v>191</v>
      </c>
      <c r="H37" s="153">
        <f t="shared" si="2"/>
        <v>33</v>
      </c>
      <c r="I37" s="462">
        <v>0</v>
      </c>
      <c r="J37" s="206" t="s">
        <v>192</v>
      </c>
      <c r="K37" s="218">
        <v>1</v>
      </c>
      <c r="L37" s="240">
        <f>+'Masas &amp; Mieles'!M30</f>
        <v>80.66</v>
      </c>
    </row>
    <row r="38" spans="1:12" ht="15.6" thickBot="1">
      <c r="A38" s="160" t="s">
        <v>195</v>
      </c>
      <c r="B38" s="161">
        <f>B37+1</f>
        <v>6</v>
      </c>
      <c r="C38" s="396"/>
      <c r="D38" s="152" t="s">
        <v>169</v>
      </c>
      <c r="E38" s="153">
        <f t="shared" si="6"/>
        <v>18</v>
      </c>
      <c r="F38" s="159"/>
      <c r="G38" s="152" t="s">
        <v>194</v>
      </c>
      <c r="H38" s="153">
        <f t="shared" si="2"/>
        <v>34</v>
      </c>
      <c r="I38" s="462">
        <v>0</v>
      </c>
      <c r="J38" s="206" t="s">
        <v>199</v>
      </c>
      <c r="K38" s="218">
        <f t="shared" ref="K38:K47" si="8">1+K37</f>
        <v>2</v>
      </c>
      <c r="L38" s="240">
        <f>+'Masas &amp; Mieles'!M46</f>
        <v>71.349999999999994</v>
      </c>
    </row>
    <row r="39" spans="1:12" ht="18" thickBot="1">
      <c r="A39" s="513" t="s">
        <v>197</v>
      </c>
      <c r="B39" s="514"/>
      <c r="C39" s="515"/>
      <c r="D39" s="176" t="s">
        <v>196</v>
      </c>
      <c r="E39" s="153">
        <f t="shared" si="6"/>
        <v>19</v>
      </c>
      <c r="F39" s="159"/>
      <c r="G39" s="152" t="s">
        <v>137</v>
      </c>
      <c r="H39" s="153">
        <f t="shared" si="2"/>
        <v>35</v>
      </c>
      <c r="I39" s="462">
        <v>0</v>
      </c>
      <c r="J39" s="206" t="s">
        <v>256</v>
      </c>
      <c r="K39" s="218">
        <f t="shared" si="8"/>
        <v>3</v>
      </c>
      <c r="L39" s="240"/>
    </row>
    <row r="40" spans="1:12" ht="15.6" thickBot="1">
      <c r="A40" s="147" t="s">
        <v>105</v>
      </c>
      <c r="B40" s="148">
        <v>1</v>
      </c>
      <c r="C40" s="223">
        <f>+C5</f>
        <v>363.75</v>
      </c>
      <c r="D40" s="160" t="s">
        <v>198</v>
      </c>
      <c r="E40" s="161">
        <f t="shared" si="6"/>
        <v>20</v>
      </c>
      <c r="F40" s="224"/>
      <c r="G40" s="152" t="s">
        <v>166</v>
      </c>
      <c r="H40" s="153">
        <f t="shared" si="2"/>
        <v>36</v>
      </c>
      <c r="I40" s="462">
        <v>0</v>
      </c>
      <c r="J40" s="206" t="s">
        <v>257</v>
      </c>
      <c r="K40" s="218">
        <f t="shared" si="8"/>
        <v>4</v>
      </c>
      <c r="L40" s="191"/>
    </row>
    <row r="41" spans="1:12" ht="18" thickBot="1">
      <c r="A41" s="152" t="s">
        <v>203</v>
      </c>
      <c r="B41" s="153">
        <v>2</v>
      </c>
      <c r="D41" s="503" t="s">
        <v>200</v>
      </c>
      <c r="E41" s="504"/>
      <c r="F41" s="505"/>
      <c r="G41" s="176" t="s">
        <v>201</v>
      </c>
      <c r="H41" s="153">
        <f t="shared" si="2"/>
        <v>37</v>
      </c>
      <c r="I41" s="462">
        <v>0</v>
      </c>
      <c r="J41" s="206" t="s">
        <v>202</v>
      </c>
      <c r="K41" s="218">
        <f t="shared" si="8"/>
        <v>5</v>
      </c>
      <c r="L41" s="253"/>
    </row>
    <row r="42" spans="1:12" ht="15">
      <c r="A42" s="152" t="s">
        <v>207</v>
      </c>
      <c r="B42" s="153">
        <v>3</v>
      </c>
      <c r="C42" s="196" t="str">
        <f>IF(C23="","",ROUND(C23*C24/85,2))</f>
        <v/>
      </c>
      <c r="D42" s="147" t="s">
        <v>204</v>
      </c>
      <c r="E42" s="148">
        <v>1</v>
      </c>
      <c r="F42" s="149"/>
      <c r="G42" s="152" t="s">
        <v>205</v>
      </c>
      <c r="H42" s="153">
        <f t="shared" si="2"/>
        <v>38</v>
      </c>
      <c r="I42" s="462">
        <v>0</v>
      </c>
      <c r="J42" s="206" t="s">
        <v>206</v>
      </c>
      <c r="K42" s="218">
        <f t="shared" si="8"/>
        <v>6</v>
      </c>
      <c r="L42" s="254">
        <f>+'Masas &amp; Mieles'!Y47</f>
        <v>97.5</v>
      </c>
    </row>
    <row r="43" spans="1:12" ht="15">
      <c r="A43" s="152" t="s">
        <v>211</v>
      </c>
      <c r="B43" s="153">
        <v>4</v>
      </c>
      <c r="C43" s="156"/>
      <c r="D43" s="152" t="s">
        <v>208</v>
      </c>
      <c r="E43" s="153">
        <f t="shared" ref="E43:E48" si="9">1+E42</f>
        <v>2</v>
      </c>
      <c r="F43" s="154"/>
      <c r="G43" s="152" t="s">
        <v>209</v>
      </c>
      <c r="H43" s="153">
        <f t="shared" si="2"/>
        <v>39</v>
      </c>
      <c r="I43" s="462">
        <v>0</v>
      </c>
      <c r="J43" s="206" t="s">
        <v>210</v>
      </c>
      <c r="K43" s="218">
        <f t="shared" si="8"/>
        <v>7</v>
      </c>
      <c r="L43" s="254">
        <f>+'Masas &amp; Mieles'!Z47</f>
        <v>145</v>
      </c>
    </row>
    <row r="44" spans="1:12" ht="15">
      <c r="A44" s="152" t="s">
        <v>214</v>
      </c>
      <c r="B44" s="153">
        <v>5</v>
      </c>
      <c r="C44" s="156"/>
      <c r="D44" s="255" t="s">
        <v>258</v>
      </c>
      <c r="E44" s="153">
        <f t="shared" si="9"/>
        <v>3</v>
      </c>
      <c r="F44" s="154"/>
      <c r="G44" s="152" t="s">
        <v>212</v>
      </c>
      <c r="H44" s="153">
        <f t="shared" si="2"/>
        <v>40</v>
      </c>
      <c r="I44" s="462">
        <v>0</v>
      </c>
      <c r="J44" s="206" t="s">
        <v>213</v>
      </c>
      <c r="K44" s="218">
        <f t="shared" si="8"/>
        <v>8</v>
      </c>
      <c r="L44" s="254">
        <f>+'Masas &amp; Mieles'!AA47</f>
        <v>121.25</v>
      </c>
    </row>
    <row r="45" spans="1:12" ht="15">
      <c r="A45" s="152" t="s">
        <v>259</v>
      </c>
      <c r="B45" s="153">
        <v>6</v>
      </c>
      <c r="C45" s="260">
        <f>+'Masas &amp; Mieles'!AC42</f>
        <v>0</v>
      </c>
      <c r="D45" s="152" t="s">
        <v>215</v>
      </c>
      <c r="E45" s="153">
        <f t="shared" si="9"/>
        <v>4</v>
      </c>
      <c r="F45" s="154"/>
      <c r="G45" s="152" t="s">
        <v>216</v>
      </c>
      <c r="H45" s="153">
        <f t="shared" si="2"/>
        <v>41</v>
      </c>
      <c r="I45" s="462">
        <v>0</v>
      </c>
      <c r="J45" s="206" t="s">
        <v>217</v>
      </c>
      <c r="K45" s="218">
        <f t="shared" si="8"/>
        <v>9</v>
      </c>
      <c r="L45" s="253"/>
    </row>
    <row r="46" spans="1:12" ht="15">
      <c r="A46" s="152" t="s">
        <v>260</v>
      </c>
      <c r="B46" s="153">
        <v>7</v>
      </c>
      <c r="C46" s="260"/>
      <c r="D46" s="152" t="s">
        <v>218</v>
      </c>
      <c r="E46" s="153">
        <f t="shared" si="9"/>
        <v>5</v>
      </c>
      <c r="F46" s="154"/>
      <c r="G46" s="152" t="s">
        <v>219</v>
      </c>
      <c r="H46" s="153">
        <f t="shared" si="2"/>
        <v>42</v>
      </c>
      <c r="I46" s="462">
        <v>0</v>
      </c>
      <c r="J46" s="206" t="s">
        <v>222</v>
      </c>
      <c r="K46" s="218">
        <f t="shared" si="8"/>
        <v>10</v>
      </c>
      <c r="L46" s="253"/>
    </row>
    <row r="47" spans="1:12" ht="15">
      <c r="A47" s="160" t="s">
        <v>275</v>
      </c>
      <c r="B47" s="161">
        <v>8</v>
      </c>
      <c r="C47" s="177">
        <f>+C45+C46*25</f>
        <v>0</v>
      </c>
      <c r="D47" s="152" t="s">
        <v>220</v>
      </c>
      <c r="E47" s="153">
        <f t="shared" si="9"/>
        <v>6</v>
      </c>
      <c r="F47" s="154"/>
      <c r="G47" s="152" t="s">
        <v>221</v>
      </c>
      <c r="H47" s="153">
        <f t="shared" si="2"/>
        <v>43</v>
      </c>
      <c r="I47" s="462">
        <v>0</v>
      </c>
      <c r="J47" s="206" t="s">
        <v>279</v>
      </c>
      <c r="K47" s="218">
        <f t="shared" si="8"/>
        <v>11</v>
      </c>
      <c r="L47" s="253"/>
    </row>
    <row r="48" spans="1:12" ht="15">
      <c r="A48" s="191"/>
      <c r="B48" s="191"/>
      <c r="C48" s="191"/>
      <c r="D48" s="190" t="s">
        <v>223</v>
      </c>
      <c r="E48" s="161">
        <f t="shared" si="9"/>
        <v>7</v>
      </c>
      <c r="F48" s="162"/>
      <c r="G48" s="152" t="s">
        <v>224</v>
      </c>
      <c r="H48" s="153">
        <f t="shared" si="2"/>
        <v>44</v>
      </c>
      <c r="I48" s="462">
        <v>0</v>
      </c>
      <c r="J48" s="191"/>
      <c r="K48" s="218"/>
      <c r="L48" s="253"/>
    </row>
    <row r="49" spans="1:12" ht="15.6" thickBot="1">
      <c r="D49" s="178"/>
      <c r="E49" s="179"/>
      <c r="F49" s="180"/>
      <c r="G49" s="176" t="s">
        <v>225</v>
      </c>
      <c r="H49" s="153">
        <f t="shared" si="2"/>
        <v>45</v>
      </c>
      <c r="I49" s="461">
        <v>0</v>
      </c>
      <c r="K49" s="251"/>
      <c r="L49" s="252"/>
    </row>
    <row r="50" spans="1:12" ht="15">
      <c r="A50" s="181"/>
      <c r="B50" s="168"/>
      <c r="C50" s="208" t="s">
        <v>237</v>
      </c>
      <c r="D50" s="168"/>
      <c r="E50" s="168"/>
      <c r="F50" s="182"/>
      <c r="G50" s="176" t="s">
        <v>226</v>
      </c>
      <c r="H50" s="153">
        <f t="shared" si="2"/>
        <v>46</v>
      </c>
      <c r="I50" s="462">
        <v>0</v>
      </c>
      <c r="J50" s="243"/>
      <c r="K50" s="244"/>
      <c r="L50" s="245"/>
    </row>
    <row r="51" spans="1:12" ht="15">
      <c r="A51" s="181"/>
      <c r="B51" s="220" t="s">
        <v>239</v>
      </c>
      <c r="C51" s="207">
        <f>ROUND(1+0.003865*C24+0.000012912*C24^2+0.0000000643323*C24^3-0.00000000024661*C24^4,5)</f>
        <v>1.4193499999999999</v>
      </c>
      <c r="D51" s="168" t="s">
        <v>240</v>
      </c>
      <c r="E51" s="168"/>
      <c r="F51" s="182"/>
      <c r="G51" s="176" t="s">
        <v>227</v>
      </c>
      <c r="H51" s="153">
        <f t="shared" si="2"/>
        <v>47</v>
      </c>
      <c r="I51" s="462">
        <v>0</v>
      </c>
      <c r="J51" s="246"/>
      <c r="K51" s="242"/>
      <c r="L51" s="247"/>
    </row>
    <row r="52" spans="1:12" ht="15">
      <c r="A52" s="181"/>
      <c r="B52" s="168"/>
      <c r="D52" s="168"/>
      <c r="E52" s="168"/>
      <c r="F52" s="182"/>
      <c r="G52" s="176" t="s">
        <v>228</v>
      </c>
      <c r="H52" s="153">
        <f t="shared" si="2"/>
        <v>48</v>
      </c>
      <c r="I52" s="462">
        <v>0</v>
      </c>
      <c r="J52" s="167"/>
      <c r="K52" s="242"/>
      <c r="L52" s="247"/>
    </row>
    <row r="53" spans="1:12" ht="15">
      <c r="A53" s="181"/>
      <c r="B53" s="168"/>
      <c r="C53" s="168"/>
      <c r="D53" s="168"/>
      <c r="E53" s="168"/>
      <c r="F53" s="182"/>
      <c r="G53" s="176" t="s">
        <v>229</v>
      </c>
      <c r="H53" s="153">
        <f t="shared" si="2"/>
        <v>49</v>
      </c>
      <c r="I53" s="462">
        <v>0</v>
      </c>
      <c r="J53" s="167"/>
      <c r="K53" s="168"/>
      <c r="L53" s="247"/>
    </row>
    <row r="54" spans="1:12" ht="25.35" customHeight="1" thickBot="1">
      <c r="A54" s="183" t="s">
        <v>233</v>
      </c>
      <c r="B54" s="184"/>
      <c r="C54" s="184"/>
      <c r="D54" s="184"/>
      <c r="E54" s="184"/>
      <c r="F54" s="185"/>
      <c r="G54" s="186" t="s">
        <v>230</v>
      </c>
      <c r="H54" s="187">
        <f t="shared" si="2"/>
        <v>50</v>
      </c>
      <c r="I54" s="241"/>
      <c r="J54" s="248" t="s">
        <v>231</v>
      </c>
      <c r="K54" s="249"/>
      <c r="L54" s="250"/>
    </row>
    <row r="55" spans="1:12" ht="13.8" thickTop="1"/>
    <row r="56" spans="1:12">
      <c r="B56" t="s">
        <v>251</v>
      </c>
    </row>
    <row r="59" spans="1:12">
      <c r="C59" t="s">
        <v>252</v>
      </c>
    </row>
    <row r="60" spans="1:12">
      <c r="C60" t="s">
        <v>253</v>
      </c>
    </row>
    <row r="61" spans="1:12">
      <c r="C61" t="s">
        <v>254</v>
      </c>
    </row>
    <row r="62" spans="1:12">
      <c r="C62" t="s">
        <v>255</v>
      </c>
    </row>
    <row r="70" spans="1:3" ht="15">
      <c r="A70" s="160"/>
      <c r="B70" s="161"/>
      <c r="C70" s="162"/>
    </row>
  </sheetData>
  <mergeCells count="14">
    <mergeCell ref="D41:F41"/>
    <mergeCell ref="D1:H1"/>
    <mergeCell ref="D2:H2"/>
    <mergeCell ref="J1:L1"/>
    <mergeCell ref="A16:C16"/>
    <mergeCell ref="A32:C32"/>
    <mergeCell ref="A39:C39"/>
    <mergeCell ref="J16:L16"/>
    <mergeCell ref="A4:C4"/>
    <mergeCell ref="D20:F20"/>
    <mergeCell ref="J36:L36"/>
    <mergeCell ref="D4:F4"/>
    <mergeCell ref="G4:I4"/>
    <mergeCell ref="J4:L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59" orientation="landscape" horizontalDpi="4294967293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9EC69899BA22498B434471402E547F" ma:contentTypeVersion="14" ma:contentTypeDescription="Create a new document." ma:contentTypeScope="" ma:versionID="79e40d28ff6bd5ed18f1b218756a3271">
  <xsd:schema xmlns:xsd="http://www.w3.org/2001/XMLSchema" xmlns:xs="http://www.w3.org/2001/XMLSchema" xmlns:p="http://schemas.microsoft.com/office/2006/metadata/properties" xmlns:ns3="9070fc1c-30eb-48b6-970a-a05790e86927" xmlns:ns4="2c377d64-927c-4076-9480-6cfebbf85050" targetNamespace="http://schemas.microsoft.com/office/2006/metadata/properties" ma:root="true" ma:fieldsID="2a41f5445ef7ae29bf2b4dc0eeef07be" ns3:_="" ns4:_="">
    <xsd:import namespace="9070fc1c-30eb-48b6-970a-a05790e86927"/>
    <xsd:import namespace="2c377d64-927c-4076-9480-6cfebbf850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0fc1c-30eb-48b6-970a-a05790e869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77d64-927c-4076-9480-6cfebbf8505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070fc1c-30eb-48b6-970a-a05790e8692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A255EA-9A9D-48D1-BE90-9CBF67CB0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70fc1c-30eb-48b6-970a-a05790e86927"/>
    <ds:schemaRef ds:uri="2c377d64-927c-4076-9480-6cfebbf850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DBB7D9-E346-4DBD-8B0E-70CD26A792BC}">
  <ds:schemaRefs>
    <ds:schemaRef ds:uri="http://schemas.microsoft.com/office/2006/metadata/properties"/>
    <ds:schemaRef ds:uri="9070fc1c-30eb-48b6-970a-a05790e86927"/>
    <ds:schemaRef ds:uri="http://purl.org/dc/terms/"/>
    <ds:schemaRef ds:uri="2c377d64-927c-4076-9480-6cfebbf8505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E2FE0C-6C28-49FB-9CEC-04FE7B88C8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Jugos &amp; Meladura</vt:lpstr>
      <vt:lpstr>Masas &amp; Mieles</vt:lpstr>
      <vt:lpstr>pH, Molinos Bagazo &amp; Cachaza</vt:lpstr>
      <vt:lpstr>Cédula Captura</vt:lpstr>
      <vt:lpstr>'Cédula Captura'!Área_de_impresión</vt:lpstr>
      <vt:lpstr>'Jugos &amp; Meladura'!Área_de_impresión</vt:lpstr>
      <vt:lpstr>'Masas &amp; Mieles'!Área_de_impresión</vt:lpstr>
      <vt:lpstr>'pH, Molinos Bagazo &amp; Cachaza'!Área_de_impresión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Gaming</dc:creator>
  <cp:lastModifiedBy>Roberto Hidalgo</cp:lastModifiedBy>
  <cp:lastPrinted>2023-12-01T19:05:18Z</cp:lastPrinted>
  <dcterms:created xsi:type="dcterms:W3CDTF">2023-11-28T14:55:08Z</dcterms:created>
  <dcterms:modified xsi:type="dcterms:W3CDTF">2024-12-18T20:14:17Z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0x010100579EC69899BA22498B434471402E547F</vt:lpwstr>
  </property>
</Properties>
</file>