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E2E" sheetId="1" r:id="rId4"/>
    <sheet state="visible" name="Original-WebNLG" sheetId="2" r:id="rId5"/>
    <sheet state="visible" name="OD-E2E" sheetId="3" r:id="rId6"/>
    <sheet state="visible" name="Copy of OD-E2E" sheetId="4" r:id="rId7"/>
    <sheet state="visible" name="OD-WebNLG" sheetId="5" r:id="rId8"/>
    <sheet state="visible" name="Copy of OD-WebNLG" sheetId="6" r:id="rId9"/>
    <sheet state="visible" name="ZK-E2E" sheetId="7" r:id="rId10"/>
    <sheet state="visible" name="Copy of ZK-E2E" sheetId="8" r:id="rId11"/>
    <sheet state="visible" name="ZK-WebNLG" sheetId="9" r:id="rId12"/>
    <sheet state="visible" name="Copy of ZK-WebNLG" sheetId="10" r:id="rId13"/>
    <sheet state="visible" name="AB-E2E" sheetId="11" r:id="rId14"/>
    <sheet state="visible" name="Copy of AB-E2E" sheetId="12" r:id="rId15"/>
    <sheet state="visible" name="AB-WebNLG" sheetId="13" r:id="rId16"/>
    <sheet state="visible" name="Copy of AB-WebNLG" sheetId="14" r:id="rId17"/>
    <sheet state="visible" name="TCF-E2E" sheetId="15" r:id="rId18"/>
    <sheet state="visible" name="Copy of TCF-E2E" sheetId="16" r:id="rId19"/>
    <sheet state="visible" name="TCF-WebNLG" sheetId="17" r:id="rId20"/>
    <sheet state="visible" name="Copy of TCF-WebNLG" sheetId="18" r:id="rId21"/>
    <sheet state="visible" name="random_key" sheetId="19" r:id="rId22"/>
    <sheet state="visible" name="retrieve E2E OD random" sheetId="20" r:id="rId23"/>
    <sheet state="visible" name="retrieve E2E ZK random" sheetId="21" r:id="rId24"/>
    <sheet state="visible" name="E2E Combined OD + ZK" sheetId="22" r:id="rId25"/>
    <sheet state="visible" name="retrieve E2E AB random" sheetId="23" r:id="rId26"/>
    <sheet state="visible" name="retrieve E2E TCF random" sheetId="24" r:id="rId27"/>
    <sheet state="visible" name="E2E Combined AB + TCF" sheetId="25" r:id="rId28"/>
    <sheet state="visible" name="retrieve WebNLG OD random" sheetId="26" r:id="rId29"/>
    <sheet state="visible" name="retrieve WebNLG ZK random" sheetId="27" r:id="rId30"/>
    <sheet state="visible" name="WebNLG Combined OD + ZK" sheetId="28" r:id="rId31"/>
    <sheet state="visible" name="retrieve WebNLG AB random" sheetId="29" r:id="rId32"/>
    <sheet state="visible" name="retrieve WebNLG TCF random" sheetId="30" r:id="rId33"/>
    <sheet state="visible" name="WebNLG Combined AB + TCF" sheetId="31" r:id="rId34"/>
    <sheet state="visible" name="Pearsons r" sheetId="32" r:id="rId35"/>
    <sheet state="visible" name="E2E Fleiss kappa" sheetId="33" r:id="rId36"/>
    <sheet state="visible" name="WebNLG Fleiss kappa" sheetId="34" r:id="rId37"/>
    <sheet state="visible" name="E2E krippendorffs alpha" sheetId="35" r:id="rId38"/>
    <sheet state="visible" name="WebNLG krippendorfs alpha" sheetId="36" r:id="rId39"/>
  </sheets>
  <definedNames/>
  <calcPr/>
  <extLst>
    <ext uri="GoogleSheetsCustomDataVersion1">
      <go:sheetsCustomData xmlns:go="http://customooxmlschemas.google.com/" r:id="rId40" roundtripDataSignature="AMtx7mj6SiSgeR4zzICxgmRIfxFrTvVUMQ=="/>
    </ext>
  </extLst>
</workbook>
</file>

<file path=xl/sharedStrings.xml><?xml version="1.0" encoding="utf-8"?>
<sst xmlns="http://schemas.openxmlformats.org/spreadsheetml/2006/main" count="12493" uniqueCount="1048">
  <si>
    <t>sent</t>
  </si>
  <si>
    <t>MRs</t>
  </si>
  <si>
    <t>OK_conf</t>
  </si>
  <si>
    <t>error_type</t>
  </si>
  <si>
    <t>who is correct</t>
  </si>
  <si>
    <t>problem</t>
  </si>
  <si>
    <t>#</t>
  </si>
  <si>
    <t>gold</t>
  </si>
  <si>
    <t>NLI</t>
  </si>
  <si>
    <t>neither / cannot decide</t>
  </si>
  <si>
    <t>eatType=restaurant</t>
  </si>
  <si>
    <t>priceRange</t>
  </si>
  <si>
    <t>familyFriendly</t>
  </si>
  <si>
    <t>off-topic blabber</t>
  </si>
  <si>
    <t>unjustified omission</t>
  </si>
  <si>
    <t>unjustified hallucination</t>
  </si>
  <si>
    <t>other</t>
  </si>
  <si>
    <t>The Phoenix, which offers fast food, is a mid-priced pub. It has a customer rating of 3 out of 5. It is in riverside near Café Sicilia. It is family-friendly.</t>
  </si>
  <si>
    <t>['The Phoenix|eat_type|pub', 'The Phoenix|food|Fast food', 'The Phoenix|price_range|moderate', 'The Phoenix|rating|3 out of 5', 'The Phoenix|area|riverside', 'The Phoenix|family_friendly|yes', 'The Phoenix|near|Café Sicilia']</t>
  </si>
  <si>
    <t>0.985</t>
  </si>
  <si>
    <t>omission</t>
  </si>
  <si>
    <t>OK</t>
  </si>
  <si>
    <t>x</t>
  </si>
  <si>
    <t>The Mill can be found near Café Sicilia . It is a cheap , family friendly pub with a five star rating and full service .</t>
  </si>
  <si>
    <t>['The Mill|eat_type|pub', 'The Mill|food|Fast food', 'The Mill|price_range|cheap', 'The Mill|rating|5 out of 5', 'The Mill|area|riverside', 'The Mill|family_friendly|yes', 'The Mill|near|Café Sicilia']</t>
  </si>
  <si>
    <t>0.004</t>
  </si>
  <si>
    <t>hallucination+omission</t>
  </si>
  <si>
    <t>"full service" is a hallucination</t>
  </si>
  <si>
    <t>The Punter is a italian pub in the city centre near Rainbow Vegetarian Café. It has an average customer rating and a high price range. It is not children friendly.</t>
  </si>
  <si>
    <t>['The Punter|eat_type|pub', 'The Punter|food|Italian', 'The Punter|price_range|high', 'The Punter|rating|average', 'The Punter|area|city centre', 'The Punter|family_friendly|no', 'The Punter|near|Rainbow Vegetarian Café']</t>
  </si>
  <si>
    <t>0.972</t>
  </si>
  <si>
    <t>hallucination</t>
  </si>
  <si>
    <t>For a child-friendly, average-rated restaurant serving Italian, try The Punter, in the riverside area, near Rainbow Vegetarian Café.</t>
  </si>
  <si>
    <t>['The Punter|eat_type|restaurant', 'The Punter|food|Italian', 'The Punter|price_range|cheap', 'The Punter|rating|average', 'The Punter|area|riverside', 'The Punter|family_friendly|yes', 'The Punter|near|Rainbow Vegetarian Café']</t>
  </si>
  <si>
    <t>0.550</t>
  </si>
  <si>
    <t>cheap is omitted, not recognized (but conf. only 0.55)</t>
  </si>
  <si>
    <t>The Mill is a high pub that serves fast food. It is not children-friendly and has a rating of 1 out of 5. It is located in the riverside area near Café Sicilia.</t>
  </si>
  <si>
    <t>['The Mill|eat_type|pub', 'The Mill|food|Fast food', 'The Mill|price_range|high', 'The Mill|rating|1 out of 5', 'The Mill|area|riverside', 'The Mill|family_friendly|no', 'The Mill|near|Café Sicilia']</t>
  </si>
  <si>
    <t>0.913</t>
  </si>
  <si>
    <t>"high pub" probably recognized as omission</t>
  </si>
  <si>
    <t>The Punter, which has a low customer rating, is a low-priced restaurant offering Indian cuisine. It is in the riverside area by Express by Holiday Inn. It is not child-friendly.</t>
  </si>
  <si>
    <t>['The Punter|eat_type|restaurant', 'The Punter|food|Indian', 'The Punter|price_range|less than £20', 'The Punter|rating|low', 'The Punter|area|riverside', 'The Punter|family_friendly|no', 'The Punter|near|Express by Holiday Inn']</t>
  </si>
  <si>
    <t>0.047</t>
  </si>
  <si>
    <t>The Mill, which has a low customer rating, is a low-priced restaurant offering English food. It is in city centre near Café Rouge. It is not family-friendly.</t>
  </si>
  <si>
    <t>['The Mill|eat_type|restaurant', 'The Mill|food|English', 'The Mill|price_range|less than £20', 'The Mill|rating|low', 'The Mill|area|city centre', 'The Mill|family_friendly|no', 'The Mill|near|Café Rouge']</t>
  </si>
  <si>
    <t>0.033</t>
  </si>
  <si>
    <t>Giraffe is a French restaurant in the riverside near Raja Indian Cuisine, it is not family-friendly. It is a pub.</t>
  </si>
  <si>
    <t>['Giraffe|eat_type|pub', 'Giraffe|food|French', 'Giraffe|area|riverside', 'Giraffe|family_friendly|no', 'Giraffe|near|Raja Indian Cuisine']</t>
  </si>
  <si>
    <t>0.771</t>
  </si>
  <si>
    <t>The Cricketers, which has a low customer rating, is a cheap restaurant offering Chinese food. It is in riverside near All Bar One. It is not child-friendly.</t>
  </si>
  <si>
    <t>['The Cricketers|eat_type|restaurant', 'The Cricketers|food|Chinese', 'The Cricketers|price_range|less than £20', 'The Cricketers|rating|low', 'The Cricketers|area|riverside', 'The Cricketers|family_friendly|no', 'The Cricketers|near|All Bar One']</t>
  </si>
  <si>
    <t>0.049</t>
  </si>
  <si>
    <t>The Phoenix is a restaurant that also serves Indian food. The price range is £20-£25 and rated a high by customers. The Phoenix is not a kid friendly place but if you would like to try it, it is located by the city centre area near Crowne Plaza Hotel.</t>
  </si>
  <si>
    <t>['The Phoenix|eat_type|restaurant', 'The Phoenix|food|Indian', 'The Phoenix|price_range|£20-25', 'The Phoenix|rating|high', 'The Phoenix|area|city centre', 'The Phoenix|family_friendly|no', 'The Phoenix|near|Crowne Plaza Hotel']</t>
  </si>
  <si>
    <t>0.967</t>
  </si>
  <si>
    <t>Located near Café Sicilia in the city centre, The Mill is a Fast food pub with a high price range and an average customer rating and is not child friendly.</t>
  </si>
  <si>
    <t>['The Mill|eat_type|pub', 'The Mill|food|Fast food', 'The Mill|price_range|high', 'The Mill|rating|average', 'The Mill|area|city centre', 'The Mill|family_friendly|no', 'The Mill|near|Café Sicilia']</t>
  </si>
  <si>
    <t>0.973</t>
  </si>
  <si>
    <t>The Phoenix is a moderate priced pub that serves fast food . Kids are located in the city centre near Raja Indian Cuisine . Kids are home .</t>
  </si>
  <si>
    <t>['The Phoenix|eat_type|pub', 'The Phoenix|food|Fast food', 'The Phoenix|price_range|moderate', 'The Phoenix|area|city centre', 'The Phoenix|family_friendly|yes', 'The Phoenix|near|Raja Indian Cuisine']</t>
  </si>
  <si>
    <t>0.722</t>
  </si>
  <si>
    <t>bullshit: "Kids are located in the city centre near Raja Indian Cuisine . Kids are home ."</t>
  </si>
  <si>
    <t>The Mill is a family - friendly restaurant offering spaghetti and breakfast at prices . It is located near Raja Indian Cuisine .</t>
  </si>
  <si>
    <t>['The Mill|eat_type|restaurant', 'The Mill|food|English', 'The Mill|price_range|more than £30', 'The Mill|area|riverside', 'The Mill|family_friendly|yes', 'The Mill|near|Raja Indian Cuisine']</t>
  </si>
  <si>
    <t>0.003</t>
  </si>
  <si>
    <t>spaghetti and breakfast is hallucinated</t>
  </si>
  <si>
    <t>The Mill, which is in the riverside area by Raja Indian Cuisine, is a low-priced pub offering English cuisine. It is child-friendly.</t>
  </si>
  <si>
    <t>['The Mill|eat_type|pub', 'The Mill|food|English', 'The Mill|price_range|less than £20', 'The Mill|area|riverside', 'The Mill|family_friendly|yes', 'The Mill|near|Raja Indian Cuisine']</t>
  </si>
  <si>
    <t>For a child-friendly, average-rated restaurant serving English, try The Cricketers, in the riverside area, near Café Rouge.</t>
  </si>
  <si>
    <t>['The Cricketers|eat_type|restaurant', 'The Cricketers|food|English', 'The Cricketers|price_range|cheap', 'The Cricketers|rating|average', 'The Cricketers|area|riverside', 'The Cricketers|family_friendly|yes', 'The Cricketers|near|Café Rouge']</t>
  </si>
  <si>
    <t>0.742</t>
  </si>
  <si>
    <t>cheap is missing</t>
  </si>
  <si>
    <t>Less than £20 French food for all the family can be found at The Phoenix pub, near Crowne Plaza Hotel, in the city centre area. Average ratings.</t>
  </si>
  <si>
    <t>['The Phoenix|eat_type|pub', 'The Phoenix|food|French', 'The Phoenix|price_range|less than £20', 'The Phoenix|rating|average', 'The Phoenix|area|city centre', 'The Phoenix|family_friendly|yes', 'The Phoenix|near|Crowne Plaza Hotel']</t>
  </si>
  <si>
    <t>0.682</t>
  </si>
  <si>
    <t>The Wrestlers is a child friendly japanese pub with a high price range and a customer rating of 5 out of 5. It is located near Raja Indian Cuisine in the riverside area.'</t>
  </si>
  <si>
    <t>['The Wrestlers|eat_type|pub', 'The Wrestlers|food|Japanese', 'The Wrestlers|price_range|more than £30', 'The Wrestlers|rating|5 out of 5', 'The Wrestlers|area|riverside', 'The Wrestlers|family_friendly|yes', 'The Wrestlers|near|Raja Indian Cuisine']</t>
  </si>
  <si>
    <t>0.022</t>
  </si>
  <si>
    <t>There is a restaurant, The Punter, serving English food along the city centre near Raja Indian Cuisine. It is not kids friendly and is highly priced.</t>
  </si>
  <si>
    <t>['The Punter|eat_type|restaurant', 'The Punter|food|English', 'The Punter|price_range|high', 'The Punter|area|city centre', 'The Punter|family_friendly|no', 'The Punter|near|Raja Indian Cuisine']</t>
  </si>
  <si>
    <t>0.977</t>
  </si>
  <si>
    <t>The Mill is a pub serving Fast food in the city centre near Café Sicilia . It has a high price range and an average customer rating . It is not children friendly .</t>
  </si>
  <si>
    <t>['The Mill|eat_type|pub', 'The Mill|food|Fast food', 'The Mill|price_range|high', 'The Mill|rating|average', 'The Mill|area|city centre', 'The Mill|family_friendly|no', 'The Mill|near|Café Sicilia']</t>
  </si>
  <si>
    <t>The Mill is a pub that serves Fast food. It is located near Café Rouge in the city centre. It is not kid friendly. The price range is £20-£25 and the customer rating is high.</t>
  </si>
  <si>
    <t>['The Mill|eat_type|pub', 'The Mill|food|Fast food', 'The Mill|price_range|£20-25', 'The Mill|rating|high', 'The Mill|area|city centre', 'The Mill|family_friendly|no', 'The Mill|near|Café Rouge']</t>
  </si>
  <si>
    <t>0.984</t>
  </si>
  <si>
    <t>Clowns is a pub located a few steps of The Sorrento.</t>
  </si>
  <si>
    <t>['Clowns|eat_type|pub', 'Clowns|near|The Sorrento']</t>
  </si>
  <si>
    <t>0.005</t>
  </si>
  <si>
    <t>ungrammatical: "located a few steps of The Sorrento"</t>
  </si>
  <si>
    <t>The Mill is a pub that serves Fast food and is children friendly. It is in the high price range and has an average customer rating. It is located in the riverside area near Café Sicilia.</t>
  </si>
  <si>
    <t>['The Mill|eat_type|pub', 'The Mill|food|Fast food', 'The Mill|price_range|high', 'The Mill|rating|average', 'The Mill|area|riverside', 'The Mill|family_friendly|yes', 'The Mill|near|Café Sicilia']</t>
  </si>
  <si>
    <t>0.949</t>
  </si>
  <si>
    <t>In the city centre near Café Sicilia there is a cheap Fast food restaurant called The Mill. It has a customer rating of 5 out of 5 and is not family-friendly.</t>
  </si>
  <si>
    <t>['The Mill|eat_type|pub', 'The Mill|food|Fast food', 'The Mill|price_range|cheap', 'The Mill|rating|5 out of 5', 'The Mill|area|city centre', 'The Mill|family_friendly|no', 'The Mill|near|Café Sicilia']</t>
  </si>
  <si>
    <t>0.002</t>
  </si>
  <si>
    <t>pub is really omitted</t>
  </si>
  <si>
    <t>The Cricketers is a high restaurant that serves English food. Yes it is kids-friendly. It has an average customer rating and is located in the city centre area near Café Rouge.</t>
  </si>
  <si>
    <t>['The Cricketers|eat_type|restaurant', 'The Cricketers|food|English', 'The Cricketers|price_range|high', 'The Cricketers|rating|average', 'The Cricketers|area|city centre', 'The Cricketers|family_friendly|yes', 'The Cricketers|near|Café Rouge']</t>
  </si>
  <si>
    <t>0.887</t>
  </si>
  <si>
    <t>"high restaurant" for high price range</t>
  </si>
  <si>
    <t>The Phoenix restaurant serves Fast food food and is near the riverside and the Raja Indian Cuisine. It is not family-friendly and is priced in the moderate pound range.</t>
  </si>
  <si>
    <t>['The Phoenix|eat_type|restaurant', 'The Phoenix|food|Fast food', 'The Phoenix|price_range|moderate', 'The Phoenix|area|riverside', 'The Phoenix|family_friendly|no', 'The Phoenix|near|Raja Indian Cuisine']</t>
  </si>
  <si>
    <t>0.717</t>
  </si>
  <si>
    <t>"moderate pound range" is a bit weird, but shouldn't probably be omission</t>
  </si>
  <si>
    <t>The Vaults is a italian pub in the city centre near Rainbow Vegetarian Café. It is children friendly and has a high price range and an average customer rating.</t>
  </si>
  <si>
    <t>['The Vaults|eat_type|pub', 'The Vaults|food|Italian', 'The Vaults|price_range|high', 'The Vaults|rating|average', 'The Vaults|area|city centre', 'The Vaults|family_friendly|yes', 'The Vaults|near|Rainbow Vegetarian Café']</t>
  </si>
  <si>
    <t>0.976</t>
  </si>
  <si>
    <t>Giraffe is a beautiful restaurant close to the Rainbow Vegetarian Café . It is reasonably liked place serves English food and is children friendly .</t>
  </si>
  <si>
    <t>['Giraffe|eat_type|restaurant', 'Giraffe|food|English', 'Giraffe|area|riverside', 'Giraffe|family_friendly|yes', 'Giraffe|near|Rainbow Vegetarian Café']</t>
  </si>
  <si>
    <t>0.006</t>
  </si>
  <si>
    <t>"reasonably liked place", "beautiful restaurant"</t>
  </si>
  <si>
    <t>The Vaults, which has an average customer rating, is a cheap pub that serves Japanese cuisine. It is located in the city centre area and can be found near Raja Indian Cuisine. Children are welcome.</t>
  </si>
  <si>
    <t>['The Vaults|eat_type|pub', 'The Vaults|food|Japanese', 'The Vaults|price_range|less than £20', 'The Vaults|rating|average', 'The Vaults|area|city centre', 'The Vaults|family_friendly|yes', 'The Vaults|near|Raja Indian Cuisine']</t>
  </si>
  <si>
    <t>0.122</t>
  </si>
  <si>
    <t>Located near Café Sicilia in the city centre, The Mill is a child friendly Fast food pub with a high price range and average customer rating.</t>
  </si>
  <si>
    <t>['The Mill|eat_type|pub', 'The Mill|food|Fast food', 'The Mill|price_range|high', 'The Mill|rating|average', 'The Mill|area|city centre', 'The Mill|family_friendly|yes', 'The Mill|near|Café Sicilia']</t>
  </si>
  <si>
    <t>0.971</t>
  </si>
  <si>
    <t>The Vaults, which has a high customer rating, is a high-priced pub offering Italian food. It is in riverside near Rainbow Vegetarian Café. It is family-friendly.</t>
  </si>
  <si>
    <t>['The Vaults|eat_type|pub', 'The Vaults|food|Italian', 'The Vaults|price_range|more than £30', 'The Vaults|rating|high', 'The Vaults|area|riverside', 'The Vaults|family_friendly|yes', 'The Vaults|near|Rainbow Vegetarian Café']</t>
  </si>
  <si>
    <t>0.030</t>
  </si>
  <si>
    <t>The Cricketers is a moderate restaurant that serves Chinese food. Yes it is kids-friendly. Its customer rating is 1 out of 5. It is located in the riverside area near All Bar One.</t>
  </si>
  <si>
    <t>['The Cricketers|eat_type|restaurant', 'The Cricketers|food|Chinese', 'The Cricketers|price_range|moderate', 'The Cricketers|rating|1 out of 5', 'The Cricketers|area|riverside', 'The Cricketers|family_friendly|yes', 'The Cricketers|near|All Bar One']</t>
  </si>
  <si>
    <t>0.854</t>
  </si>
  <si>
    <t>"moderate restaurant" = "moderate price range"?</t>
  </si>
  <si>
    <t>Family-friendly The Mill is a low-priced pub serving English cuisine. It is located in the city centre area and can be found near Raja Indian Cuisine.</t>
  </si>
  <si>
    <t>['The Mill|eat_type|pub', 'The Mill|food|English', 'The Mill|price_range|less than £20', 'The Mill|area|city centre', 'The Mill|family_friendly|yes', 'The Mill|near|Raja Indian Cuisine']</t>
  </si>
  <si>
    <t>0.137</t>
  </si>
  <si>
    <t>The Phoenix is a moderately priced French pub located in the city centre near Café Sicilia it is kid friendly and has a customer rating of 3 out of 5.</t>
  </si>
  <si>
    <t>['The Phoenix|eat_type|pub', 'The Phoenix|food|French', 'The Phoenix|price_range|£20-25', 'The Phoenix|rating|3 out of 5', 'The Phoenix|area|city centre', 'The Phoenix|family_friendly|yes', 'The Phoenix|near|Café Sicilia']</t>
  </si>
  <si>
    <t>The Mill, which serves fast food, is a low-priced pub. It has a low customer rating. Non-kid-friendly The Mill is located in the city centre near Café Sicilia.</t>
  </si>
  <si>
    <t>['The Mill|eat_type|pub', 'The Mill|food|Fast food', 'The Mill|price_range|less than £20', 'The Mill|rating|low', 'The Mill|area|city centre', 'The Mill|family_friendly|no', 'The Mill|near|Café Sicilia']</t>
  </si>
  <si>
    <t>0.121</t>
  </si>
  <si>
    <t>The Cricketers is a children friendly English restaurant near Café Rouge in the city centre with an average customer rating and a high price range.</t>
  </si>
  <si>
    <t>0.955</t>
  </si>
  <si>
    <t>The Punter is a high priced, average rated, adult only Indian restaurant located near Express by Holiday Inn in the city centre.</t>
  </si>
  <si>
    <t>['The Punter|eat_type|restaurant', 'The Punter|food|Indian', 'The Punter|price_range|high', 'The Punter|rating|average', 'The Punter|area|city centre', 'The Punter|family_friendly|no', 'The Punter|near|Express by Holiday Inn']</t>
  </si>
  <si>
    <t>0.061</t>
  </si>
  <si>
    <t>adult only != familyFriendly</t>
  </si>
  <si>
    <t>The Cricketers is a non family friendly coffee shop near Crowne Plaza Hotel with an average customer rating of 5 out of 5.</t>
  </si>
  <si>
    <t>['The Cricketers|eat_type|coffee shop', 'The Cricketers|rating|5 out of 5', 'The Cricketers|family_friendly|no', 'The Cricketers|near|Crowne Plaza Hotel']</t>
  </si>
  <si>
    <t>0.895</t>
  </si>
  <si>
    <t>script probably mistaken by "average customer rating of 5 out of 5"</t>
  </si>
  <si>
    <t>There is a Chinese venue in the riverside area near Raja Indian Cuisine . It is kids friendly and has a price range of £ 20 - 25 . It is called The Plough and provide food .</t>
  </si>
  <si>
    <t>['The Plough|eat_type|restaurant', 'The Plough|food|Chinese', 'The Plough|price_range|£20-25', 'The Plough|area|riverside', 'The Plough|family_friendly|yes', 'The Plough|near|Raja Indian Cuisine']</t>
  </si>
  <si>
    <t>0.928</t>
  </si>
  <si>
    <t>The Mill is a cheap English restaurant in the city centre near Raja Indian Cuisine. It is not family-friendly.</t>
  </si>
  <si>
    <t>['The Mill|eat_type|restaurant', 'The Mill|food|English', 'The Mill|price_range|less than £20', 'The Mill|area|city centre', 'The Mill|family_friendly|no', 'The Mill|near|Raja Indian Cuisine']</t>
  </si>
  <si>
    <t>0.165</t>
  </si>
  <si>
    <t>the vaults is a pub located in the city centre near raja indian cuisine. it serves french food for moderate. it is not family-friendly.</t>
  </si>
  <si>
    <t>['The Vaults|eat_type|pub', 'The Vaults|food|French', 'The Vaults|price_range|moderate', 'The Vaults|area|city centre', 'The Vaults|family_friendly|no', 'The Vaults|near|Raja Indian Cuisine']</t>
  </si>
  <si>
    <t>0.935</t>
  </si>
  <si>
    <t>"serves french food for moderate.", missing sth like price</t>
  </si>
  <si>
    <t>The Phoenix, which has a low customer rating, is a high-priced pub that serves French cuisine. It is located in the city centre area and can be found near Crowne Plaza Hotel. It is family-friendly.</t>
  </si>
  <si>
    <t>['The Phoenix|eat_type|pub', 'The Phoenix|food|French', 'The Phoenix|price_range|more than £30', 'The Phoenix|rating|low', 'The Phoenix|area|city centre', 'The Phoenix|family_friendly|yes', 'The Phoenix|near|Crowne Plaza Hotel']</t>
  </si>
  <si>
    <t>The Mill is a pub serving English food in the low price range it is located in the riverside near Raja Indian Cuisine it is not family-friendly.</t>
  </si>
  <si>
    <t>['The Mill|eat_type|pub', 'The Mill|food|English', 'The Mill|price_range|less than £20', 'The Mill|area|riverside', 'The Mill|family_friendly|no', 'The Mill|near|Raja Indian Cuisine']</t>
  </si>
  <si>
    <t>0.052</t>
  </si>
  <si>
    <t>Come to the family friendly Wildwood Indian pup in the riverside area near Raja Indian Cuisine .</t>
  </si>
  <si>
    <t>['Wildwood|eat_type|restaurant', 'Wildwood|food|Indian', 'Wildwood|area|riverside', 'Wildwood|family_friendly|yes', 'Wildwood|near|Raja Indian Cuisine']</t>
  </si>
  <si>
    <t>0.455</t>
  </si>
  <si>
    <t xml:space="preserve">"pup" :D </t>
  </si>
  <si>
    <t>The Cricketers restaurant serves Chinese food for high in the riverside near All Bar One. It is children friendly but has a 1 out of 5 customer rating.</t>
  </si>
  <si>
    <t>['The Cricketers|eat_type|restaurant', 'The Cricketers|food|Chinese', 'The Cricketers|price_range|high', 'The Cricketers|rating|1 out of 5', 'The Cricketers|area|riverside', 'The Cricketers|family_friendly|yes', 'The Cricketers|near|All Bar One']</t>
  </si>
  <si>
    <t>0.594</t>
  </si>
  <si>
    <t>"food for high in", missing sth like "price"</t>
  </si>
  <si>
    <t>The Waterman restaurant near Raja Indian Cuisine in the riverside sells Indian food and is less than £20 priced no kids allowed.</t>
  </si>
  <si>
    <t>['The Waterman|eat_type|restaurant', 'The Waterman|food|Indian', 'The Waterman|price_range|less than £20', 'The Waterman|area|riverside', 'The Waterman|family_friendly|no', 'The Waterman|near|Raja Indian Cuisine']</t>
  </si>
  <si>
    <t>0.346</t>
  </si>
  <si>
    <t>"no kids allowed" != "familyFriendly=no"?</t>
  </si>
  <si>
    <t>The Vaults is a pub serving Japanese food with a high customer rating with meals £20-£25 and is family friendly in city centre area near Rainbow Vegetarian Café.</t>
  </si>
  <si>
    <t>['The Vaults|eat_type|pub', 'The Vaults|food|Japanese', 'The Vaults|price_range|£20-25', 'The Vaults|rating|high', 'The Vaults|area|city centre', 'The Vaults|family_friendly|yes', 'The Vaults|near|Rainbow Vegetarian Café']</t>
  </si>
  <si>
    <t>0.959</t>
  </si>
  <si>
    <t>There is a French, pub located near Raja Indian Cuisine in riverside called The Phoenix. The pub is in the £20-£25 price range and is children friendly.</t>
  </si>
  <si>
    <t>['The Phoenix|eat_type|pub', 'The Phoenix|food|French', 'The Phoenix|price_range|£20-25', 'The Phoenix|area|riverside', 'The Phoenix|family_friendly|yes', 'The Phoenix|near|Raja Indian Cuisine']</t>
  </si>
  <si>
    <t>0.943</t>
  </si>
  <si>
    <t>The Wrestlers, which is located in the city centre near Raja Indian Cuisine, is a cheap restaurant that serves Japanese food. It is not family-friendly.</t>
  </si>
  <si>
    <t>['The Wrestlers|eat_type|restaurant', 'The Wrestlers|food|Japanese', 'The Wrestlers|price_range|less than £20', 'The Wrestlers|area|city centre', 'The Wrestlers|family_friendly|no', 'The Wrestlers|near|Raja Indian Cuisine']</t>
  </si>
  <si>
    <t>The Wrestlers is a low - cost , family - friendly pub located in Luton near Raja Indian Cuisine . It has Italian food and a place to Euros .</t>
  </si>
  <si>
    <t>['The Wrestlers|eat_type|pub', 'The Wrestlers|food|Italian', 'The Wrestlers|price_range|less than £20', 'The Wrestlers|area|riverside', 'The Wrestlers|family_friendly|yes', 'The Wrestlers|near|Raja Indian Cuisine']</t>
  </si>
  <si>
    <t>0.010</t>
  </si>
  <si>
    <t>"It has Italian food and a place to Euros ." ??</t>
  </si>
  <si>
    <t>The Punter is a family friendly restaurant in the town centre near Raja Indian Cuisine . It is inexpensive and serves Chinese food .</t>
  </si>
  <si>
    <t>['The Punter|eat_type|restaurant', 'The Punter|food|Chinese', 'The Punter|price_range|less than £20', 'The Punter|area|city centre', 'The Punter|family_friendly|yes', 'The Punter|near|Raja Indian Cuisine']</t>
  </si>
  <si>
    <t>0.209</t>
  </si>
  <si>
    <t>If you are looking for a coffee shop near Café Sicilia then the Cocum is a highly rated restaurant.</t>
  </si>
  <si>
    <t>['Cocum|eat_type|coffee shop', 'Cocum|rating|high', 'Cocum|near|Café Sicilia']</t>
  </si>
  <si>
    <t>0.862</t>
  </si>
  <si>
    <t>The Mill is a moderate restaurant that serves English food. It is not children-friendly and has a rating of 1 out of 5. It is located in the riverside area near Café Rouge.</t>
  </si>
  <si>
    <t>['The Mill|eat_type|restaurant', 'The Mill|food|English', 'The Mill|price_range|moderate', 'The Mill|rating|1 out of 5', 'The Mill|area|riverside', 'The Mill|family_friendly|no', 'The Mill|near|Café Rouge']</t>
  </si>
  <si>
    <t>0.834</t>
  </si>
  <si>
    <t>If you 're looking for a new place to eat , Wildwood is a short called the road and the road from Raja Indian Cuisine .</t>
  </si>
  <si>
    <t>['Wildwood|eat_type|restaurant', 'Wildwood|food|Italian', 'Wildwood|area|riverside', 'Wildwood|family_friendly|no', 'Wildwood|near|Raja Indian Cuisine']</t>
  </si>
  <si>
    <t>the author of the reference text was probably on LSD</t>
  </si>
  <si>
    <t>The Mill, which is in the city centre area by Raja Indian Cuisine, is a cheap restaurant offering English cuisine. It is kid-friendly.</t>
  </si>
  <si>
    <t>['The Mill|eat_type|restaurant', 'The Mill|food|English', 'The Mill|price_range|less than £20', 'The Mill|area|city centre', 'The Mill|family_friendly|yes', 'The Mill|near|Raja Indian Cuisine']</t>
  </si>
  <si>
    <t>The Mill is a cheap English pub in the city centre near Raja Indian Cuisine. It is not family-friendly.</t>
  </si>
  <si>
    <t>['The Mill|eat_type|pub', 'The Mill|food|English', 'The Mill|price_range|less than £20', 'The Mill|area|city centre', 'The Mill|family_friendly|no', 'The Mill|near|Raja Indian Cuisine']</t>
  </si>
  <si>
    <t>0.205</t>
  </si>
  <si>
    <t>Conveniently located in riverside near Raja Indian Cuisine there is a moderately priced pub serving Japanese food with a rating of 1 out of 5 called The Wrestlers. Children are permitted.</t>
  </si>
  <si>
    <t>['The Wrestlers|eat_type|pub', 'The Wrestlers|food|Japanese', 'The Wrestlers|price_range|moderate', 'The Wrestlers|rating|1 out of 5', 'The Wrestlers|area|riverside', 'The Wrestlers|family_friendly|yes', 'The Wrestlers|near|Raja Indian Cuisine']</t>
  </si>
  <si>
    <t>0.901</t>
  </si>
  <si>
    <t>The Vaults, which is in the city centre area by Raja Indian Cuisine, is a low-priced restaurant offering French cuisine. Children are not welcome.</t>
  </si>
  <si>
    <t>['The Vaults|eat_type|restaurant', 'The Vaults|food|French', 'The Vaults|price_range|less than £20', 'The Vaults|area|city centre', 'The Vaults|family_friendly|no', 'The Vaults|near|Raja Indian Cuisine']</t>
  </si>
  <si>
    <t>0.029</t>
  </si>
  <si>
    <t>The Vaults is a children friendly Italian pub near Rainbow Vegetarian Café with a high price range and an average customer rating.</t>
  </si>
  <si>
    <t>['The Vaults|eat_type|pub', 'The Vaults|food|Italian', 'The Vaults|price_range|high', 'The Vaults|rating|average', 'The Vaults|area|riverside', 'The Vaults|family_friendly|yes', 'The Vaults|near|Rainbow Vegetarian Café']</t>
  </si>
  <si>
    <t>The Cricketers is a restaurant near Ranch. It has a low rating and is for adults only.</t>
  </si>
  <si>
    <t>['The Cricketers|eat_type|restaurant', 'The Cricketers|rating|low', 'The Cricketers|family_friendly|no', 'The Cricketers|near|Ranch']</t>
  </si>
  <si>
    <t>0.012</t>
  </si>
  <si>
    <t>The Cricketers is a chinese restaurant in the riverside area near All Bar One. It is children friendly and has an average customer rating and a high price range.</t>
  </si>
  <si>
    <t>['The Cricketers|eat_type|restaurant', 'The Cricketers|food|Chinese', 'The Cricketers|price_range|high', 'The Cricketers|rating|average', 'The Cricketers|area|riverside', 'The Cricketers|family_friendly|yes', 'The Cricketers|near|All Bar One']</t>
  </si>
  <si>
    <t>0.970</t>
  </si>
  <si>
    <t>There is a pub called The Mill that serves Fast food in the £20-25 price range with a high customer rating in the city centre near Café Rouge and is not kid friendly.</t>
  </si>
  <si>
    <t>There is a pub called The Wrestlers that is located near Raja Indian Cuisine . It has wonderful food although it is within the high price range .</t>
  </si>
  <si>
    <t>['The Wrestlers|eat_type|pub', 'The Wrestlers|food|Japanese', 'The Wrestlers|price_range|more than £30', 'The Wrestlers|rating|low', 'The Wrestlers|area|riverside', 'The Wrestlers|family_friendly|yes', 'The Wrestlers|near|Raja Indian Cuisine']</t>
  </si>
  <si>
    <t>0.001</t>
  </si>
  <si>
    <t>"It has wonderful food"</t>
  </si>
  <si>
    <t>The Punter is a restaurant in the riverside area that has a 1 out of 5 customer rating. Although it has a higher price range, it is children friendly, serves Italian food and is near the Rainbow Vegetarian Café.</t>
  </si>
  <si>
    <t>['The Punter|eat_type|restaurant', 'The Punter|food|Italian', 'The Punter|price_range|high', 'The Punter|rating|1 out of 5', 'The Punter|area|riverside', 'The Punter|family_friendly|yes', 'The Punter|near|Rainbow Vegetarian Café']</t>
  </si>
  <si>
    <t>0.966</t>
  </si>
  <si>
    <t>In the riverside, near Raja Indian Cuisine, you will find The Wrestlers. It is a non children-friendly pub that serves Japanese food. While its price range is quite 1 out of 5, moderate, it has a 1 out of 5 customer ratings.</t>
  </si>
  <si>
    <t>['The Wrestlers|eat_type|pub', 'The Wrestlers|food|Japanese', 'The Wrestlers|price_range|moderate', 'The Wrestlers|rating|1 out of 5', 'The Wrestlers|area|riverside', 'The Wrestlers|family_friendly|no', 'The Wrestlers|near|Raja Indian Cuisine']</t>
  </si>
  <si>
    <t>0.975</t>
  </si>
  <si>
    <t>"While its price range is quite 1 out of 5, moderate" ?</t>
  </si>
  <si>
    <t>Non-kid-friendly The Waterman is a low-priced pub serving Italian cuisine. It is located in the city centre area and can be found near Raja Indian Cuisine.</t>
  </si>
  <si>
    <t>['The Waterman|eat_type|pub', 'The Waterman|food|Italian', 'The Waterman|price_range|less than £20', 'The Waterman|area|city centre', 'The Waterman|family_friendly|no', 'The Waterman|near|Raja Indian Cuisine']</t>
  </si>
  <si>
    <t>0.154</t>
  </si>
  <si>
    <t>the plough is a highly priced chinese restaurant in the riverside area near raja indian cuisine. it is not family friendly.</t>
  </si>
  <si>
    <t>['The Plough|eat_type|restaurant', 'The Plough|food|Chinese', 'The Plough|price_range|high', 'The Plough|area|riverside', 'The Plough|family_friendly|no', 'The Plough|near|Raja Indian Cuisine']</t>
  </si>
  <si>
    <t>The Vaults, which is located in the city centre near Raja Indian Cuisine, is a cheap restaurant serving French food. Children are welcome.</t>
  </si>
  <si>
    <t>['The Vaults|eat_type|restaurant', 'The Vaults|food|French', 'The Vaults|price_range|less than £20', 'The Vaults|area|city centre', 'The Vaults|family_friendly|yes', 'The Vaults|near|Raja Indian Cuisine']</t>
  </si>
  <si>
    <t>0.053</t>
  </si>
  <si>
    <t>The Punter is a family friendly English restaurant in the riverside area near Raja Indian Cuisine with a price range of less than £20.</t>
  </si>
  <si>
    <t>['The Punter|eat_type|restaurant', 'The Punter|food|English', 'The Punter|price_range|cheap', 'The Punter|area|riverside', 'The Punter|family_friendly|yes', 'The Punter|near|Raja Indian Cuisine']</t>
  </si>
  <si>
    <t>SE doesn't recognize “less than £20” as “cheap”</t>
  </si>
  <si>
    <t>The Phoenix is a moderately priced French pub located in the riverside near Raja Indian Cuisine it is family friendly.</t>
  </si>
  <si>
    <t>The Mill is a fast food pub in the city centre near Café Sicilia. It is not children friendly and has a high price range and an average customer rating.</t>
  </si>
  <si>
    <t>0.962</t>
  </si>
  <si>
    <t>caused by a bug in the slot error script</t>
  </si>
  <si>
    <t>A pub named Wildwood is located in the city centre. It is for adults and is close to Raja Indian Cuisine. They offer Indian food.</t>
  </si>
  <si>
    <t>['Wildwood|eat_type|pub', 'Wildwood|food|Indian', 'Wildwood|area|city centre', 'Wildwood|family_friendly|no', 'Wildwood|near|Raja Indian Cuisine']</t>
  </si>
  <si>
    <t>0.652</t>
  </si>
  <si>
    <t>for adults = not family friendly</t>
  </si>
  <si>
    <t>The Cricketers, a kids friendly restaurant with a £20-£25 price range, with a rating of high. It serves English food and is in city centre near All Bar One.</t>
  </si>
  <si>
    <t>['The Cricketers|eat_type|restaurant', 'The Cricketers|food|English', 'The Cricketers|price_range|£20-25', 'The Cricketers|rating|high', 'The Cricketers|area|city centre', 'The Cricketers|family_friendly|yes', 'The Cricketers|near|All Bar One']</t>
  </si>
  <si>
    <t>0.963</t>
  </si>
  <si>
    <t>SE doesn't recognize £20-£25 as £20-25 (only one £ sign)</t>
  </si>
  <si>
    <t>The Cricketers is a high restaurant that serves English food. Yes it is kids-friendly. Its customer rating is 1 out of 5. It is located in the riverside area near Café Rouge.</t>
  </si>
  <si>
    <t>['The Cricketers|eat_type|restaurant', 'The Cricketers|food|English', 'The Cricketers|price_range|high', 'The Cricketers|rating|1 out of 5', 'The Cricketers|area|riverside', 'The Cricketers|family_friendly|yes', 'The Cricketers|near|Café Rouge']</t>
  </si>
  <si>
    <t>0.873</t>
  </si>
  <si>
    <t>“high restaurant” -- NLI: price range, SE: nothing</t>
  </si>
  <si>
    <t>The Mill is a moderate restaurant that serves English food. Yes it is kids-friendly. Its customer rating is 3 out of 5. It is located in the riverside area near Café Rouge.</t>
  </si>
  <si>
    <t>['The Mill|eat_type|restaurant', 'The Mill|food|English', 'The Mill|price_range|moderate', 'The Mill|rating|3 out of 5', 'The Mill|area|riverside', 'The Mill|family_friendly|yes', 'The Mill|near|Café Rouge']</t>
  </si>
  <si>
    <t>0.784</t>
  </si>
  <si>
    <t>“moderate restaurant” (see 83)</t>
  </si>
  <si>
    <t>The Cricketers is a english restaurant in the city centre near Café Rouge. It is children friendly and has an average customer rating and a high price range.</t>
  </si>
  <si>
    <t>For good prices , bring your family to The Waterman pub . It offers Indian cuisine and is located in the city center near Raja Indian Cuisine .</t>
  </si>
  <si>
    <t>['The Waterman|eat_type|pub', 'The Waterman|food|Indian', 'The Waterman|price_range|less than £20', 'The Waterman|area|city centre', 'The Waterman|family_friendly|no', 'The Waterman|near|Raja Indian Cuisine']</t>
  </si>
  <si>
    <t>0.000</t>
  </si>
  <si>
    <t>“bring your family” not recognized as family-friendly=yes (should be no) by slot error script</t>
  </si>
  <si>
    <t>Cheap Chinese food for all the family can be found at The Cricketers restaurant, near All Bar One, in the riverside area. Average ratings.</t>
  </si>
  <si>
    <t>['The Cricketers|eat_type|restaurant', 'The Cricketers|food|Chinese', 'The Cricketers|price_range|cheap', 'The Cricketers|rating|average', 'The Cricketers|area|riverside', 'The Cricketers|family_friendly|yes', 'The Cricketers|near|All Bar One']</t>
  </si>
  <si>
    <t>“for all the family” not recognized as family friendly by the slot error script</t>
  </si>
  <si>
    <t>The Mill is a Fast food pub. It is located in city centre, near Café Sicilia. It has 1 out of 5 customer rating since it is not family-friendly, but offer dishes for moderate.</t>
  </si>
  <si>
    <t>['The Mill|eat_type|pub', 'The Mill|food|Fast food', 'The Mill|price_range|moderate', 'The Mill|rating|1 out of 5', 'The Mill|area|city centre', 'The Mill|family_friendly|no', 'The Mill|near|Café Sicilia']</t>
  </si>
  <si>
    <t>0.434</t>
  </si>
  <si>
    <t>“offer dishes for moderate” -- NLI: moderate+hallucination, SE: nothing</t>
  </si>
  <si>
    <t>The Cricketers is a high restaurant that serves Chinese food. It is not children-friendly and has a rating of 1 out of 5. It is located in the riverside area near All Bar One.</t>
  </si>
  <si>
    <t>['The Cricketers|eat_type|restaurant', 'The Cricketers|food|Chinese', 'The Cricketers|price_range|high', 'The Cricketers|rating|1 out of 5', 'The Cricketers|area|riverside', 'The Cricketers|family_friendly|no', 'The Cricketers|near|All Bar One']</t>
  </si>
  <si>
    <t>0.932</t>
  </si>
  <si>
    <t>The Vaults is a pub that serves Italian food and is children friendly. It is in the high price range and has an average customer rating. It is located in the riverside area near Rainbow Vegetarian Café.</t>
  </si>
  <si>
    <t>0.952</t>
  </si>
  <si>
    <t>The Vaults is a high-priced, highly rated italian pub located near Rainbow Vegetarian Café in the riverside area. It is not child friendly.'</t>
  </si>
  <si>
    <t>['The Vaults|eat_type|pub', 'The Vaults|food|Italian', 'The Vaults|price_range|more than £30', 'The Vaults|rating|high', 'The Vaults|area|riverside', 'The Vaults|family_friendly|no', 'The Vaults|near|Rainbow Vegetarian Café']</t>
  </si>
  <si>
    <t>0.054</t>
  </si>
  <si>
    <t>NLI doesn't recoginze “high-priced” as “more than £30”</t>
  </si>
  <si>
    <t>The Waterman is a cheap Italian restaurant located in the city centre near Raja Indian Cuisine . It is not family-friendly .</t>
  </si>
  <si>
    <t>['The Waterman|eat_type|restaurant', 'The Waterman|food|Italian', 'The Waterman|price_range|less than £20', 'The Waterman|area|city centre', 'The Waterman|family_friendly|no', 'The Waterman|near|Raja Indian Cuisine']</t>
  </si>
  <si>
    <t>0.147</t>
  </si>
  <si>
    <t>NLI doesn't recoginze “cheap” as “less than £20”</t>
  </si>
  <si>
    <t>The Mill is a child friendly English restaurant in the riverside area near Café Rouge. It has a high price range and an average customer rating.</t>
  </si>
  <si>
    <t>['The Mill|eat_type|restaurant', 'The Mill|food|English', 'The Mill|price_range|high', 'The Mill|rating|average', 'The Mill|area|riverside', 'The Mill|family_friendly|yes', 'The Mill|near|Café Rouge']</t>
  </si>
  <si>
    <t>The Punter, which has a high customer rating, is a high-priced restaurant offering Indian cuisine. It is in the riverside area by Express by Holiday Inn. It is not kid-friendly.</t>
  </si>
  <si>
    <t>['The Punter|eat_type|restaurant', 'The Punter|food|Indian', 'The Punter|price_range|more than £30', 'The Punter|rating|high', 'The Punter|area|riverside', 'The Punter|family_friendly|no', 'The Punter|near|Express by Holiday Inn']</t>
  </si>
  <si>
    <t>0.024</t>
  </si>
  <si>
    <t>The Cricketers is a family friendly coffee shop near Crowne Plaza Hotel with an average customer rating of 5 out of 5.</t>
  </si>
  <si>
    <t>['The Cricketers|eat_type|coffee shop', 'The Cricketers|rating|5 out of 5', 'The Cricketers|family_friendly|yes', 'The Cricketers|near|Crowne Plaza Hotel']</t>
  </si>
  <si>
    <t>The Vaults is a high pub that serves Italian food. It is not children-friendly and has an average customer rating. It is located in the city centre area near Rainbow Vegetarian CafÃ©.</t>
  </si>
  <si>
    <t>['The Vaults|eat_type|pub', 'The Vaults|food|Italian', 'The Vaults|price_range|high', 'The Vaults|rating|average', 'The Vaults|area|city centre', 'The Vaults|family_friendly|no', 'The Vaults|near|Rainbow Vegetarian CafÃ©']</t>
  </si>
  <si>
    <t>0.918</t>
  </si>
  <si>
    <t>“high pub” -- NLI: price range, SE: nothing</t>
  </si>
  <si>
    <t>Blue Spice is located down by the riverside of Cambridge. It is also a coffee shop.</t>
  </si>
  <si>
    <t>['Blue Spice|eat_type|coffee shop', 'Blue Spice|area|riverside']</t>
  </si>
  <si>
    <t>0.082</t>
  </si>
  <si>
    <t>“down by the riverside of Cambridge” -- NLI: hallucination, SE: OK</t>
  </si>
  <si>
    <t>Wildwood serves Italian food that is kids-friendly. It is in the city centre area near Raja Indian Cuisine.</t>
  </si>
  <si>
    <t>['Wildwood|eat_type|restaurant', 'Wildwood|food|Italian', 'Wildwood|area|city centre', 'Wildwood|family_friendly|yes', 'Wildwood|near|Raja Indian Cuisine']</t>
  </si>
  <si>
    <t>0.874</t>
  </si>
  <si>
    <t>does not mention restaurant -- NLI: OK, SE: omission</t>
  </si>
  <si>
    <t>The Phoenix, an adult oriented pub serving French food, in riverside near Crowne Plaza Hotel, has high prices and customer ratings of 3 out of 5.</t>
  </si>
  <si>
    <t>['The Phoenix|eat_type|pub', 'The Phoenix|food|French', 'The Phoenix|price_range|high', 'The Phoenix|rating|3 out of 5', 'The Phoenix|area|riverside', 'The Phoenix|family_friendly|no', 'The Phoenix|near|Crowne Plaza Hotel']</t>
  </si>
  <si>
    <t>0.739</t>
  </si>
  <si>
    <t>“adult oriented” -- NLI: family-friendly=no, SE: omission</t>
  </si>
  <si>
    <t>In the city centre near CafÃ© Sicilia, there is a French restaurant called The Phoenix. It is not kid friendly and has a price range of Â£20-25 and a customer rating of 3 out of 5.</t>
  </si>
  <si>
    <t>['The Phoenix|eat_type|pub', 'The Phoenix|food|French', 'The Phoenix|price_range|Â£20-25', 'The Phoenix|rating|3 out of 5', 'The Phoenix|area|city centre', 'The Phoenix|family_friendly|no', 'The Phoenix|near|CafÃ© Sicilia']</t>
  </si>
  <si>
    <t>“restaurant” for eatType=pub -- NLI: omission, SE: wrong value</t>
  </si>
  <si>
    <t>For an adult oriented French pub, The Phoenix has a 3 out of 5 customer rating, but the price range is high, and is conveniently located in the city centre, near Crowne Plaza Hotel.</t>
  </si>
  <si>
    <t>['The Phoenix|eat_type|pub', 'The Phoenix|food|French', 'The Phoenix|price_range|high', 'The Phoenix|rating|3 out of 5', 'The Phoenix|area|city centre', 'The Phoenix|family_friendly|no', 'The Phoenix|near|Crowne Plaza Hotel']</t>
  </si>
  <si>
    <t>0.624</t>
  </si>
  <si>
    <t>The Punter, which has a low customer rating, is a low-priced restaurant serving Indian cuisine. It is located in the city centre area and can be found near Express by Holiday Inn. It is not family-friendly.</t>
  </si>
  <si>
    <t>['The Punter|eat_type|restaurant', 'The Punter|food|Indian', 'The Punter|price_range|less than Â£20', 'The Punter|rating|low', 'The Punter|area|city centre', 'The Punter|family_friendly|no', 'The Punter|near|Express by Holiday Inn']</t>
  </si>
  <si>
    <t>0.035</t>
  </si>
  <si>
    <t>NLI doesn't recognize “low-priced” as “less than £20”</t>
  </si>
  <si>
    <t>The Cricketers provides chinese food in the less than Â£20 price range. It is located in the city centre. It is near All Bar One. Its customer rating is low. It is not family-friendly.'</t>
  </si>
  <si>
    <t>['The Cricketers|eat_type|restaurant', 'The Cricketers|food|Chinese', 'The Cricketers|price_range|less than Â£20', 'The Cricketers|rating|low', 'The Cricketers|area|city centre', 'The Cricketers|family_friendly|no', 'The Cricketers|near|All Bar One']</t>
  </si>
  <si>
    <t>0.811</t>
  </si>
  <si>
    <t>The Phoenix is a high priced french restaurant located in the city centre near Crowne Plaza Hotel. It is not child friendly and has a customer rating of 3 out of 5.'</t>
  </si>
  <si>
    <t>The Cricketers, which has a high customer rating, is an average-priced restaurant that serves English cuisine. It is located in the city centre area and can be found near All Bar One. It is kid-friendly.</t>
  </si>
  <si>
    <t>['The Cricketers|eat_type|restaurant', 'The Cricketers|food|English', 'The Cricketers|price_range|Â£20-25', 'The Cricketers|rating|high', 'The Cricketers|area|city centre', 'The Cricketers|family_friendly|yes', 'The Cricketers|near|All Bar One']</t>
  </si>
  <si>
    <t>NLI doesn't recognize “average-priced” as “£20-25”</t>
  </si>
  <si>
    <t>There is a low rated , family friendly restaurant called The Punter that serves moderately priced Indian food near the river and Express by Holiday Inn .</t>
  </si>
  <si>
    <t>['The Punter|eat_type|restaurant', 'The Punter|food|Indian', 'The Punter|price_range|cheap', 'The Punter|rating|average', 'The Punter|area|riverside', 'The Punter|family_friendly|yes', 'The Punter|near|Express by Holiday Inn']</t>
  </si>
  <si>
    <t>0.025</t>
  </si>
  <si>
    <t>wrong rating + price, SE correct, NLI only detects missing rating</t>
  </si>
  <si>
    <t>There is a city centre restaurant near Raja Indian Cuisine called The Mill, that serves English food in the less than Â£20 price range. This venue is not suited for families with children.</t>
  </si>
  <si>
    <t>['The Mill|eat_type|restaurant', 'The Mill|food|English', 'The Mill|price_range|less than Â£20', 'The Mill|area|city centre', 'The Mill|family_friendly|no', 'The Mill|near|Raja Indian Cuisine']</t>
  </si>
  <si>
    <t>0.979</t>
  </si>
  <si>
    <t>“not suited for families with children” -- SE: family-friendly=yes, NLI: OK</t>
  </si>
  <si>
    <t>Located near Raja Indian Cuisine in the city centre , The Plough is a Chinese restaurant where you can enjoyed at high price per head . Though not allow children .</t>
  </si>
  <si>
    <t>['The Plough|eat_type|restaurant', 'The Plough|food|Chinese', 'The Plough|price_range|high', 'The Plough|area|city centre', 'The Plough|family_friendly|no', 'The Plough|near|Raja Indian Cuisine']</t>
  </si>
  <si>
    <t>0.611</t>
  </si>
  <si>
    <t>“Though not allow children.” -- SE: family-friendly=yes, NLI: OK</t>
  </si>
  <si>
    <t>The Mill is a pub that serve fast food . It can be found in the riverside area near CafÃ© Rouge . It has high prices and provides a kid friendly atmosphere .</t>
  </si>
  <si>
    <t>['The Mill|eat_type|pub', 'The Mill|food|Fast food', 'The Mill|price_range|Â£20-25', 'The Mill|rating|high', 'The Mill|area|riverside', 'The Mill|family_friendly|yes', 'The Mill|near|CafÃ© Rouge']</t>
  </si>
  <si>
    <t>NLI finds missing £20-25, but doesn't find “high prices” as hallucination</t>
  </si>
  <si>
    <t>In the area of city centre near Raja Indian Cuisine is The Waterman, it is a pub. It is not kid friendly and the Indian is moderately expensive.</t>
  </si>
  <si>
    <t>['The Waterman|eat_type|pub', 'The Waterman|food|Indian', 'The Waterman|price_range|moderate', 'The Waterman|area|city centre', 'The Waterman|family_friendly|no', 'The Waterman|near|Raja Indian Cuisine']</t>
  </si>
  <si>
    <t>0.968</t>
  </si>
  <si>
    <t>“moderately expensive” -- NLI: moderate, SE: high</t>
  </si>
  <si>
    <t>biased template</t>
  </si>
  <si>
    <t>value format</t>
  </si>
  <si>
    <t>bad sentence</t>
  </si>
  <si>
    <t>unjustified OK</t>
  </si>
  <si>
    <t>unjustified not OK</t>
  </si>
  <si>
    <t>aenir is written in english.</t>
  </si>
  <si>
    <t>['Aenir|language|English_language']</t>
  </si>
  <si>
    <t>0.125</t>
  </si>
  <si>
    <t>the awh engineering college is located in kuttikkattoor, kerala. it was established in 2001 and it has 250 academic staff. kerala has mahe, country to its northwest.</t>
  </si>
  <si>
    <t>['AWH_Engineering_College|established|2001', 'AWH_Engineering_College|academicStaffSize|250', 'AWH_Engineering_College|state|Kerala', 'Kerala|has to its northwest|Mahé,_India', 'AWH_Engineering_College|city|"Kuttikkattoor"']</t>
  </si>
  <si>
    <t>0.838</t>
  </si>
  <si>
    <t>not OK</t>
  </si>
  <si>
    <t>adare manor is located in county limerick, adare, limerick city and county council and is operated by munster.</t>
  </si>
  <si>
    <t>['Adare_Manor|location|Adare', 'County_Limerick|isPartOf|Munster', 'Adare_Manor|location|County_Limerick', 'County_Limerick|governmentType|Limerick_City_and_County_Council']</t>
  </si>
  <si>
    <t>0.769</t>
  </si>
  <si>
    <t>"is operated by" for isPartOf may be misleading</t>
  </si>
  <si>
    <t>elliot see died in st louis in france on february 28th 1966.</t>
  </si>
  <si>
    <t>['Elliot_See|deathPlace|St._Louis', ' St._Louis|isPartOf|Kingdom_of_France', 'Elliot_See|deathDate|"1966-02-28"']</t>
  </si>
  <si>
    <t>0.500</t>
  </si>
  <si>
    <t>the leader of azerbaijan is called the prime minister.</t>
  </si>
  <si>
    <t>['Azerbaijan|leaderTitle|Prime_Minister_of_Azerbaijan']</t>
  </si>
  <si>
    <t>baku is the capital of azerbaijan where the leader is artur rasizade and the capital is baku. the baku turkish martyrs ' memorial is located in azerbaijan.</t>
  </si>
  <si>
    <t>['Azerbaijan|capital|Baku', 'Azerbaijan|leaderTitle|Prime_Minister_of_Azerbaijan', 'Baku_Turkish_Martyrs'_Memorial|location|Azerbaijan', 'Azerbaijan|leaderName|Artur_Rasizade']</t>
  </si>
  <si>
    <t>aenir is written in english language.</t>
  </si>
  <si>
    <t>0.099</t>
  </si>
  <si>
    <t>a loyal character dancer is published by soho press in the united states where native americans are an ethnic group. english is spoken both in the us and great britain.</t>
  </si>
  <si>
    <t>['English_language|spokenIn|Great_Britain', 'A_Loyal_Character_Dancer|publisher|Soho_Press', 'A_Loyal_Character_Dancer|country|United_States', 'United_States|ethnicGroup|Native_Americans_in_the_United_States', 'United_States|language|English_language']</t>
  </si>
  <si>
    <t>0.751</t>
  </si>
  <si>
    <t>shumai is a variation of batagor.</t>
  </si>
  <si>
    <t>['Batagor|dishVariation|Shumai']</t>
  </si>
  <si>
    <t>0.524</t>
  </si>
  <si>
    <t>allama iqbal international airport is located in pakistan where anwar zaheer jamali is a leader .</t>
  </si>
  <si>
    <t>['Allama_Iqbal_International_Airport|location|Pakistan', 'Pakistan|leaderName|Anwar_Zaheer_Jamali']</t>
  </si>
  <si>
    <t>0.961</t>
  </si>
  <si>
    <t>ajoblanco is from spain, where spaniards live. felipe vi is the leader of it. susana diaz is the leader of andalusia where you will find almonds.</t>
  </si>
  <si>
    <t>['Spain|leaderName|Felipe_VI_of_Spain', 'Ajoblanco|region|Andalusia', 'Andalusia|leaderName|Susana_Díaz', 'Ajoblanco|country|Spain', 'Spain|demonym|Spaniards']</t>
  </si>
  <si>
    <t>Ajoblanco != almonds</t>
  </si>
  <si>
    <t>alfa romeo 164 assembly italy where the capital is rome alfa romeo 164 relatedmeanoftransportation fiat croma</t>
  </si>
  <si>
    <t>['Alfa_Romeo_164|assembly|Italy', 'Italy|capital|Rome', 'Alfa_Romeo_164|relatedMeanOfTransportation|Fiat_Croma']</t>
  </si>
  <si>
    <t>0.964</t>
  </si>
  <si>
    <t>technically it's ok, but the sentence is terrible</t>
  </si>
  <si>
    <t>aleksandra kovac plays pop music for the k2 band . he knows musician , bebi dol .</t>
  </si>
  <si>
    <t>['Aleksandra_Kovač|associatedBand/associatedMusicalArtist|Bebi_Dol', 'Aleksandra_Kovač|associatedBand/associatedMusicalArtist|K2_(Kovač_sisters_duo)', 'Aleksandra_Kovač|genre|Pop_music']</t>
  </si>
  <si>
    <t>0.626</t>
  </si>
  <si>
    <t>all india council for technical education is located in mumbai. acharya institute of technology was given the Technical Campus status by it. acharya institute offers sports including tennis. the location is the governing body of tennis.</t>
  </si>
  <si>
    <t>['Acharya_Institute_of_Technology|was given the 'Technical Campus' status by|All_India_Council_for_Technical_Education', 'All_India_Council_for_Technical_Education|location|Mumbai', 'Acharya_Institute_of_Technology|sportsOffered|Tennis', 'Tennis|sportsGoverningBody|International_Tennis_Federation']</t>
  </si>
  <si>
    <t>"was proud to..." - biased template, but International_Tennis_Federation really missing</t>
  </si>
  <si>
    <t>awh engineering college ( kuttikkattoor , india ) was established in 2001 . one of the rivers in india is the ganges .</t>
  </si>
  <si>
    <t>['AWH_Engineering_College|country|India', 'AWH_Engineering_College|established|20017, 'AWH_Engineering_College|city|"Kuttikkattoor"', 'India|river|Ganges']</t>
  </si>
  <si>
    <t>0.007</t>
  </si>
  <si>
    <t>atlantic city, new jersey comes from the united states where the capital is washington, d.c.</t>
  </si>
  <si>
    <t>['Atlantic_City,_New_Jersey|country|United_States', 'United_States|capital|Washington,_D.C.']</t>
  </si>
  <si>
    <t>0.855</t>
  </si>
  <si>
    <t>"comes from" for a city</t>
  </si>
  <si>
    <t>asterix was created by albert uderzo and rene goscinny who is a french national .</t>
  </si>
  <si>
    <t>['Asterix_(comicsCharacter)|creator|René_Goscinny', 'René_Goscinny|nationality|French_people', 'Asterix_(comicsCharacter)|creator|Albert_Uderzo']</t>
  </si>
  <si>
    <t>0.140</t>
  </si>
  <si>
    <t>comicsCharacter in parentheses not verbalized</t>
  </si>
  <si>
    <t>the manager of a.c. lumezzane is michele marcolini. a.c. lumezzane 's ground is in italy where pietro grasso is the leader. michele marcolini plays for f.c. bari 1908. michele marcolini plays for vicenza calcio</t>
  </si>
  <si>
    <t>['A.C._Lumezzane|manager|Michele_Marcolini', 'A.C._Lumezzane|ground|Italy', 'Italy|leader|Pietro_Grasso', 'Michele_Marcolini|club|F.C._Bari_1908', 'Michele_Marcolini|club|Vicenza_Calcio']</t>
  </si>
  <si>
    <t>0.164</t>
  </si>
  <si>
    <t>"plays at" vs. "plays for" ?</t>
  </si>
  <si>
    <t>the english language is spoken in great britain and the united states where native americans are an ethnic group . a loyal character dancer is published in the united states by soho press .</t>
  </si>
  <si>
    <t>0.810</t>
  </si>
  <si>
    <t>110 lydia, the orbital period of which is 1.42603e+08, was last seen in december 31 (2006 (jd2454100.5)).</t>
  </si>
  <si>
    <t>['110_Lydia|epoch|2006-12-31', '110_Lydia|orbitalPeriod|142603000.0']</t>
  </si>
  <si>
    <t>the languages spoken in the philippines are philippine spanish and arabic. batchoy is eaten there and the ethnic groups are the zamboangans and the chinese filipino.</t>
  </si>
  <si>
    <t>['Philippines|language|Arabic', 'Philippines|ethnicGroup|Zamboangans', 'Philippines|language|Philippine_Spanish', 'Batchoy|country|Philippines', 'Philippines|ethnicGroup|Chinese_Filipino']</t>
  </si>
  <si>
    <t>gus poyet, who plays for real zaragoza and chelsea f.c., is the manager of aek athens f.c.. it plays in olympic stadium (athens). it is in marousi.</t>
  </si>
  <si>
    <t>['AEK_Athens_F.C.|manager|Gus_Poyet', 'Gus_Poyet|club|Real_Zaragoza', 'Olympic_Stadium_(Athens)|location|Marousi', 'AEK_Athens_F.C.|ground|Olympic_Stadium_(Athens)', 'Gus_Poyet|club|Chelsea_F.C.']</t>
  </si>
  <si>
    <t>0.417</t>
  </si>
  <si>
    <t>the first club john van den brom played for was jong ajax, he is part of the istanbulspor a.ş club and, manages az alkmaar.</t>
  </si>
  <si>
    <t>['AZ_Alkmaar|manager|John_van_den_Brom', 'John_van_den_Brom|club|Jong_Ajax', 'John_van_den_Brom|club|İstanbulspor_A.Ş.']</t>
  </si>
  <si>
    <t>0.537</t>
  </si>
  <si>
    <t>binignit is a type of dessert with the ingredient sago , a cookie is also a dessert .</t>
  </si>
  <si>
    <t>['Binignit|ingredient|Sago', 'Binignit|course|Dessert', 'Dessert|dishVariation|Cookie']</t>
  </si>
  <si>
    <t>0.114</t>
  </si>
  <si>
    <t>john van den brom is manager of az alkmaar and is affiliated with jong ajax. he is currently at the i ̇ stanbulspor a. ş. club.</t>
  </si>
  <si>
    <t>0.070</t>
  </si>
  <si>
    <t>"plays" vs. "is affiliated with"</t>
  </si>
  <si>
    <t>nan</t>
  </si>
  <si>
    <t>['Indonesia|language|Indonesian_language']</t>
  </si>
  <si>
    <t>0.599</t>
  </si>
  <si>
    <t>data error</t>
  </si>
  <si>
    <t>california is well known for the benitoite gemstone.</t>
  </si>
  <si>
    <t>['California|gemstone|Benitoite']</t>
  </si>
  <si>
    <t>0.229</t>
  </si>
  <si>
    <t>"is well known for" - depends if it's appropriate here</t>
  </si>
  <si>
    <t>alfredo zitarrosa, milonga, was created by solo singer.</t>
  </si>
  <si>
    <t>['Alfredo_Zitarrosa|background|"solo_singer"', 'Alfredo_Zitarrosa|genre|Milonga_(music)']</t>
  </si>
  <si>
    <t>0.906</t>
  </si>
  <si>
    <t>the main ingredients of beef kway teow are kway teow, beef tender loin, gula melaka, sliced, dried black beans, garlic, dark soy sauce, lengkuas, oyster sauce, soya sauce, chilli and sesame oil.</t>
  </si>
  <si>
    <t>['Beef_kway_teow|mainIngredients|"Kway teow, beef tender loin, gula Melaka, sliced, dried black beans, garlic, dark soy sauce, lengkuas, oyster sauce, soya sauce, chilli and sesame oil"', 'Beef_kway_teow|country|"Singapore and Indonesia"']</t>
  </si>
  <si>
    <t>1 decembrie 1918 university is known as uab and is located in alba.</t>
  </si>
  <si>
    <t>['1_Decembrie_1918_University|nickname|Uab', '1_Decembrie_1918_University|state|Alba']</t>
  </si>
  <si>
    <t>0.969</t>
  </si>
  <si>
    <t>alessio romagnoli is affiliated with a.s. roma.</t>
  </si>
  <si>
    <t>['Alessio_Romagnoli|youthclub|A.S._Roma']</t>
  </si>
  <si>
    <t>"youth" missing</t>
  </si>
  <si>
    <t>alessio romagnoli, who plays for defender (association football), plays for a.c. milan and → sampdoria. a.c. milan, the manager of which is siniša mihajlović, plays in serie a.</t>
  </si>
  <si>
    <t>['Alessio_Romagnoli|club|A.C._Milan', 'A.C._Milan|league|Serie_A', 'A.C._Milan|manager|Siniša_Mihajlović', 'Alessio_Romagnoli|position|Defender_(football)', 'Alessio_Romagnoli|club|U.C._Sampdoria']</t>
  </si>
  <si>
    <t>" →" used as transfered to,  U.C. missing, debatable</t>
  </si>
  <si>
    <t>atatürk monument (izmir) is in turkey, the leader of which is the president of turkey. ahmet davutoğlu is the leader of turkey. the capital of turkey is ankara. the largest city in turkey is istanbul.</t>
  </si>
  <si>
    <t>['Turkey|leaderTitle|President_of_Turkey', 'Turkey|leader|Ahmet_Davutoğlu', 'Turkey|capital|Ankara', 'Turkey|largestCity|Istanbul', 'Atatürk_Monument_(İzmir)|location|Turkey']</t>
  </si>
  <si>
    <t>missing dot in the template?</t>
  </si>
  <si>
    <t>guiana space centre is headquartered in french guiana. arianespace is located in courcouronnes. ela-3 is operated by arianespace.</t>
  </si>
  <si>
    <t>['Arianespace|locationCity|Courcouronnes', 'Guiana_Space_Centre|headquarter|French_Guiana', 'ELA-3|site|Guiana_Space_Centre', 'Ariane_5|launchSite|ELA-3', 'ELA-3|operator|Arianespace']</t>
  </si>
  <si>
    <t>0.068</t>
  </si>
  <si>
    <t>auburn is in united states it is part of pierce county, washington. auburn, washington has a total area of 77.41 (square kilometres). auburn, washington has a population density of 914.8 inhabitants per square kilometre. it is part of king county, washington.</t>
  </si>
  <si>
    <t>['Auburn,_Washington|isPartOf|Pierce_County,_Washington', 'Auburn,_Washington|country|United_States', 'Auburn,_Washington|isPartOf|King_County,_Washington', 'Auburn,_Washington|populationDensity|914.8 (inhabitants per square kilometre)', ' Auburn,_Washington|areaTotal|77.41 (square kilometres)']</t>
  </si>
  <si>
    <t>0.408</t>
  </si>
  <si>
    <t>weird formulation, "Washington" not explicit</t>
  </si>
  <si>
    <t>adare manor is located in adare. adare manor is located in county limerick which is part of munster. county limerick is governed by the limerick city and county council.</t>
  </si>
  <si>
    <t>['Adare_Manor|location|Adare', 'County_Limerick|isPartOf|Munster', 'Adare_Manor|location|County_Limerick7, 'County_Limerick|governmentType|Limerick_City_and_County_Council']</t>
  </si>
  <si>
    <t>0.276</t>
  </si>
  <si>
    <t>"is a location in" vs. "is located in" ?</t>
  </si>
  <si>
    <t>the baku turkish martyrs ' memorial , known locally as turk sehitleri aniti , is located in baku , the capital city of azerbaijan .</t>
  </si>
  <si>
    <t>['Azerbaijan|capital|Baku', 'Baku_Turkish_Martyrs'_Memorial|location|Azerbaijan', 'Baku_Turkish_Martyrs'_Memorial|nativeName|"Türk Şehitleri Anıtı"']</t>
  </si>
  <si>
    <t>0.456</t>
  </si>
  <si>
    <t>or missing diacritics? then NLI would be correct</t>
  </si>
  <si>
    <t>the leader of the united states is john sánchez, it is where asian americans are an ethnic group and the country is where the leader is called the new mexico senate. the country is the location of albuquerque, new mexico.</t>
  </si>
  <si>
    <t>['United_States|ethnicGroup|Asian_Americans', 'Albuquerque,_New_Mexico|leaderTitle|New_Mexico_Senate', 'New_Mexico_Senate|leader|John_Sánchez', 'Albuquerque,_New_Mexico|country|United_States']</t>
  </si>
  <si>
    <t>0.529</t>
  </si>
  <si>
    <t>hallucination not recognized, but confidence very low</t>
  </si>
  <si>
    <t>the apoapsis of 101 helena is 4.41092e8 kilometers.</t>
  </si>
  <si>
    <t>['101_Helena|apoapsis|441092000.0 (kilometres)']</t>
  </si>
  <si>
    <t>0.459</t>
  </si>
  <si>
    <t>twilight (band) is a black metal aaron turner associatedband/associatedmusicalartist twilight (band) aaron turner associatedband/associatedmusicalartist old man gloom aaron turner instrument electric guitar black metal musicfusiongenre death metal</t>
  </si>
  <si>
    <t>['Twilight_(band)|genre|Black_metal', 'Aaron_Turner|associatedBand/associatedMusicalArtist|Twilight_(band)', 'Aaron_Turner|associatedBand/associatedMusicalArtist|Old_Man_Gloom', 'Aaron_Turner|instrument|Electric_guitar', 'Black_metal|musicFusionGenre|Death_metal']</t>
  </si>
  <si>
    <t>0.793</t>
  </si>
  <si>
    <t>3arena in dublin dublin is part of the republic of ireland.</t>
  </si>
  <si>
    <t>['Dublin|isPartOf|Republic_of_Ireland', '3Arena|location|Dublin']</t>
  </si>
  <si>
    <t>sentence not good, but still acceptable</t>
  </si>
  <si>
    <t>amsterdam-centrum and eberhard van der laan are part of amsterdam where afc ajax is based.</t>
  </si>
  <si>
    <t>['AFC_Ajax_(amateurs)|ground|Amsterdam', 'Amsterdam|leader|Eberhard_van_der_Laan', 'Amsterdam|part|Amsterdam-Centrum']</t>
  </si>
  <si>
    <t>0.107</t>
  </si>
  <si>
    <t>sentence not complete</t>
  </si>
  <si>
    <t>caterpillar inc. is located in peoria, illinois. aidaluna is owned by aida cruises. caterpillar inc. was founded in united states douglas r. oberhelman is the key person for it.</t>
  </si>
  <si>
    <t>['Caterpillar_Inc.|keyPerson|Douglas_R._Oberhelman', 'Caterpillar_Inc.|foundationPlace|United_States', 'Caterpillar_Inc.|location|Peoria,_Illinois', 'AIDAluna|owner|AIDA_Cruises', 'AIDAluna|powerType|Caterpillar_Inc.']</t>
  </si>
  <si>
    <t>0.543</t>
  </si>
  <si>
    <t>powerType missing, but confidence low</t>
  </si>
  <si>
    <t>school of business and social sciences at the aarhus university is located in the city of aarhus. school of business and social sciences at the aarhus university in denmark school of business and social sciences at the aarhus university was established in 1928.</t>
  </si>
  <si>
    <t>['School of Business and Social Sciences at the Aarhus University|city|Aarhus', 'School of Business and Social Sciences at the Aarhus University|country|Denmark', 'School of Business and Social Sciences at the Aarhus University|established|1928']</t>
  </si>
  <si>
    <t>0.934</t>
  </si>
  <si>
    <t>missing interpunction, but still acceptable</t>
  </si>
  <si>
    <t>the baku turkish martyr 's memorial is located in baku, the capital of azerbaijan, lead by prime minister artur rasizade.</t>
  </si>
  <si>
    <t>0.414</t>
  </si>
  <si>
    <t>prime minister title only verbalized implicitly</t>
  </si>
  <si>
    <t>a loyal character dancer is published by soho press, located in united states. here is written in english, which is also spoken in great britain. native americans is one of native americans ethnic groups in here.</t>
  </si>
  <si>
    <t>0.885</t>
  </si>
  <si>
    <t>the sentence is not great, but not terrible</t>
  </si>
  <si>
    <t>aenir is in english.</t>
  </si>
  <si>
    <t>0.800</t>
  </si>
  <si>
    <t>fc dinamo batumi was at levan khomeriki and manages aleksandre guruli.</t>
  </si>
  <si>
    <t>['FC_Dinamo_Batumi|manager|Levan_Khomeriki', 'Aleksandre_Guruli|club|FC_Dinamo_Batumi']</t>
  </si>
  <si>
    <t>0.718</t>
  </si>
  <si>
    <t>sentence is messed up a bit</t>
  </si>
  <si>
    <t>the comic character blockbuster , aka mark desmond , was created by gardner fox and carmine infantino .</t>
  </si>
  <si>
    <t>['Blockbuster_(comicsCharacter)|creator|Gardner_Fox', 'Blockbuster_(comicsCharacter)|alternativeName|"Mark Desmond"', 'Blockbuster_(comicsCharacter)|creator|Carmine_Infantino']</t>
  </si>
  <si>
    <t>0.317</t>
  </si>
  <si>
    <t>no specific omission reported</t>
  </si>
  <si>
    <t>albert jennings fountain was born in new york city and died in new mexico territory. albert jennings fountain was born in staten island.</t>
  </si>
  <si>
    <t>['Albert_Jennings_Fountain|deathPlace|New_Mexico_Territory', 'Albert_Jennings_Fountain|birthPlace|New_York_City', 'Albert_Jennings_Fountain|birthPlace|Staten_Island']</t>
  </si>
  <si>
    <t>0.166</t>
  </si>
  <si>
    <t>was born in - seems like two separate places, leads to contradition?</t>
  </si>
  <si>
    <t>gus poyet is in the real zaragoza club and previously played for chelsea fc . he now manages aek athens who have their home ground at the olympic stadium ( athens ) at marousi .</t>
  </si>
  <si>
    <t>0.018</t>
  </si>
  <si>
    <t>"previously played for" vs. "plays for"</t>
  </si>
  <si>
    <t>akita museum of art is located in akita, akita, japan, at the following addres : 142 nakadori. akita museum of art are three floors at akita prefecture.</t>
  </si>
  <si>
    <t>['Akita_Museum_of_Art|country|Japan', 'Akita_Museum_of_Art|floorCount|3', 'Akita_Museum_of_Art|location|Akita,_Akita', 'Akita_Museum_of_Art|location|Akita_Prefecture', 'Akita_Museum_of_Art|address|"1-4-2 Nakadori"']</t>
  </si>
  <si>
    <t>0.013</t>
  </si>
  <si>
    <t>american journal of mathematics, the academic discipline mathematics</t>
  </si>
  <si>
    <t>['American_Journal_of_Mathematics|academicDiscipline|Mathematics']</t>
  </si>
  <si>
    <t>john van den brom, manager of az alkmaar, plays for jong ajax john van den brom plays for istanbulspor a.s.</t>
  </si>
  <si>
    <t>['AZ_Alkmaar|manager|John_van_den_Brom', 'John_van_den_Brom|club|Jong_Ajax', ' John_van_den_Brom|club|İstanbulspor_A.Ş.']</t>
  </si>
  <si>
    <t>0.692</t>
  </si>
  <si>
    <t>is manager + plays... probably should be past tense, but still quite ok</t>
  </si>
  <si>
    <t>capital is austin. andrews county airport is located in texas. english is spoken in texas.</t>
  </si>
  <si>
    <t>['Andrews_County_Airport|location|Texas', 'Texas|capital|Austin,_Texas', 'Texas|language|English_language']</t>
  </si>
  <si>
    <t>0.945</t>
  </si>
  <si>
    <t>"Texas" missing</t>
  </si>
  <si>
    <t>the chair of (29075) 1950 da is carl a. wirtanen.</t>
  </si>
  <si>
    <t>['(29075)_1950_DA|discoverer|Carl_A._Wirtanen']</t>
  </si>
  <si>
    <t>0.448</t>
  </si>
  <si>
    <t>chair of != discoverer</t>
  </si>
  <si>
    <t>ajoblanco is a spanish dish that originates andalusia , where the leader is susana diaz . felipe vi is the leader of spain , where the people that live there are called spaniards .</t>
  </si>
  <si>
    <t>dublin is part of republic of ireland and 3arena.</t>
  </si>
  <si>
    <t>0.946</t>
  </si>
  <si>
    <t>bad relation between entities</t>
  </si>
  <si>
    <t>the usaf was involved in the 1986 bombing of libya .</t>
  </si>
  <si>
    <t>['United_States_Air_Force|battles|1986_United_States_bombing_of_Libya']</t>
  </si>
  <si>
    <t>0.794</t>
  </si>
  <si>
    <t>athens international airport serves athens in greece. alexis tsipras and prokopis pavlopoulos are leaders in greece where the people there are called greek.</t>
  </si>
  <si>
    <t>['Athens_International_Airport|cityServed|Athens', 'Athens|country|Greece', 'Greece|leaderName|Alexis_Tsipras', 'Greece|language|Greek_language', ' Greece|leaderName|Prokopis_Pavlopoulos']</t>
  </si>
  <si>
    <t>0.307</t>
  </si>
  <si>
    <r>
      <rPr>
        <rFont val="Arial"/>
        <color theme="1"/>
        <sz val="10.0"/>
      </rPr>
      <t xml:space="preserve">weird case... there is no hallucination, but there </t>
    </r>
    <r>
      <rPr>
        <rFont val="Arial"/>
        <b/>
        <color theme="1"/>
        <sz val="10.0"/>
      </rPr>
      <t>is</t>
    </r>
    <r>
      <rPr>
        <rFont val="Arial"/>
        <color theme="1"/>
        <sz val="10.0"/>
      </rPr>
      <t xml:space="preserve"> an omission (Greek_language) - but the omission is not among omitted</t>
    </r>
  </si>
  <si>
    <t>. english is spoken in the united states and great britain. the capital of the united states is washington, d.c. a severed wasp is from the united states where the native americans are an ethnic group.</t>
  </si>
  <si>
    <t>['English_language|spokenIn|Great_Britain', 'United_States|language|English_language', 'United_States|capital|Washington,_D.C.', 'A_Severed_Wasp|country|United_States', 'United_States|ethnicGroup|Native_Americans_in_the_United_States']</t>
  </si>
  <si>
    <t>0.921</t>
  </si>
  <si>
    <t>a severed wasp ( from the united states ) is written in english , which is the language spoken in great britain .</t>
  </si>
  <si>
    <t>['A_Severed_Wasp|language|English_language', 'English_language|spokenIn|Great_Britain', 'A_Severed_Wasp|country|United_States']</t>
  </si>
  <si>
    <t>0.413</t>
  </si>
  <si>
    <t>atlantic city, new jersey is published in united states, the capital of which is washington dc</t>
  </si>
  <si>
    <t>0.824</t>
  </si>
  <si>
    <t>"is published in" for a city</t>
  </si>
  <si>
    <t>marriott international is the tenant of ac hotel bella sky and is located in copenhagen .</t>
  </si>
  <si>
    <t>['AC_Hotel_Bella_Sky_Copenhagen|tenant|Marriott_International', 'AC_Hotel_Bella_Sky_Copenhagen|location|Copenhagen']</t>
  </si>
  <si>
    <t>binignit is dessert which contains sago. cookies is dessert.</t>
  </si>
  <si>
    <t>0.271</t>
  </si>
  <si>
    <t>no real omission</t>
  </si>
  <si>
    <t>akita museum of art is located in akita, akita, akita prefecture, japan. the brazilians are an ethnic group in japan.</t>
  </si>
  <si>
    <t>['Akita_Museum_of_Art|country|Japan', 'Akita_Museum_of_Art|location|Akita,_Akita', 'Akita,_Akita|isPartOf|Akita_Prefecture', 'Japan|ethnicGroup|Brazilians_in_Japan']</t>
  </si>
  <si>
    <t>0.908</t>
  </si>
  <si>
    <t>awkward phrasing, but ok</t>
  </si>
  <si>
    <t>new york city is in new netherland.</t>
  </si>
  <si>
    <t>['New_York_City|isPartOf|New_Netherland']</t>
  </si>
  <si>
    <t>0.910</t>
  </si>
  <si>
    <t>gardner fox created the character blockbuster, which is also known as mark desmond. carmine infantino created it.</t>
  </si>
  <si>
    <t>0.468</t>
  </si>
  <si>
    <t>seems ok, no hallucination</t>
  </si>
  <si>
    <t>the languages spoken in philippines are philippine spanish and arabic. batchoy is eaten there and philippines ethnic groups are zamboangans and chinese filipino.</t>
  </si>
  <si>
    <t>0.222</t>
  </si>
  <si>
    <t>bhajji has different names including : bhaji or bajji. bhajji is karnataka and uses gram flour. it is gram flour and vegetables and can be found in india.</t>
  </si>
  <si>
    <t>['Bhajji|country|India', 'Bhajji|region|Karnataka', 'Bhajji|mainIngredients|"Gram flour, vegetables"', 'Bhajji|alternativeName|"Bhaji, bajji"', 'Bhajji|ingredient|Gram_flour']</t>
  </si>
  <si>
    <t>"bhajji is karnataka" for "region"</t>
  </si>
  <si>
    <t>abdulsalami abubakar, who graduated from technical institute (kaduna), was born in minna.</t>
  </si>
  <si>
    <t>['Abdulsalami_Abubakar|birthPlace|Minna', 'Abdulsalami_Abubakar|almaMater|Technical_Institute,_Kaduna']</t>
  </si>
  <si>
    <t>graduated vs. almaMater?</t>
  </si>
  <si>
    <t>british people live in the united kingdom.</t>
  </si>
  <si>
    <t>['United_Kingdom|demonym|British_people']</t>
  </si>
  <si>
    <t>0.637</t>
  </si>
  <si>
    <t>aleksandra kovač (new zealand) can be found in the country of rhythm and blues, which is lead by k2 and kristina kovač.</t>
  </si>
  <si>
    <t>['Aleksandra_Kovač|genre|Rhythm_and_blues', 'Aleksandra_Kovač|associatedBand/associatedMusicalArtist|K2_(Kovač_sisters_duo)', 'Aleksandra_Kovač|associatedBand/associatedMusicalArtist|Kristina_Kovač']</t>
  </si>
  <si>
    <t>0.553</t>
  </si>
  <si>
    <t>"can be found in the country of rhythm and blues" :D</t>
  </si>
  <si>
    <t>tomato is an ingredient of amatriciana sauce which is a member of the solanaceae family. tomato is a fruit of solanales.</t>
  </si>
  <si>
    <t>['Tomato|family|Solanaceae', 'Amatriciana_sauce|ingredient|Tomato', 'Tomato|order|Solanales']</t>
  </si>
  <si>
    <t>0.825</t>
  </si>
  <si>
    <t>"is a fruit of" vs. order</t>
  </si>
  <si>
    <t>john van den brom has been manager of az alkmaar and is part of the club netherlands national football team club. he is also attached to the club netherlands national football team.</t>
  </si>
  <si>
    <t>['AZ_Alkmaar|manager|John_van_den_Brom', 'John_van_den_Brom|club|Vitesse_Arnhem', 'John_van_den_Brom|club|AFC_Ajax', 'John_van_den_Brom|club|Netherlands_national_football_team']</t>
  </si>
  <si>
    <t>baku turkish martyrs ' memorial is located in azerbaijan, which has artur rasizade as prime minister. baku is the capital of azerbaijan.</t>
  </si>
  <si>
    <t>0.475</t>
  </si>
  <si>
    <t>templates have “leader title = prime minister” explicitly, only used in text implicitly</t>
  </si>
  <si>
    <t>gubbio is from umbria.</t>
  </si>
  <si>
    <t>['Gubbio|region|Umbria']</t>
  </si>
  <si>
    <t>0.948</t>
  </si>
  <si>
    <t>“is from” instead of “is in”</t>
  </si>
  <si>
    <t>auburn is part of pierce county, washington. auburn, washington is in united states auburn is part of king county, washington. auburn, washington has a population density of 914.8 inhabitants per square kilometre. auburn, washington has a total area of 77.41 (square kilometres)</t>
  </si>
  <si>
    <t>['Auburn,_Washington|isPartOf|Pierce_County,_Washington', 'Auburn,_Washington|country|United_States', 'Auburn,_Washington|isPartOf|King_County,_Washington', 'Auburn,_Washington|populationDensity|914.8 (inhabitants per square kilometre)', 'Auburn,_Washington|areaTotal|77.41 (square kilometres)']</t>
  </si>
  <si>
    <t>0.425</t>
  </si>
  <si>
    <t>seems that NLI wants Auburn, *WA* to be mentioned explicitly in the sentence</t>
  </si>
  <si>
    <t>carl a. wirtanen discovered (29075) 1950 da.</t>
  </si>
  <si>
    <t>0.982</t>
  </si>
  <si>
    <t>human score is 2.33</t>
  </si>
  <si>
    <t>. the ingredients include kway teow, beef tender loin, gula melaka, sliced, dried black beans, garlic, dark soy sauce, lengkuas, oyster sauce, soya sauce, chilli and sesame oil beef kway teow is made in singapore and indonesia.</t>
  </si>
  <si>
    <t>0.915</t>
  </si>
  <si>
    <t>not very fluent, but seems OK</t>
  </si>
  <si>
    <t>mason school of business is located in alan b miller hall in united states. alan b. miller opened in 30th march 2007.</t>
  </si>
  <si>
    <t>['Alan_B._Miller_Hall|buildingStartDate|"30 March 2007"', 'Mason_School_of_Business|country|United_States', 'Alan_B._Miller_Hall|currentTenants|Mason_School_of_Business']</t>
  </si>
  <si>
    <t>0.227</t>
  </si>
  <si>
    <t>“is located in” != “current tenants” for NLI</t>
  </si>
  <si>
    <t>asterix was created by rené goscinny and albert uderzo, the former being a french national.</t>
  </si>
  <si>
    <t>0.167</t>
  </si>
  <si>
    <t>NLI seems to want “Asterix (comicsCharacter)” to be mentioned explicitly</t>
  </si>
  <si>
    <t>107 camilla discoverer n. r. pogson n. r. pogson was born in nottingham n. r. pogson, england</t>
  </si>
  <si>
    <t>['107_Camilla|discoverer|N._R._Pogson', 'N._R._Pogson|birthPlace|Nottingham', 'N._R._Pogson|nationality|England']</t>
  </si>
  <si>
    <t>0.911</t>
  </si>
  <si>
    <t>very bad sentence, but the facts are OK</t>
  </si>
  <si>
    <t>the school of business and social sciences at the aarhus university is located in the city of aarhus which has a magistrate government. it is affiliated with the european university association which has its headquarters in brussels. aarhus has mols to its northeast and mols is to the northeast of aarhus.</t>
  </si>
  <si>
    <t>['School of Business and Social Sciences at the Aarhus University|city|Aarhus', 'European_University_Association|headquarters|Brussels', 'Aarhus|has to its northeast|Mols', 'School of Business and Social Sciences at the Aarhus University|affiliation|European_University_Association', 'Aarhus|governmentType|Magistrate']</t>
  </si>
  <si>
    <t>0.841</t>
  </si>
  <si>
    <t>1 repetition, otherwise OK, human score is 2.33</t>
  </si>
  <si>
    <t>the inhabitants of the united states are known as americans and the language spoken is english. the country is inhabited by americans and the population is known as americans. the country is the location of angola, indiana which is part of steuben county, in indiana.</t>
  </si>
  <si>
    <t>['United_States|language|English_language', 'Angola,_Indiana|isPartOf|Steuben_County,_Indiana', 'United_States|demonym|Americans', 'Angola,_Indiana|country|United_States', 'United_States|ethnicGroup|Asian_Americans']</t>
  </si>
  <si>
    <t>0.579</t>
  </si>
  <si>
    <t>repetitive, just missing “asian”, otherwise facts are OK</t>
  </si>
  <si>
    <t>the architect of julia morgan is los angeles herald-examiner.</t>
  </si>
  <si>
    <t>['Julia_Morgan|significantBuilding|Los_Angeles_Herald-Examiner']</t>
  </si>
  <si>
    <t>0.572</t>
  </si>
  <si>
    <t>swapped subj &amp; obj</t>
  </si>
  <si>
    <t>al asad airbase is operated by the united states air force and fought in the invasion of grenada. the mcdonnell douglas f-15 eagle is an aircraft fighter in the united states air force.</t>
  </si>
  <si>
    <t>['Al_Asad_Airbase|operatingOrganisation|United_States_Air_Force', 'United_States_Air_Force|battles|Invasion_of_Grenada', 'United_States_Air_Force|aircraftFighter|McDonnell_Douglas_F-15_Eagle']</t>
  </si>
  <si>
    <t>0.986</t>
  </si>
  <si>
    <t>coreference problem (airbase fought != US fought)</t>
  </si>
  <si>
    <t>adams county, pennsylvania is southwest of carroll county, maryland.</t>
  </si>
  <si>
    <t>['Adams_County,_Pennsylvania|has to its southeast|Carroll_County,_Maryland']</t>
  </si>
  <si>
    <t>0.559</t>
  </si>
  <si>
    <t>opposite of southeast is nortwest, not southwest; human score=2.33 (some humans fooled)</t>
  </si>
  <si>
    <t>the 14th new jersey volunteer infantry monument is near frederick , maryland in the district of the monocacy national battlefield .</t>
  </si>
  <si>
    <t>['14th_New_Jersey_Volunteer_Infantry_Monument|district|Monocacy_National_Battlefield', 'Monocacy_National_Battlefield|nearestCity|Frederick,_Maryland']</t>
  </si>
  <si>
    <t>0.730</t>
  </si>
  <si>
    <t>the sentence is “almost correct” (M.N. Battlefield isn't a district)</t>
  </si>
  <si>
    <t>to the south of adams county, pennsylvania was carroll county, maryland.</t>
  </si>
  <si>
    <t>0.957</t>
  </si>
  <si>
    <t>NLI takes “south” as close enough for “southeast”</t>
  </si>
  <si>
    <t>azerbaijan 's leader is the prime minister.</t>
  </si>
  <si>
    <t>human score is 2.4</t>
  </si>
  <si>
    <t>rolando maran , who has managed ac chievo verona , was born in italy .</t>
  </si>
  <si>
    <t>['A.C._Chievo_Verona|manager|Rolando_Maran', 'Rolando_Maran|placeOfBirth|Italy']</t>
  </si>
  <si>
    <t>“has managed” taken as OK for “manages”</t>
  </si>
  <si>
    <t>associazione calcio lumezzane spa is the nickname of ac lumezzane. lumezzane have 4150 members and play in lega pro/a.</t>
  </si>
  <si>
    <t>['A.C._Lumezzane|fullname|"Associazione Calcio Lumezzane SpA"', 'A.C._Lumezzane|league|"Lega Pro/A"', 'A.C._Lumezzane|numberOfMembers|4150']</t>
  </si>
  <si>
    <t>0.331</t>
  </si>
  <si>
    <t>sentence swaps nickname &amp; full name, NLI only says “omission”</t>
  </si>
  <si>
    <t>elliot see is an american who was born in dallas and graduated from the university of texas at austin.</t>
  </si>
  <si>
    <t>['Elliot_See|almaMater|University_of_Texas_at_Austin', 'Elliot_See|birthPlace|Dallas', 'Elliot_See|nationality|United_States']</t>
  </si>
  <si>
    <t>0.173</t>
  </si>
  <si>
    <t>very bad template for nationality</t>
  </si>
  <si>
    <t>the comic character asterix was created by albert uderzo and rene goscinny, who is french.</t>
  </si>
  <si>
    <t>1 decembrie 1918 university is in the state of alba.</t>
  </si>
  <si>
    <t>['1_Decembrie_1918_University|state|Alba']</t>
  </si>
  <si>
    <t>0.978</t>
  </si>
  <si>
    <t xml:space="preserve"> a severed wasp ' originates from united states, where the language is english. english is spoken in great britain. washington dc is the capital of it. native americans live in here.</t>
  </si>
  <si>
    <t>0.481</t>
  </si>
  <si>
    <t>coreference problem (“it”, “here” refers to Britain, should refer to US)</t>
  </si>
  <si>
    <t>baku is the capital of azerbaijan where the leader is artur rasizade and the capital city is baku. the country is the location of the baku turkish martyrs memorial which is dedicated to the ottoman army soldiers killed in the battle of baku.</t>
  </si>
  <si>
    <t>['Azerbaijan|capital|Baku', 'Azerbaijan|leaderTitle|Prime_Minister_of_Azerbaijan', 'Baku_Turkish_Martyrs'_Memorial|dedicatedTo|"Ottoman Army soldiers killed in the Battle of Baku"', 'Baku_Turkish_Martyrs'_Memorial|location|Azerbaijan', 'Azerbaijan|leaderName|Artur_Rasizade']</t>
  </si>
  <si>
    <t>0.161</t>
  </si>
  <si>
    <t>leader title is not mentioned</t>
  </si>
  <si>
    <t>levan khomeriki manages fc dinamo batumi and plays for aleksandre guruli.</t>
  </si>
  <si>
    <t>0.714</t>
  </si>
  <si>
    <t>The Phoenix|eat_type|pub ++ The Phoenix|food|Fast food ++ The Phoenix|price_range|moderate ++ The Phoenix|rating|3 out of 5 ++ The Phoenix|area|riverside ++ The Phoenix|family_friendly|yes ++ The Phoenix|near|Café Sicilia</t>
  </si>
  <si>
    <t>The Mill|eat_type|pub ++ The Mill|food|Fast food ++ The Mill|price_range|cheap ++ The Mill|rating|5 out of 5 ++ The Mill|area|riverside ++ The Mill|family_friendly|yes ++ The Mill|near|Café Sicilia</t>
  </si>
  <si>
    <t>The Punter|eat_type|pub ++ The Punter|food|Italian ++ The Punter|price_range|high ++ The Punter|rating|average ++ The Punter|area|city centre ++ The Punter|family_friendly|no ++ The Punter|near|Rainbow Vegetarian Café</t>
  </si>
  <si>
    <t>The Punter|eat_type|restaurant ++ The Punter|food|Italian ++ The Punter|price_range|cheap ++ The Punter|rating|average ++ The Punter|area|riverside ++ The Punter|family_friendly|yes ++ The Punter|near|Rainbow Vegetarian Café</t>
  </si>
  <si>
    <t>The Mill|eat_type|pub ++ The Mill|food|Fast food ++ The Mill|price_range|high ++ The Mill|rating|1 out of 5 ++ The Mill|area|riverside ++ The Mill|family_friendly|no ++ The Mill|near|Café Sicilia</t>
  </si>
  <si>
    <t>edge case "high pub" (= high price range)</t>
  </si>
  <si>
    <t>The Punter|eat_type|restaurant ++ The Punter|food|Indian ++ The Punter|price_range|less than £20 ++ The Punter|rating|low ++ The Punter|area|riverside ++ The Punter|family_friendly|no ++ The Punter|near|Express by Holiday Inn</t>
  </si>
  <si>
    <t>The Mill|eat_type|restaurant ++ The Mill|food|English ++ The Mill|price_range|less than £20 ++ The Mill|rating|low ++ The Mill|area|city centre ++ The Mill|family_friendly|no ++ The Mill|near|Café Rouge</t>
  </si>
  <si>
    <t>Giraffe|eat_type|pub ++ Giraffe|food|French ++ Giraffe|area|riverside ++ Giraffe|family_friendly|no ++ Giraffe|near|Raja Indian Cuisine</t>
  </si>
  <si>
    <t>The Cricketers|eat_type|restaurant ++ The Cricketers|food|Chinese ++ The Cricketers|price_range|less than £20 ++ The Cricketers|rating|low ++ The Cricketers|area|riverside ++ The Cricketers|family_friendly|no ++ The Cricketers|near|All Bar One</t>
  </si>
  <si>
    <t>The Phoenix|eat_type|restaurant ++ The Phoenix|food|Indian ++ The Phoenix|price_range|£20-25 ++ The Phoenix|rating|high ++ The Phoenix|area|city centre ++ The Phoenix|family_friendly|no ++ The Phoenix|near|Crowne Plaza Hotel</t>
  </si>
  <si>
    <t>The Mill|eat_type|pub ++ The Mill|food|Fast food ++ The Mill|price_range|high ++ The Mill|rating|average ++ The Mill|area|city centre ++ The Mill|family_friendly|no ++ The Mill|near|Café Sicilia</t>
  </si>
  <si>
    <t>The Phoenix|eat_type|pub ++ The Phoenix|food|Fast food ++ The Phoenix|price_range|moderate ++ The Phoenix|area|city centre ++ The Phoenix|family_friendly|yes ++ The Phoenix|near|Raja Indian Cuisine</t>
  </si>
  <si>
    <t>neither is good -- should be omission+hallucination, family friendly=yes is turned into off-topic blabber ("Kids are located … Kids are home")</t>
  </si>
  <si>
    <t>The Mill|eat_type|restaurant ++ The Mill|food|English ++ The Mill|price_range|more than £30 ++ The Mill|area|riverside ++ The Mill|family_friendly|yes ++ The Mill|near|Raja Indian Cuisine</t>
  </si>
  <si>
    <t>The Mill|eat_type|pub ++ The Mill|food|English ++ The Mill|price_range|less than £20 ++ The Mill|area|riverside ++ The Mill|family_friendly|yes ++ The Mill|near|Raja Indian Cuisine</t>
  </si>
  <si>
    <t>The Cricketers|eat_type|restaurant ++ The Cricketers|food|English ++ The Cricketers|price_range|cheap ++ The Cricketers|rating|average ++ The Cricketers|area|riverside ++ The Cricketers|family_friendly|yes ++ The Cricketers|near|Café Rouge</t>
  </si>
  <si>
    <t>The Phoenix|eat_type|pub ++ The Phoenix|food|French ++ The Phoenix|price_range|less than £20 ++ The Phoenix|rating|average ++ The Phoenix|area|city centre ++ The Phoenix|family_friendly|yes ++ The Phoenix|near|Crowne Plaza Hotel</t>
  </si>
  <si>
    <t>The Wrestlers|eat_type|pub ++ The Wrestlers|food|Japanese ++ The Wrestlers|price_range|more than £30 ++ The Wrestlers|rating|5 out of 5 ++ The Wrestlers|area|riverside ++ The Wrestlers|family_friendly|yes ++ The Wrestlers|near|Raja Indian Cuisine</t>
  </si>
  <si>
    <t>The Punter|eat_type|restaurant ++ The Punter|food|English ++ The Punter|price_range|high ++ The Punter|area|city centre ++ The Punter|family_friendly|no ++ The Punter|near|Raja Indian Cuisine</t>
  </si>
  <si>
    <t>The Mill|eat_type|pub ++ The Mill|food|Fast food ++ The Mill|price_range|£20-25 ++ The Mill|rating|high ++ The Mill|area|city centre ++ The Mill|family_friendly|no ++ The Mill|near|Café Rouge</t>
  </si>
  <si>
    <t>Clowns|eat_type|pub ++ Clowns|near|The Sorrento</t>
  </si>
  <si>
    <t>"a few steps" not identified as equal to "near" by SED</t>
  </si>
  <si>
    <t>The Mill|eat_type|pub ++ The Mill|food|Fast food ++ The Mill|price_range|high ++ The Mill|rating|average ++ The Mill|area|riverside ++ The Mill|family_friendly|yes ++ The Mill|near|Café Sicilia</t>
  </si>
  <si>
    <t>The Mill|eat_type|pub ++ The Mill|food|Fast food ++ The Mill|price_range|cheap ++ The Mill|rating|5 out of 5 ++ The Mill|area|city centre ++ The Mill|family_friendly|no ++ The Mill|near|Café Sicilia</t>
  </si>
  <si>
    <t>mentions "restaurant" instead of "pub". SED is closer but ot quite</t>
  </si>
  <si>
    <t>The Cricketers|eat_type|restaurant ++ The Cricketers|food|English ++ The Cricketers|price_range|high ++ The Cricketers|rating|average ++ The Cricketers|area|city centre ++ The Cricketers|family_friendly|yes ++ The Cricketers|near|Café Rouge</t>
  </si>
  <si>
    <t>edge case: "high restaurant" (as in price range=high)</t>
  </si>
  <si>
    <t>The Phoenix|eat_type|restaurant ++ The Phoenix|food|Fast food ++ The Phoenix|price_range|moderate ++ The Phoenix|area|riverside ++ The Phoenix|family_friendly|no ++ The Phoenix|near|Raja Indian Cuisine</t>
  </si>
  <si>
    <t>disfluent text</t>
  </si>
  <si>
    <t>The Vaults|eat_type|pub ++ The Vaults|food|Italian ++ The Vaults|price_range|high ++ The Vaults|rating|average ++ The Vaults|area|city centre ++ The Vaults|family_friendly|yes ++ The Vaults|near|Rainbow Vegetarian Café</t>
  </si>
  <si>
    <t>Giraffe|eat_type|restaurant ++ Giraffe|food|English ++ Giraffe|area|riverside ++ Giraffe|family_friendly|yes ++ Giraffe|near|Rainbow Vegetarian Café</t>
  </si>
  <si>
    <t>The Vaults|eat_type|pub ++ The Vaults|food|Japanese ++ The Vaults|price_range|less than £20 ++ The Vaults|rating|average ++ The Vaults|area|city centre ++ The Vaults|family_friendly|yes ++ The Vaults|near|Raja Indian Cuisine</t>
  </si>
  <si>
    <t>The Mill|eat_type|pub ++ The Mill|food|Fast food ++ The Mill|price_range|high ++ The Mill|rating|average ++ The Mill|area|city centre ++ The Mill|family_friendly|yes ++ The Mill|near|Café Sicilia</t>
  </si>
  <si>
    <t>The Vaults|eat_type|pub ++ The Vaults|food|Italian ++ The Vaults|price_range|more than £30 ++ The Vaults|rating|high ++ The Vaults|area|riverside ++ The Vaults|family_friendly|yes ++ The Vaults|near|Rainbow Vegetarian Café</t>
  </si>
  <si>
    <t>The Cricketers|eat_type|restaurant ++ The Cricketers|food|Chinese ++ The Cricketers|price_range|moderate ++ The Cricketers|rating|1 out of 5 ++ The Cricketers|area|riverside ++ The Cricketers|family_friendly|yes ++ The Cricketers|near|All Bar One</t>
  </si>
  <si>
    <t>edge case: "moderate restaurant" (as in price range=moderate)</t>
  </si>
  <si>
    <t>The Mill|eat_type|pub ++ The Mill|food|English ++ The Mill|price_range|less than £20 ++ The Mill|area|city centre ++ The Mill|family_friendly|yes ++ The Mill|near|Raja Indian Cuisine</t>
  </si>
  <si>
    <t>The Phoenix|eat_type|pub ++ The Phoenix|food|French ++ The Phoenix|price_range|£20-25 ++ The Phoenix|rating|3 out of 5 ++ The Phoenix|area|city centre ++ The Phoenix|family_friendly|yes ++ The Phoenix|near|Café Sicilia</t>
  </si>
  <si>
    <t>The Mill|eat_type|pub ++ The Mill|food|Fast food ++ The Mill|price_range|less than £20 ++ The Mill|rating|low ++ The Mill|area|city centre ++ The Mill|family_friendly|no ++ The Mill|near|Café Sicilia</t>
  </si>
  <si>
    <t>The Punter|eat_type|restaurant ++ The Punter|food|Indian ++ The Punter|price_range|high ++ The Punter|rating|average ++ The Punter|area|city centre ++ The Punter|family_friendly|no ++ The Punter|near|Express by Holiday Inn</t>
  </si>
  <si>
    <t>The Cricketers|eat_type|coffee shop ++ The Cricketers|rating|5 out of 5 ++ The Cricketers|family_friendly|no ++ The Cricketers|near|Crowne Plaza Hotel</t>
  </si>
  <si>
    <t>edge case: "average customer rating of 5 out of 5" can be interpreted as both "average" (=3/5) and "high" (=5/5)</t>
  </si>
  <si>
    <t>The Plough|eat_type|restaurant ++ The Plough|food|Chinese ++ The Plough|price_range|£20-25 ++ The Plough|area|riverside ++ The Plough|family_friendly|yes ++ The Plough|near|Raja Indian Cuisine</t>
  </si>
  <si>
    <t>The Mill|eat_type|restaurant ++ The Mill|food|English ++ The Mill|price_range|less than £20 ++ The Mill|area|city centre ++ The Mill|family_friendly|no ++ The Mill|near|Raja Indian Cuisine</t>
  </si>
  <si>
    <t>The Vaults|eat_type|pub ++ The Vaults|food|French ++ The Vaults|price_range|moderate ++ The Vaults|area|city centre ++ The Vaults|family_friendly|no ++ The Vaults|near|Raja Indian Cuisine</t>
  </si>
  <si>
    <t>The Phoenix|eat_type|pub ++ The Phoenix|food|French ++ The Phoenix|price_range|more than £30 ++ The Phoenix|rating|low ++ The Phoenix|area|city centre ++ The Phoenix|family_friendly|yes ++ The Phoenix|near|Crowne Plaza Hotel</t>
  </si>
  <si>
    <t>The Mill|eat_type|pub ++ The Mill|food|English ++ The Mill|price_range|less than £20 ++ The Mill|area|riverside ++ The Mill|family_friendly|no ++ The Mill|near|Raja Indian Cuisine</t>
  </si>
  <si>
    <t>Wildwood|eat_type|restaurant ++ Wildwood|food|Indian ++ Wildwood|area|riverside ++ Wildwood|family_friendly|yes ++ Wildwood|near|Raja Indian Cuisine</t>
  </si>
  <si>
    <t>The Cricketers|eat_type|restaurant ++ The Cricketers|food|Chinese ++ The Cricketers|price_range|high ++ The Cricketers|rating|1 out of 5 ++ The Cricketers|area|riverside ++ The Cricketers|family_friendly|yes ++ The Cricketers|near|All Bar One</t>
  </si>
  <si>
    <t>edge case: "serves Chinese food for high" = high prices</t>
  </si>
  <si>
    <t>The Waterman|eat_type|restaurant ++ The Waterman|food|Indian ++ The Waterman|price_range|less than £20 ++ The Waterman|area|riverside ++ The Waterman|family_friendly|no ++ The Waterman|near|Raja Indian Cuisine</t>
  </si>
  <si>
    <t>The Vaults|eat_type|pub ++ The Vaults|food|Japanese ++ The Vaults|price_range|£20-25 ++ The Vaults|rating|high ++ The Vaults|area|city centre ++ The Vaults|family_friendly|yes ++ The Vaults|near|Rainbow Vegetarian Café</t>
  </si>
  <si>
    <t>The Phoenix|eat_type|pub ++ The Phoenix|food|French ++ The Phoenix|price_range|£20-25 ++ The Phoenix|area|riverside ++ The Phoenix|family_friendly|yes ++ The Phoenix|near|Raja Indian Cuisine</t>
  </si>
  <si>
    <t>The Wrestlers|eat_type|restaurant ++ The Wrestlers|food|Japanese ++ The Wrestlers|price_range|less than £20 ++ The Wrestlers|area|city centre ++ The Wrestlers|family_friendly|no ++ The Wrestlers|near|Raja Indian Cuisine</t>
  </si>
  <si>
    <t>The Wrestlers|eat_type|pub ++ The Wrestlers|food|Italian ++ The Wrestlers|price_range|less than £20 ++ The Wrestlers|area|riverside ++ The Wrestlers|family_friendly|yes ++ The Wrestlers|near|Raja Indian Cuisine</t>
  </si>
  <si>
    <t>The Punter|eat_type|restaurant ++ The Punter|food|Chinese ++ The Punter|price_range|less than £20 ++ The Punter|area|city centre ++ The Punter|family_friendly|yes ++ The Punter|near|Raja Indian Cuisine</t>
  </si>
  <si>
    <t>Cocum|eat_type|coffee shop ++ Cocum|rating|high ++ Cocum|near|Café Sicilia</t>
  </si>
  <si>
    <t>The Mill|eat_type|restaurant ++ The Mill|food|English ++ The Mill|price_range|moderate ++ The Mill|rating|1 out of 5 ++ The Mill|area|riverside ++ The Mill|family_friendly|no ++ The Mill|near|Café Rouge</t>
  </si>
  <si>
    <t>Wildwood|eat_type|restaurant ++ Wildwood|food|Italian ++ Wildwood|area|riverside ++ Wildwood|family_friendly|no ++ Wildwood|near|Raja Indian Cuisine</t>
  </si>
  <si>
    <t>The Mill|eat_type|restaurant ++ The Mill|food|English ++ The Mill|price_range|less than £20 ++ The Mill|area|city centre ++ The Mill|family_friendly|yes ++ The Mill|near|Raja Indian Cuisine</t>
  </si>
  <si>
    <t>The Mill|eat_type|pub ++ The Mill|food|English ++ The Mill|price_range|less than £20 ++ The Mill|area|city centre ++ The Mill|family_friendly|no ++ The Mill|near|Raja Indian Cuisine</t>
  </si>
  <si>
    <t>The Wrestlers|eat_type|pub ++ The Wrestlers|food|Japanese ++ The Wrestlers|price_range|moderate ++ The Wrestlers|rating|1 out of 5 ++ The Wrestlers|area|riverside ++ The Wrestlers|family_friendly|yes ++ The Wrestlers|near|Raja Indian Cuisine</t>
  </si>
  <si>
    <t>The Vaults|eat_type|restaurant ++ The Vaults|food|French ++ The Vaults|price_range|less than £20 ++ The Vaults|area|city centre ++ The Vaults|family_friendly|no ++ The Vaults|near|Raja Indian Cuisine</t>
  </si>
  <si>
    <t>The Vaults|eat_type|pub ++ The Vaults|food|Italian ++ The Vaults|price_range|high ++ The Vaults|rating|average ++ The Vaults|area|riverside ++ The Vaults|family_friendly|yes ++ The Vaults|near|Rainbow Vegetarian Café</t>
  </si>
  <si>
    <t>The Cricketers|eat_type|restaurant ++ The Cricketers|rating|low ++ The Cricketers|family_friendly|no ++ The Cricketers|near|Ranch</t>
  </si>
  <si>
    <t>The Cricketers|eat_type|restaurant ++ The Cricketers|food|Chinese ++ The Cricketers|price_range|high ++ The Cricketers|rating|average ++ The Cricketers|area|riverside ++ The Cricketers|family_friendly|yes ++ The Cricketers|near|All Bar One</t>
  </si>
  <si>
    <t>The Wrestlers|eat_type|pub ++ The Wrestlers|food|Japanese ++ The Wrestlers|price_range|more than £30 ++ The Wrestlers|rating|low ++ The Wrestlers|area|riverside ++ The Wrestlers|family_friendly|yes ++ The Wrestlers|near|Raja Indian Cuisine</t>
  </si>
  <si>
    <t>The Punter|eat_type|restaurant ++ The Punter|food|Italian ++ The Punter|price_range|high ++ The Punter|rating|1 out of 5 ++ The Punter|area|riverside ++ The Punter|family_friendly|yes ++ The Punter|near|Rainbow Vegetarian Café</t>
  </si>
  <si>
    <t>The Wrestlers|eat_type|pub ++ The Wrestlers|food|Japanese ++ The Wrestlers|price_range|moderate ++ The Wrestlers|rating|1 out of 5 ++ The Wrestlers|area|riverside ++ The Wrestlers|family_friendly|no ++ The Wrestlers|near|Raja Indian Cuisine</t>
  </si>
  <si>
    <t>neither system detects the hallucinated "price range 1 out of 5"</t>
  </si>
  <si>
    <t>The Waterman|eat_type|pub ++ The Waterman|food|Italian ++ The Waterman|price_range|less than £20 ++ The Waterman|area|city centre ++ The Waterman|family_friendly|no ++ The Waterman|near|Raja Indian Cuisine</t>
  </si>
  <si>
    <t>The Plough|eat_type|restaurant ++ The Plough|food|Chinese ++ The Plough|price_range|high ++ The Plough|area|riverside ++ The Plough|family_friendly|no ++ The Plough|near|Raja Indian Cuisine</t>
  </si>
  <si>
    <t>The Vaults|eat_type|restaurant ++ The Vaults|food|French ++ The Vaults|price_range|less than £20 ++ The Vaults|area|city centre ++ The Vaults|family_friendly|yes ++ The Vaults|near|Raja Indian Cuisine</t>
  </si>
  <si>
    <t>The Punter|eat_type|restaurant ++ The Punter|food|English ++ The Punter|price_range|cheap ++ The Punter|area|riverside ++ The Punter|family_friendly|yes ++ The Punter|near|Raja Indian Cuisine</t>
  </si>
  <si>
    <t>Wildwood|eat_type|pub ++ Wildwood|food|Indian ++ Wildwood|area|city centre ++ Wildwood|family_friendly|no ++ Wildwood|near|Raja Indian Cuisine</t>
  </si>
  <si>
    <t>The Cricketers|eat_type|restaurant ++ The Cricketers|food|English ++ The Cricketers|price_range|£20-25 ++ The Cricketers|rating|high ++ The Cricketers|area|city centre ++ The Cricketers|family_friendly|yes ++ The Cricketers|near|All Bar One</t>
  </si>
  <si>
    <t>The Cricketers|eat_type|restaurant ++ The Cricketers|food|English ++ The Cricketers|price_range|high ++ The Cricketers|rating|1 out of 5 ++ The Cricketers|area|riverside ++ The Cricketers|family_friendly|yes ++ The Cricketers|near|Café Rouge</t>
  </si>
  <si>
    <t>The Mill|eat_type|restaurant ++ The Mill|food|English ++ The Mill|price_range|moderate ++ The Mill|rating|3 out of 5 ++ The Mill|area|riverside ++ The Mill|family_friendly|yes ++ The Mill|near|Café Rouge</t>
  </si>
  <si>
    <t>The Waterman|eat_type|pub ++ The Waterman|food|Indian ++ The Waterman|price_range|less than £20 ++ The Waterman|area|city centre ++ The Waterman|family_friendly|no ++ The Waterman|near|Raja Indian Cuisine</t>
  </si>
  <si>
    <t>The Cricketers|eat_type|restaurant ++ The Cricketers|food|Chinese ++ The Cricketers|price_range|cheap ++ The Cricketers|rating|average ++ The Cricketers|area|riverside ++ The Cricketers|family_friendly|yes ++ The Cricketers|near|All Bar One</t>
  </si>
  <si>
    <t>The Mill|eat_type|pub ++ The Mill|food|Fast food ++ The Mill|price_range|moderate ++ The Mill|rating|1 out of 5 ++ The Mill|area|city centre ++ The Mill|family_friendly|no ++ The Mill|near|Café Sicilia</t>
  </si>
  <si>
    <t>The Cricketers|eat_type|restaurant ++ The Cricketers|food|Chinese ++ The Cricketers|price_range|high ++ The Cricketers|rating|1 out of 5 ++ The Cricketers|area|riverside ++ The Cricketers|family_friendly|no ++ The Cricketers|near|All Bar One</t>
  </si>
  <si>
    <t>The Vaults|eat_type|pub ++ The Vaults|food|Italian ++ The Vaults|price_range|more than £30 ++ The Vaults|rating|high ++ The Vaults|area|riverside ++ The Vaults|family_friendly|no ++ The Vaults|near|Rainbow Vegetarian Café</t>
  </si>
  <si>
    <t>The Waterman|eat_type|restaurant ++ The Waterman|food|Italian ++ The Waterman|price_range|less than £20 ++ The Waterman|area|city centre ++ The Waterman|family_friendly|no ++ The Waterman|near|Raja Indian Cuisine</t>
  </si>
  <si>
    <t>The Mill|eat_type|restaurant ++ The Mill|food|English ++ The Mill|price_range|high ++ The Mill|rating|average ++ The Mill|area|riverside ++ The Mill|family_friendly|yes ++ The Mill|near|Café Rouge</t>
  </si>
  <si>
    <t>The Punter|eat_type|restaurant ++ The Punter|food|Indian ++ The Punter|price_range|more than £30 ++ The Punter|rating|high ++ The Punter|area|riverside ++ The Punter|family_friendly|no ++ The Punter|near|Express by Holiday Inn</t>
  </si>
  <si>
    <t>The Cricketers|eat_type|coffee shop ++ The Cricketers|rating|5 out of 5 ++ The Cricketers|family_friendly|yes ++ The Cricketers|near|Crowne Plaza Hotel</t>
  </si>
  <si>
    <t>The Vaults|eat_type|pub ++ The Vaults|food|Italian ++ The Vaults|price_range|high ++ The Vaults|rating|average ++ The Vaults|area|city centre ++ The Vaults|family_friendly|no ++ The Vaults|near|Rainbow Vegetarian CafÃ©</t>
  </si>
  <si>
    <t>edge case: "high pub" (as in price range=high)</t>
  </si>
  <si>
    <t>Blue Spice|eat_type|coffee shop ++ Blue Spice|area|riverside</t>
  </si>
  <si>
    <t>Wildwood|eat_type|restaurant ++ Wildwood|food|Italian ++ Wildwood|area|city centre ++ Wildwood|family_friendly|yes ++ Wildwood|near|Raja Indian Cuisine</t>
  </si>
  <si>
    <t>The Phoenix|eat_type|pub ++ The Phoenix|food|French ++ The Phoenix|price_range|high ++ The Phoenix|rating|3 out of 5 ++ The Phoenix|area|riverside ++ The Phoenix|family_friendly|no ++ The Phoenix|near|Crowne Plaza Hotel</t>
  </si>
  <si>
    <t>The Phoenix|eat_type|pub ++ The Phoenix|food|French ++ The Phoenix|price_range|Â£20-25 ++ The Phoenix|rating|3 out of 5 ++ The Phoenix|area|city centre ++ The Phoenix|family_friendly|no ++ The Phoenix|near|CafÃ© Sicilia</t>
  </si>
  <si>
    <t>The Phoenix|eat_type|pub ++ The Phoenix|food|French ++ The Phoenix|price_range|high ++ The Phoenix|rating|3 out of 5 ++ The Phoenix|area|city centre ++ The Phoenix|family_friendly|no ++ The Phoenix|near|Crowne Plaza Hotel</t>
  </si>
  <si>
    <t>The Punter|eat_type|restaurant ++ The Punter|food|Indian ++ The Punter|price_range|less than Â£20 ++ The Punter|rating|low ++ The Punter|area|city centre ++ The Punter|family_friendly|no ++ The Punter|near|Express by Holiday Inn</t>
  </si>
  <si>
    <t>The Cricketers|eat_type|restaurant ++ The Cricketers|food|Chinese ++ The Cricketers|price_range|less than Â£20 ++ The Cricketers|rating|low ++ The Cricketers|area|city centre ++ The Cricketers|family_friendly|no ++ The Cricketers|near|All Bar One</t>
  </si>
  <si>
    <t>The Cricketers|eat_type|restaurant ++ The Cricketers|food|English ++ The Cricketers|price_range|Â£20-25 ++ The Cricketers|rating|high ++ The Cricketers|area|city centre ++ The Cricketers|family_friendly|yes ++ The Cricketers|near|All Bar One</t>
  </si>
  <si>
    <t>The Punter|eat_type|restaurant ++ The Punter|food|Indian ++ The Punter|price_range|cheap ++ The Punter|rating|average ++ The Punter|area|riverside ++ The Punter|family_friendly|yes ++ The Punter|near|Express by Holiday Inn</t>
  </si>
  <si>
    <t>SED is OK with low-rated for rating=average, moderately priced for price_range=cheap</t>
  </si>
  <si>
    <t>The Mill|eat_type|restaurant ++ The Mill|food|English ++ The Mill|price_range|less than Â£20 ++ The Mill|area|city centre ++ The Mill|family_friendly|no ++ The Mill|near|Raja Indian Cuisine</t>
  </si>
  <si>
    <t>The Plough|eat_type|restaurant ++ The Plough|food|Chinese ++ The Plough|price_range|high ++ The Plough|area|city centre ++ The Plough|family_friendly|no ++ The Plough|near|Raja Indian Cuisine</t>
  </si>
  <si>
    <t>The Mill|eat_type|pub ++ The Mill|food|Fast food ++ The Mill|price_range|Â£20-25 ++ The Mill|rating|high ++ The Mill|area|riverside ++ The Mill|family_friendly|yes ++ The Mill|near|CafÃ© Rouge</t>
  </si>
  <si>
    <t>The Waterman|eat_type|pub ++ The Waterman|food|Indian ++ The Waterman|price_range|moderate ++ The Waterman|area|city centre ++ The Waterman|family_friendly|no ++ The Waterman|near|Raja Indian Cuisine</t>
  </si>
  <si>
    <t>rand_key</t>
  </si>
  <si>
    <t>Aenir|language|English_language</t>
  </si>
  <si>
    <t>AWH_Engineering_College|established|2001 ++ AWH_Engineering_College|academicStaffSize|250 ++ AWH_Engineering_College|state|Kerala ++ Kerala|has to its northwest|Mahé,_India ++ AWH_Engineering_College|city|"Kuttikkattoor"</t>
  </si>
  <si>
    <t>Adare_Manor|location|Adare ++ County_Limerick|isPartOf|Munster ++ Adare_Manor|location|County_Limerick ++ County_Limerick|governmentType|Limerick_City_and_County_Council</t>
  </si>
  <si>
    <t>Elliot_See|deathPlace|St._Louis ++ St._Louis|isPartOf|Kingdom_of_France ++ Elliot_See|deathDate|"1966-02-28"</t>
  </si>
  <si>
    <t>Azerbaijan|leaderTitle|Prime_Minister_of_Azerbaijan</t>
  </si>
  <si>
    <t>Azerbaijan|capital|Baku ++ Azerbaijan|leaderTitle|Prime_Minister_of_Azerbaijan ++ Baku_Turkish_Martyrs'_Memorial|location|Azerbaijan ++ Azerbaijan|leaderName|Artur_Rasizade</t>
  </si>
  <si>
    <t>English_language|spokenIn|Great_Britain ++ A_Loyal_Character_Dancer|publisher|Soho_Press ++ A_Loyal_Character_Dancer|country|United_States ++ United_States|ethnicGroup|Native_Americans_in_the_United_States ++ United_States|language|English_language</t>
  </si>
  <si>
    <t>Batagor|dishVariation|Shumai</t>
  </si>
  <si>
    <t>Allama_Iqbal_International_Airport|location|Pakistan ++ Pakistan|leaderName|Anwar_Zaheer_Jamali</t>
  </si>
  <si>
    <t>Spain|leaderName|Felipe_VI_of_Spain ++ Ajoblanco|region|Andalusia ++ Andalusia|leaderName|Susana_Díaz ++ Ajoblanco|country|Spain ++ Spain|demonym|Spaniards</t>
  </si>
  <si>
    <t>Alfa_Romeo_164|assembly|Italy ++ Italy|capital|Rome ++ Alfa_Romeo_164|relatedMeanOfTransportation|Fiat_Croma</t>
  </si>
  <si>
    <t>Aleksandra_Kovač|associatedBand/associatedMusicalArtist|Bebi_Dol ++ Aleksandra_Kovač|associatedBand/associatedMusicalArtist|K2_(Kovač_sisters_duo) ++ Aleksandra_Kovač|genre|Pop_music</t>
  </si>
  <si>
    <t>Acharya_Institute_of_Technology|was given the 'Technical Campus' status by|All_India_Council_for_Technical_Education ++ All_India_Council_for_Technical_Education|location|Mumbai ++ Acharya_Institute_of_Technology|sportsOffered|Tennis ++ Tennis|sportsGoverningBody|International_Tennis_Federation</t>
  </si>
  <si>
    <t>AWH_Engineering_College|country|India ++ AWH_Engineering_College|established|2001 ++ AWH_Engineering_College|city|"Kuttikkattoor" ++ India|river|Ganges</t>
  </si>
  <si>
    <t>Atlantic_City,_New_Jersey|country|United_States ++ United_States|capital|Washington,_D.C.</t>
  </si>
  <si>
    <t>edge case: sentence corresponds to some templates and technically conveys the information, but it is misleading/nonsensical</t>
  </si>
  <si>
    <t>Asterix_(comicsCharacter)|creator|René_Goscinny ++ René_Goscinny|nationality|French_people ++ Asterix_(comicsCharacter)|creator|Albert_Uderzo</t>
  </si>
  <si>
    <t>A.C._Lumezzane|manager|Michele_Marcolini ++ A.C._Lumezzane|ground|Italy ++ Italy|leader|Pietro_Grasso ++ Michele_Marcolini|club|F.C._Bari_1908 ++ Michele_Marcolini|club|Vicenza_Calcio</t>
  </si>
  <si>
    <t>110_Lydia|epoch|2006-12-31 ++ 110_Lydia|orbitalPeriod|142603000.0</t>
  </si>
  <si>
    <t>Philippines|language|Arabic ++ Philippines|ethnicGroup|Zamboangans ++ Philippines|language|Philippine_Spanish ++ Batchoy|country|Philippines ++ Philippines|ethnicGroup|Chinese_Filipino</t>
  </si>
  <si>
    <t>edge case: MR does not specify Batchoy is a dish, so "is eaten" is technically a hallucination</t>
  </si>
  <si>
    <t>AEK_Athens_F.C.|manager|Gus_Poyet ++ Gus_Poyet|club|Real_Zaragoza ++ Olympic_Stadium_(Athens)|location|Marousi ++ AEK_Athens_F.C.|ground|Olympic_Stadium_(Athens) ++ Gus_Poyet|club|Chelsea_F.C.</t>
  </si>
  <si>
    <t>AZ_Alkmaar|manager|John_van_den_Brom ++ John_van_den_Brom|club|Jong_Ajax ++ John_van_den_Brom|club|İstanbulspor_A.Ş.</t>
  </si>
  <si>
    <t>Binignit|ingredient|Sago ++ Binignit|course|Dessert ++ Dessert|dishVariation|Cookie</t>
  </si>
  <si>
    <t>Indonesia|language|Indonesian_language</t>
  </si>
  <si>
    <t>California|gemstone|Benitoite</t>
  </si>
  <si>
    <t>edge case: "well known for" is not given by MR</t>
  </si>
  <si>
    <t>Alfredo_Zitarrosa|background|"solo_singer" ++ Alfredo_Zitarrosa|genre|Milonga_(music)</t>
  </si>
  <si>
    <t>Beef_kway_teow|mainIngredients|"Kway teow, beef tender loin, gula Melaka, sliced, dried black beans, garlic, dark soy sauce, lengkuas, oyster sauce, soya sauce, chilli and sesame oil" ++ Beef_kway_teow|country|"Singapore and Indonesia"</t>
  </si>
  <si>
    <t>1_Decembrie_1918_University|nickname|Uab ++ 1_Decembrie_1918_University|state|Alba</t>
  </si>
  <si>
    <t>Alessio_Romagnoli|youthclub|A.S._Roma</t>
  </si>
  <si>
    <t>Alessio_Romagnoli|club|A.C._Milan ++ A.C._Milan|league|Serie_A ++ A.C._Milan|manager|Siniša_Mihajlović ++ Alessio_Romagnoli|position|Defender_(football) ++ Alessio_Romagnoli|club|U.C._Sampdoria</t>
  </si>
  <si>
    <t>edge case: "U.C. Sampdoria" is mangled</t>
  </si>
  <si>
    <t>Turkey|leaderTitle|President_of_Turkey ++ Turkey|leader|Ahmet_Davutoğlu ++ Turkey|capital|Ankara ++ Turkey|largestCity|Istanbul ++ Atatürk_Monument_(İzmir)|location|Turkey</t>
  </si>
  <si>
    <t>Arianespace|locationCity|Courcouronnes ++ Guiana_Space_Centre|headquarter|French_Guiana ++ ELA-3|site|Guiana_Space_Centre ++ Ariane_5|launchSite|ELA-3 ++ ELA-3|operator|Arianespace</t>
  </si>
  <si>
    <t>Auburn,_Washington|isPartOf|Pierce_County,_Washington ++ Auburn,_Washington|country|United_States ++ Auburn,_Washington|isPartOf|King_County,_Washington ++ Auburn,_Washington|populationDensity|914.8 (inhabitants per square kilometre) ++ Auburn,_Washington|areaTotal|77.41 (square kilometres)</t>
  </si>
  <si>
    <t>Azerbaijan|capital|Baku ++ Baku_Turkish_Martyrs'_Memorial|location|Azerbaijan ++ Baku_Turkish_Martyrs'_Memorial|nativeName|"Türk Şehitleri Anıtı"</t>
  </si>
  <si>
    <t>should be hallucination: MR does not specify the Memorial is in Baku</t>
  </si>
  <si>
    <t>United_States|ethnicGroup|Asian_Americans ++ Albuquerque,_New_Mexico|leaderTitle|New_Mexico_Senate ++ New_Mexico_Senate|leader|John_Sánchez ++ Albuquerque,_New_Mexico|country|United_States</t>
  </si>
  <si>
    <t>101_Helena|apoapsis|441092000.0 (kilometres)</t>
  </si>
  <si>
    <t>Twilight_(band)|genre|Black_metal ++ Aaron_Turner|associatedBand/associatedMusicalArtist|Twilight_(band) ++ Aaron_Turner|associatedBand/associatedMusicalArtist|Old_Man_Gloom ++ Aaron_Turner|instrument|Electric_guitar ++ Black_metal|musicFusionGenre|Death_metal</t>
  </si>
  <si>
    <t>Dublin|isPartOf|Republic_of_Ireland ++ 3Arena|location|Dublin</t>
  </si>
  <si>
    <t>AFC_Ajax_(amateurs)|ground|Amsterdam ++ Amsterdam|leader|Eberhard_van_der_Laan ++ Amsterdam|part|Amsterdam-Centrum</t>
  </si>
  <si>
    <t>Caterpillar_Inc.|keyPerson|Douglas_R._Oberhelman ++ Caterpillar_Inc.|foundationPlace|United_States ++ Caterpillar_Inc.|location|Peoria,_Illinois ++ AIDAluna|owner|AIDA_Cruises ++ AIDAluna|powerType|Caterpillar_Inc.</t>
  </si>
  <si>
    <t>School of Business and Social Sciences at the Aarhus University|city|Aarhus ++ School of Business and Social Sciences at the Aarhus University|country|Denmark ++ School of Business and Social Sciences at the Aarhus University|established|1928</t>
  </si>
  <si>
    <t>both wrong, should be hallucination -- MR doesn't say the memorial is in Baku</t>
  </si>
  <si>
    <t>FC_Dinamo_Batumi|manager|Levan_Khomeriki ++ Aleksandre_Guruli|club|FC_Dinamo_Batumi</t>
  </si>
  <si>
    <t>Blockbuster_(comicsCharacter)|creator|Gardner_Fox ++ Blockbuster_(comicsCharacter)|alternativeName|"Mark Desmond" ++ Blockbuster_(comicsCharacter)|creator|Carmine_Infantino</t>
  </si>
  <si>
    <t>Albert_Jennings_Fountain|deathPlace|New_Mexico_Territory ++ Albert_Jennings_Fountain|birthPlace|New_York_City ++ Albert_Jennings_Fountain|birthPlace|Staten_Island</t>
  </si>
  <si>
    <t>Akita_Museum_of_Art|country|Japan ++ Akita_Museum_of_Art|floorCount|3 ++ Akita_Museum_of_Art|location|Akita,_Akita ++ Akita_Museum_of_Art|location|Akita_Prefecture ++ Akita_Museum_of_Art|address|"1-4-2 Nakadori"</t>
  </si>
  <si>
    <t>American_Journal_of_Mathematics|academicDiscipline|Mathematics</t>
  </si>
  <si>
    <t>Andrews_County_Airport|location|Texas ++ Texas|capital|Austin,_Texas ++ Texas|language|English_language</t>
  </si>
  <si>
    <t>(29075)_1950_DA|discoverer|Carl_A._Wirtanen</t>
  </si>
  <si>
    <t>United_States_Air_Force|battles|1986_United_States_bombing_of_Libya</t>
  </si>
  <si>
    <t>Athens_International_Airport|cityServed|Athens ++ Athens|country|Greece ++ Greece|leaderName|Alexis_Tsipras ++ Greece|language|Greek_language ++ Greece|leaderName|Prokopis_Pavlopoulos</t>
  </si>
  <si>
    <t>English_language|spokenIn|Great_Britain ++ United_States|language|English_language ++ United_States|capital|Washington,_D.C. ++ A_Severed_Wasp|country|United_States ++ United_States|ethnicGroup|Native_Americans_in_the_United_States</t>
  </si>
  <si>
    <t>A_Severed_Wasp|language|English_language ++ English_language|spokenIn|Great_Britain ++ A_Severed_Wasp|country|United_States</t>
  </si>
  <si>
    <t>AC_Hotel_Bella_Sky_Copenhagen|tenant|Marriott_International ++ AC_Hotel_Bella_Sky_Copenhagen|location|Copenhagen</t>
  </si>
  <si>
    <t>Akita_Museum_of_Art|country|Japan ++ Akita_Museum_of_Art|location|Akita,_Akita ++ Akita,_Akita|isPartOf|Akita_Prefecture ++ Japan|ethnicGroup|Brazilians_in_Japan</t>
  </si>
  <si>
    <t>New_York_City|isPartOf|New_Netherland</t>
  </si>
  <si>
    <t>Bhajji|country|India ++ Bhajji|region|Karnataka ++ Bhajji|mainIngredients|"Gram flour, vegetables" ++ Bhajji|alternativeName|"Bhaji, bajji" ++ Bhajji|ingredient|Gram_flour</t>
  </si>
  <si>
    <t>Abdulsalami_Abubakar|birthPlace|Minna ++ Abdulsalami_Abubakar|almaMater|Technical_Institute,_Kaduna</t>
  </si>
  <si>
    <t>United_Kingdom|demonym|British_people</t>
  </si>
  <si>
    <t>Aleksandra_Kovač|genre|Rhythm_and_blues ++ Aleksandra_Kovač|associatedBand/associatedMusicalArtist|K2_(Kovač_sisters_duo) ++ Aleksandra_Kovač|associatedBand/associatedMusicalArtist|Kristina_Kovač</t>
  </si>
  <si>
    <t>Tomato|family|Solanaceae ++ Amatriciana_sauce|ingredient|Tomato ++ Tomato|order|Solanales</t>
  </si>
  <si>
    <t>AZ_Alkmaar|manager|John_van_den_Brom ++ John_van_den_Brom|club|Vitesse_Arnhem ++ John_van_den_Brom|club|AFC_Ajax ++ John_van_den_Brom|club|Netherlands_national_football_team</t>
  </si>
  <si>
    <t>edge case: the mention of leaderTitle is very implicit, needs to be inferred from context</t>
  </si>
  <si>
    <t>Gubbio|region|Umbria</t>
  </si>
  <si>
    <t>edge case: verbalized as "is from" but Gubbio is a city, so it's misleading</t>
  </si>
  <si>
    <t>Alan_B._Miller_Hall|buildingStartDate|"30 March 2007" ++ Mason_School_of_Business|country|United_States ++ Alan_B._Miller_Hall|currentTenants|Mason_School_of_Business</t>
  </si>
  <si>
    <t>edge case: mentions "Alan B. Miler opened" but doesn't include "Hall"</t>
  </si>
  <si>
    <t>107_Camilla|discoverer|N._R._Pogson ++ N._R._Pogson|birthPlace|Nottingham ++ N._R._Pogson|nationality|England</t>
  </si>
  <si>
    <t>School of Business and Social Sciences at the Aarhus University|city|Aarhus ++ European_University_Association|headquarters|Brussels ++ Aarhus|has to its northeast|Mols ++ School of Business and Social Sciences at the Aarhus University|affiliation|European_University_Association ++ Aarhus|governmentType|Magistrate</t>
  </si>
  <si>
    <t>United_States|language|English_language ++ Angola,_Indiana|isPartOf|Steuben_County,_Indiana ++ United_States|demonym|Americans ++ Angola,_Indiana|country|United_States ++ United_States|ethnicGroup|Asian_Americans</t>
  </si>
  <si>
    <t>Julia_Morgan|significantBuilding|Los_Angeles_Herald-Examiner</t>
  </si>
  <si>
    <t>Al_Asad_Airbase|operatingOrganisation|United_States_Air_Force ++ United_States_Air_Force|battles|Invasion_of_Grenada ++ United_States_Air_Force|aircraftFighter|McDonnell_Douglas_F-15_Eagle</t>
  </si>
  <si>
    <t>Adams_County,_Pennsylvania|has to its southeast|Carroll_County,_Maryland</t>
  </si>
  <si>
    <t>14th_New_Jersey_Volunteer_Infantry_Monument|district|Monocacy_National_Battlefield ++ Monocacy_National_Battlefield|nearestCity|Frederick,_Maryland</t>
  </si>
  <si>
    <t>A.C._Chievo_Verona|manager|Rolando_Maran ++ Rolando_Maran|placeOfBirth|Italy</t>
  </si>
  <si>
    <t>A.C._Lumezzane|fullname|"Associazione Calcio Lumezzane SpA" ++ A.C._Lumezzane|league|"Lega Pro/A" ++ A.C._Lumezzane|numberOfMembers|4150</t>
  </si>
  <si>
    <t>SED is closer, but should be omission+hallucination (subject + object for fullName are reversed)</t>
  </si>
  <si>
    <t>Elliot_See|almaMater|University_of_Texas_at_Austin ++ Elliot_See|birthPlace|Dallas ++ Elliot_See|nationality|United_States</t>
  </si>
  <si>
    <t>1_Decembrie_1918_University|state|Alba</t>
  </si>
  <si>
    <t>SED is closer, but should be hallucination+omission -- by incorrect pronoun use, the text implies that Washington DC is the capital of Britain &amp; Native Americans live in Britain</t>
  </si>
  <si>
    <t>Azerbaijan|capital|Baku ++ Azerbaijan|leaderTitle|Prime_Minister_of_Azerbaijan ++ Baku_Turkish_Martyrs'_Memorial|dedicatedTo|"Ottoman Army soldiers killed in the Battle of Baku" ++ Baku_Turkish_Martyrs'_Memorial|location|Azerbaijan ++ Azerbaijan|leaderName|Artur_Rasizade</t>
  </si>
  <si>
    <t>"full service"</t>
  </si>
  <si>
    <t>"few steps"</t>
  </si>
  <si>
    <t>"reasonably liked"</t>
  </si>
  <si>
    <t>nonsensical sentence</t>
  </si>
  <si>
    <t>"price range is quite 1 out of five"</t>
  </si>
  <si>
    <t>bad grammar</t>
  </si>
  <si>
    <t>"Cambridge"</t>
  </si>
  <si>
    <t>well known is a bit extra</t>
  </si>
  <si>
    <t>hallucination: "located in baku"</t>
  </si>
  <si>
    <t>a severed wasp ' originates from united states, where the language is english. english is spoken in great britain. washington dc is the capital of it. native americans live in here.</t>
  </si>
  <si>
    <t xml:space="preserve"> </t>
  </si>
  <si>
    <t>gold wrongly has omission; unclear why</t>
  </si>
  <si>
    <t>gold misses hallucination ('full service'); unclear why</t>
  </si>
  <si>
    <t>gold wrongly has hallucination; unclear why</t>
  </si>
  <si>
    <t>NLI misses omission ('cheap')</t>
  </si>
  <si>
    <t>gold seems to diagnose 'high' for price_range=high as an omission because it's not a valid realisation; could go either way: both wrong or just gold wrong, because if it's not OK it's omission+hallucination</t>
  </si>
  <si>
    <t>NLI wrongly has omission maybe because it doesn't recognise low priced as a realisation of &lt;£20</t>
  </si>
  <si>
    <t>NLI wrongly has OK (eat_type=pub but both 'restaurant' and pub)</t>
  </si>
  <si>
    <t>area=city centre but 'by the citiy centre area' which means outside of it; should be halllucination+omission?</t>
  </si>
  <si>
    <t>realisation of family_friendly=yes missing; 'Kids are' and 'Kids are home' are not accurate realisations of any part of input; should be halllucination+omission</t>
  </si>
  <si>
    <t>gold misses hallucination ('spaghetti', 'breakfast'); unclear why</t>
  </si>
  <si>
    <t>NLI wrongly has omission; unclear why</t>
  </si>
  <si>
    <t>NLI wrongly has omission maybe because it doesn't recognise high price as a realisation of more than £30</t>
  </si>
  <si>
    <t>area=city centre but 'along the citiy centre' which means outside of it; should be halllucination+omission?</t>
  </si>
  <si>
    <t>NLI wrongly has hallucination (maybe because of 'a few steps')</t>
  </si>
  <si>
    <t>should be hallucination+omission ('restaurant' instead of pub)</t>
  </si>
  <si>
    <t>gold misses hallucination ('beautiful', 'reasonably liked'); there's also omission (area=riverside)</t>
  </si>
  <si>
    <t>NLI wrongly has omission maybe because it doesn't recognise high-priced as a realisation of more than £30</t>
  </si>
  <si>
    <t xml:space="preserve">gold seems to diagnose 'moderate' for price_range=moderate as an omission because it's not a valid realisation; could go either way: both wrong or just gold wrong, because if it's not OK it's omission+hallucination </t>
  </si>
  <si>
    <t>NLI wrongly has omission maybe because it doesn't recognise low priced as a realisation of £20-25</t>
  </si>
  <si>
    <t xml:space="preserve">NLI seems to diagnose 'adult only' for family_friendly=no as an hallucination because it's not a valid realisation; could go either way: both wrong or just NLI wrong, because if it's not OK it's omission+hallucination </t>
  </si>
  <si>
    <t>should be hallucination+omission ('average' for rating=5 out of 5)</t>
  </si>
  <si>
    <t xml:space="preserve">gold seems to diagnose 'moderate' for price_range=moderate as an omission because it's not a valid realisation by itself; could go either way: both wrong or just gold wrong, because if it's not OK it's omission+hallucination </t>
  </si>
  <si>
    <t>should be hallucination+omission (eat_type=restaurant, but 'pup')</t>
  </si>
  <si>
    <t xml:space="preserve">gold seems to diagnose 'for high' for price_range=high as an omission because it's not a valid realisation; could go either way: both wrong or just gold wrong, because if it's not OK it's omission+hallucination </t>
  </si>
  <si>
    <t xml:space="preserve">NLI seems to diagnose 'no kids allowed' for family_friendly=no as an hallucination because it's not a valid realisation; could go either way: both wrong or just NLI wrong, because if it's not OK it's omission+hallucination </t>
  </si>
  <si>
    <t>gold misses hallucination ('Indian', 'place to Euros')</t>
  </si>
  <si>
    <t>NLI wrongly has omission maybe because it doesn't recognise inexpensive as a realisation of &lt;£20</t>
  </si>
  <si>
    <t>gold wrongly has hallucination maybe because of 'if you're looking for' - but this sort of thing is ok elsewhere</t>
  </si>
  <si>
    <t>gold misses hallucination ('is a short called the road and the road')</t>
  </si>
  <si>
    <t>NLI wrongly has omission maybe because it doesn't recognise cheap as a realisation of &lt;£20</t>
  </si>
  <si>
    <t>gold seems to diagnose 'children are permitted' for family_friendly=yes as an omission because it's not a good realisation; could go either way: both wrong or just gold wrong, because if it's not OK it's omission+hallucination</t>
  </si>
  <si>
    <t>NLI wrongly has omission maybe because it doesn't recognise low-priced as a realisation of &lt;£20</t>
  </si>
  <si>
    <t>NLI seems to diagnose 'for adults only' for family_friendly=no as an omission because it's not a valid realisation; could go either way: both wrong or just NLI wrong, because if it's not OK it's omission+hallucination</t>
  </si>
  <si>
    <t>gold misses hallucination ('has wonderful food')</t>
  </si>
  <si>
    <t>both are missing repetition ('is quite 1 out of 5) which can only count as hallucination here</t>
  </si>
  <si>
    <t>NLI wrongly has omission maybe because it doesn't recognise 'less than £20' as a realisation of cheap</t>
  </si>
  <si>
    <t>NLI wrongly has omission maybe because it doesn't recognise 'moderately priced' as a realisation of £20-25</t>
  </si>
  <si>
    <t>gold seems to diagnose 'it is for adults' for family_friendly=no as an omission because it's not a good realisation; could go either way: both wrong or just gold wrong, because if it's not OK it's omission+hallucination</t>
  </si>
  <si>
    <t>gold seems to diagnose 'a high restaurant' for price_range=high as an omission because it's not a valid realisation; could go either way: both wrong or just gold wrong, because if it's not OK it's omission+hallucination</t>
  </si>
  <si>
    <t>gold seems to diagnose 'a moderate restaurant' for price_range=moderate as an omission because it's not a valid realisation; could go either way: both wrong or just gold wrong, because if it's not OK it's omission+hallucination</t>
  </si>
  <si>
    <t>gold misses hallucination ('bring your family to')</t>
  </si>
  <si>
    <t>should be hallucination+omission; 'since', 'for moderate'</t>
  </si>
  <si>
    <t>NLI wrongly has omission maybe because it doesn't recognise 'high-priced' as a realisation of more than £30</t>
  </si>
  <si>
    <t>gold seems to diagnose 'a high pub' for price_range=high as an omission because it's not a valid realisation; could go either way: both wrong or just gold wrong, because if it's not OK it's omission+hallucination</t>
  </si>
  <si>
    <t>gold misses hallucination ('of Cambridge')</t>
  </si>
  <si>
    <t>gold misses hallucination (it's the food that's kid friendly'), NLI additionally misses omission ('restaurant')</t>
  </si>
  <si>
    <t>NLI misses hallucination ('restaurant' for eat_type=pub)</t>
  </si>
  <si>
    <t>gold wrongly has omission; unclear why; both are missing hallucination (it's the price range that's located in the city centre)</t>
  </si>
  <si>
    <t>NLI misses omission ('restaurant')</t>
  </si>
  <si>
    <t>NLI wrongly has omission maybe because it doesn't recognise average-priced as a realisation of £20-25</t>
  </si>
  <si>
    <t xml:space="preserve">NLI misses hallucination ('low rated' for rating=average; 'moderately priced' for price_range=cheap); </t>
  </si>
  <si>
    <t>gold wrongly has hallucination+omission; unclear why, both are wrong</t>
  </si>
  <si>
    <t>NLI misses hallucination and omission ('Though not allow children ' for family_friendly=no)</t>
  </si>
  <si>
    <t>NLI misses hallucination ('high prices' for price_range=£20-25)</t>
  </si>
  <si>
    <t>ok</t>
  </si>
  <si>
    <t>h+o</t>
  </si>
  <si>
    <t>NLI wrongly has hallucination maybe because of 'written'</t>
  </si>
  <si>
    <t>should be omission ('India')</t>
  </si>
  <si>
    <t>should be hallucination+omission because of 'is operated by' for isPartOf</t>
  </si>
  <si>
    <t>gold maybe not ok because 'kingdom of' is missing (not helped by the fact that input it wrong; st louis was historically part of France but not in 1966)</t>
  </si>
  <si>
    <t>gold maybe not ok because 'of Azerbaija' is missing</t>
  </si>
  <si>
    <t>should be hallucination+omission because leaderTitle is missing and capital is repeated</t>
  </si>
  <si>
    <t>gold has not OK maybe because both spokenIn and language are realised by 'spoken in'</t>
  </si>
  <si>
    <t>gold maybe not ok because 'dish' is missing</t>
  </si>
  <si>
    <t>gold maybe not ok because 'a leader', not 'the'</t>
  </si>
  <si>
    <t xml:space="preserve">gold wrongly has ok, unclear why </t>
  </si>
  <si>
    <t>gold wrongly has not ok maybe because 'dish' is missing</t>
  </si>
  <si>
    <t>NLI wrongly has OK maybe because of verbal similarities; relatedMeanOfTransportation is not a valid realisation, it's a composite predicate name</t>
  </si>
  <si>
    <t>knows' not ok for associatedBand/associatedMusicalArtist</t>
  </si>
  <si>
    <t>gold misses omission (International_Tennis_Federation)</t>
  </si>
  <si>
    <t>NLI wrongly has omission maybe because country and city aren't explicit</t>
  </si>
  <si>
    <t>NLI wrongly has OK maybe because it accepts 'comes from' for country</t>
  </si>
  <si>
    <t>NLI wrongly has omission maybe because of 'who...'</t>
  </si>
  <si>
    <t>NLI wrongly has omission maybe because of 'where...'</t>
  </si>
  <si>
    <t>should be just hallucination ('(jd...)')</t>
  </si>
  <si>
    <t>NLI wrongly has hallucination maybe because of 'there'</t>
  </si>
  <si>
    <t>NLI wrongly has hallucination maybe because of the two prounouns (though unclear why it doesn't also have omission)</t>
  </si>
  <si>
    <t>should be hallucination ('the first club')</t>
  </si>
  <si>
    <t>NLI wrongly has omission maybe because it doesn't consider 'is a' a valid realisation of dishVariation; could go either way</t>
  </si>
  <si>
    <t>should be hallucination ('is currently')</t>
  </si>
  <si>
    <t xml:space="preserve">no verbalisation </t>
  </si>
  <si>
    <t>gold misses hallucination ('is well known for')</t>
  </si>
  <si>
    <t>should be omission (genre, background)</t>
  </si>
  <si>
    <t>gold misses omission (country)</t>
  </si>
  <si>
    <t>gold not ok but unclear why</t>
  </si>
  <si>
    <t>gold misses omission (youth club)</t>
  </si>
  <si>
    <t xml:space="preserve">, </t>
  </si>
  <si>
    <t>should be hallucination+omission ('association', 'plays for defender', )</t>
  </si>
  <si>
    <t>NLI wrongly has omission maybe because of verbal dissimilarity</t>
  </si>
  <si>
    <t>site and launchSite both missing</t>
  </si>
  <si>
    <t>NLI wrongly has omission, unclear why</t>
  </si>
  <si>
    <t xml:space="preserve">should be hallucination+omission </t>
  </si>
  <si>
    <t>NLI wrongly has hallucination, unclear why</t>
  </si>
  <si>
    <t>NLI fooled by poor templates? problem is absence of proper realisation</t>
  </si>
  <si>
    <t>gold maybe not ok because of ungrammaticality</t>
  </si>
  <si>
    <t>leader predicate not expressed</t>
  </si>
  <si>
    <t>should be omission (powerType)</t>
  </si>
  <si>
    <t>gold maybe fooled by poor grammar/fluency</t>
  </si>
  <si>
    <t>NLI wrongly has omission maybe because title isn't mentioned</t>
  </si>
  <si>
    <t>NLI wrongly has OK; should be hallucination+omission (U_S|language|E)</t>
  </si>
  <si>
    <t>subject/object swap</t>
  </si>
  <si>
    <t>hallucination is correct ('previously', 'now')</t>
  </si>
  <si>
    <t>it's all there but very garbled</t>
  </si>
  <si>
    <t>subject and object are there but link is missing</t>
  </si>
  <si>
    <t>gold wrongly has not ok, unclear why</t>
  </si>
  <si>
    <t>of Texas' missing after capital</t>
  </si>
  <si>
    <t>chair' instead of 'discoverer'</t>
  </si>
  <si>
    <t>gold wrongly has not ok but unclear why</t>
  </si>
  <si>
    <t>NLI wrongly has OK maybe because of poor templates; subject/object swap</t>
  </si>
  <si>
    <t>gold misses the language/demonym mix up</t>
  </si>
  <si>
    <t>NLI wrongly has hallucination maybe because English is replaced by which in the second instance</t>
  </si>
  <si>
    <t>NLI misses hallucination ('published')</t>
  </si>
  <si>
    <t>object/subject swap</t>
  </si>
  <si>
    <t>gold wrongly has OK maybe because it doesn't consider 'is' a valid realisation of dishVariation; could go either way</t>
  </si>
  <si>
    <t>gold has not OK maybe because of poor grammar/fluency</t>
  </si>
  <si>
    <t>bhaji is karnataka' instead of e.g. 'bhaji is from Karnataka'</t>
  </si>
  <si>
    <t>NLI wrongly has halluciination, unclear why</t>
  </si>
  <si>
    <t>odd but not exactly wrong</t>
  </si>
  <si>
    <t>should be hallucination (e.g. 'new zealand') + omission (e.g. genre realised as 'country')</t>
  </si>
  <si>
    <t>odd and grammatically wrong but not exactly wrong</t>
  </si>
  <si>
    <t>should be hallucination (e.g. repetition of club and Netherlands_national_football_team) + omission (e.g. Vitesse and AFC missing)</t>
  </si>
  <si>
    <t xml:space="preserve">NLI wrongly has omission maybe because all templates for leaderTitle have lead(er) in realisation </t>
  </si>
  <si>
    <t>gubbio is from' instead of e.g. 'Gubbio is in'</t>
  </si>
  <si>
    <t>gold has not Ok maybe because of the weird planet name</t>
  </si>
  <si>
    <t>gold has not Ok maybe because of coherence issues</t>
  </si>
  <si>
    <t>should be hallucination+omission (buildingStartDate vs. 'opened')</t>
  </si>
  <si>
    <t>NLI wrongly has omission, maybe because of the aggregation of the creators and/or not recognising 'the former' refers to goscinny</t>
  </si>
  <si>
    <t>at least there's hallucination (3x repetition of the name) and maybe also omission (nationality); poor grammar/fluency</t>
  </si>
  <si>
    <t>double realisation of the has to its northeast predicate</t>
  </si>
  <si>
    <t>should be hallucination (demonym predicate 3x repeated) + omission (ethnicGroup)</t>
  </si>
  <si>
    <t>should be h+o - battles predicate partially omitted (subject should be 'US airforce' but is 'al asad airbase')</t>
  </si>
  <si>
    <t>southwest should be northwest or southeast depending on which way round subject and object go</t>
  </si>
  <si>
    <t>the subject of nearest city is Monocacy_National_Battlefield, but in realisation it ends up being 'the 14th new jersey volunteer infantry monument'; when one is 'near' so probably is the other, so is ok but not for the right reason</t>
  </si>
  <si>
    <t>should be h+o ('south' vs southeast)</t>
  </si>
  <si>
    <t>gold has not Ok maybe because Title isn't explicity realised</t>
  </si>
  <si>
    <t>gold wrongly has not OK, unclear why</t>
  </si>
  <si>
    <t>should be h+o ('nickname' vs fullname)</t>
  </si>
  <si>
    <t>NLI wrongly has omission maybe because of contraction of nationality</t>
  </si>
  <si>
    <t>gold wrongly has not OK maybe because of the weird university name?</t>
  </si>
  <si>
    <t>NLI wrongly has omission maybe because of elided subjects and objects</t>
  </si>
  <si>
    <t xml:space="preserve">should be h+o (leaderTitle predicate missing altogether, double realisation of capital predicate </t>
  </si>
  <si>
    <t xml:space="preserve">should be hallucination ('plays for aleksandre guruli') + omission (club predicate) </t>
  </si>
  <si>
    <t>not ok</t>
  </si>
  <si>
    <t>pricerange</t>
  </si>
  <si>
    <t>it is a pub, not a restaurant</t>
  </si>
  <si>
    <t>area+near</t>
  </si>
  <si>
    <t>customer rating. It is not average</t>
  </si>
  <si>
    <t>area</t>
  </si>
  <si>
    <t>customer rating</t>
  </si>
  <si>
    <t>prime minister</t>
  </si>
  <si>
    <t>E2E</t>
  </si>
  <si>
    <t>WebNLG</t>
  </si>
  <si>
    <t>orig</t>
  </si>
  <si>
    <t>OD + ZK</t>
  </si>
  <si>
    <t>AB + TCF</t>
  </si>
  <si>
    <t>ref_correct</t>
  </si>
  <si>
    <t>SED_correct</t>
  </si>
  <si>
    <t>error_class_1</t>
  </si>
  <si>
    <t>error_class_2</t>
  </si>
  <si>
    <t>error_class_3</t>
  </si>
  <si>
    <t>error_class_4</t>
  </si>
  <si>
    <t>error_class_5</t>
  </si>
  <si>
    <t>error_class_6</t>
  </si>
  <si>
    <t>[corr] orig vs OD + ZK</t>
  </si>
  <si>
    <t>[corr] orig vs AB + TCF</t>
  </si>
  <si>
    <t>[corr] OD + ZK vs AB + TCF</t>
  </si>
  <si>
    <t>[cls] orig vs OD + ZK</t>
  </si>
  <si>
    <t>[cls] orig vs AB + TCF</t>
  </si>
  <si>
    <t>[cls] OD + ZK vs AB + TCF</t>
  </si>
  <si>
    <t>orig vs OD + ZK</t>
  </si>
  <si>
    <t>P_i</t>
  </si>
  <si>
    <t>orig vs AB + TCF</t>
  </si>
  <si>
    <t>OD + ZK vs AB + TCF</t>
  </si>
  <si>
    <t>all</t>
  </si>
  <si>
    <t>pbar</t>
  </si>
  <si>
    <t>pe</t>
  </si>
  <si>
    <t>k</t>
  </si>
  <si>
    <t>%=</t>
  </si>
  <si>
    <t>err class 1</t>
  </si>
  <si>
    <t>ID</t>
  </si>
  <si>
    <t>err class 2</t>
  </si>
  <si>
    <t>err class 3</t>
  </si>
  <si>
    <t>err class 4</t>
  </si>
  <si>
    <t>err class 5</t>
  </si>
  <si>
    <t>err class 6</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</si>
</sst>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font>
    <font>
      <b/>
      <i/>
      <color theme="1"/>
      <name val="Arial"/>
    </font>
    <font>
      <b/>
      <color theme="1"/>
      <name val="Arial"/>
    </font>
    <font/>
    <font>
      <i/>
      <color theme="1"/>
      <name val="Arial"/>
    </font>
    <font>
      <sz val="9.0"/>
      <color theme="1"/>
      <name val="Arial"/>
    </font>
    <font>
      <color rgb="FFEA4335"/>
      <name val="Arial"/>
    </font>
    <font>
      <color rgb="FF000000"/>
      <name val="Arial"/>
    </font>
    <font>
      <b/>
      <sz val="10.0"/>
      <color theme="1"/>
      <name val="Arial"/>
    </font>
    <font>
      <sz val="10.0"/>
      <color theme="1"/>
      <name val="Arial"/>
    </font>
    <font>
      <b/>
      <i/>
      <sz val="10.0"/>
      <color theme="1"/>
      <name val="Arial"/>
    </font>
    <font>
      <i/>
      <sz val="10.0"/>
      <color theme="1"/>
      <name val="Arial"/>
    </font>
    <font>
      <sz val="11.0"/>
      <color theme="1"/>
      <name val="Arial"/>
    </font>
    <font>
      <sz val="11.0"/>
      <color rgb="FF000000"/>
      <name val="Inconsolata"/>
    </font>
    <font>
      <color theme="1"/>
      <name val="Arial"/>
      <scheme val="minor"/>
    </font>
    <font>
      <sz val="11.0"/>
      <color rgb="FF000000"/>
      <name val="Arial"/>
    </font>
    <font>
      <sz val="11.0"/>
      <color rgb="FFF7981D"/>
      <name val="Inconsolata"/>
    </font>
    <font>
      <sz val="11.0"/>
      <color theme="1"/>
      <name val="Inconsolata"/>
    </font>
    <font>
      <sz val="11.0"/>
      <color rgb="FF7E3794"/>
      <name val="Arial"/>
    </font>
    <font>
      <b/>
      <sz val="11.0"/>
      <color rgb="FF980000"/>
      <name val="Inconsolata"/>
    </font>
  </fonts>
  <fills count="4">
    <fill>
      <patternFill patternType="none"/>
    </fill>
    <fill>
      <patternFill patternType="lightGray"/>
    </fill>
    <fill>
      <patternFill patternType="solid">
        <fgColor rgb="FFF4CCCC"/>
        <bgColor rgb="FFF4CCCC"/>
      </patternFill>
    </fill>
    <fill>
      <patternFill patternType="solid">
        <fgColor rgb="FFFFFFFF"/>
        <bgColor rgb="FFFFFFFF"/>
      </patternFill>
    </fill>
  </fills>
  <borders count="15">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2" fillId="0" fontId="1" numFmtId="0" xfId="0" applyAlignment="1" applyBorder="1" applyFont="1">
      <alignment vertical="bottom"/>
    </xf>
    <xf borderId="3" fillId="0" fontId="1" numFmtId="0" xfId="0" applyAlignment="1" applyBorder="1" applyFont="1">
      <alignment vertical="bottom"/>
    </xf>
    <xf borderId="2" fillId="0" fontId="1" numFmtId="0" xfId="0" applyAlignment="1" applyBorder="1" applyFont="1">
      <alignment shrinkToFit="0" vertical="bottom" wrapText="1"/>
    </xf>
    <xf borderId="0" fillId="0" fontId="2" numFmtId="0" xfId="0" applyAlignment="1" applyFont="1">
      <alignment horizontal="center" vertical="bottom"/>
    </xf>
    <xf borderId="4" fillId="0" fontId="3" numFmtId="0" xfId="0" applyAlignment="1" applyBorder="1" applyFont="1">
      <alignment horizontal="center" vertical="bottom"/>
    </xf>
    <xf borderId="5" fillId="0" fontId="4" numFmtId="0" xfId="0" applyBorder="1" applyFont="1"/>
    <xf borderId="5" fillId="0" fontId="1" numFmtId="0" xfId="0" applyAlignment="1" applyBorder="1" applyFont="1">
      <alignment shrinkToFit="0" vertical="bottom" wrapText="1"/>
    </xf>
    <xf borderId="6" fillId="0" fontId="5" numFmtId="0" xfId="0" applyAlignment="1" applyBorder="1" applyFont="1">
      <alignment horizontal="right" shrinkToFit="0" vertical="bottom" wrapText="1"/>
    </xf>
    <xf borderId="6" fillId="0" fontId="1" numFmtId="0" xfId="0" applyAlignment="1" applyBorder="1" applyFont="1">
      <alignment vertical="bottom"/>
    </xf>
    <xf borderId="7" fillId="0" fontId="1" numFmtId="0" xfId="0" applyAlignment="1" applyBorder="1" applyFont="1">
      <alignment vertical="bottom"/>
    </xf>
    <xf borderId="8" fillId="0" fontId="1" numFmtId="0" xfId="0" applyAlignment="1" applyBorder="1" applyFont="1">
      <alignment vertical="bottom"/>
    </xf>
    <xf borderId="8" fillId="0" fontId="1" numFmtId="0" xfId="0" applyAlignment="1" applyBorder="1" applyFont="1">
      <alignment shrinkToFit="0" vertical="bottom" wrapText="1"/>
    </xf>
    <xf borderId="9" fillId="0" fontId="1" numFmtId="0" xfId="0" applyAlignment="1" applyBorder="1" applyFont="1">
      <alignment horizontal="center" vertical="bottom"/>
    </xf>
    <xf borderId="4" fillId="0" fontId="1" numFmtId="0" xfId="0" applyAlignment="1" applyBorder="1" applyFont="1">
      <alignment vertical="bottom"/>
    </xf>
    <xf borderId="5" fillId="0" fontId="1" numFmtId="0" xfId="0" applyAlignment="1" applyBorder="1" applyFont="1">
      <alignment vertical="bottom"/>
    </xf>
    <xf borderId="4" fillId="0" fontId="1" numFmtId="0" xfId="0" applyAlignment="1" applyBorder="1" applyFont="1">
      <alignment horizontal="center" vertical="bottom"/>
    </xf>
    <xf borderId="5" fillId="0" fontId="1" numFmtId="0" xfId="0" applyAlignment="1" applyBorder="1" applyFont="1">
      <alignment horizontal="center" vertical="bottom"/>
    </xf>
    <xf borderId="10" fillId="0" fontId="1" numFmtId="0" xfId="0" applyAlignment="1" applyBorder="1" applyFont="1">
      <alignment horizontal="center" vertical="bottom"/>
    </xf>
    <xf borderId="0" fillId="0" fontId="6" numFmtId="0" xfId="0" applyAlignment="1" applyFont="1">
      <alignment horizontal="center" shrinkToFit="0" vertical="bottom" wrapText="1"/>
    </xf>
    <xf quotePrefix="1" borderId="10" fillId="0" fontId="1" numFmtId="0" xfId="0" applyAlignment="1" applyBorder="1" applyFont="1">
      <alignment horizontal="center" vertical="bottom"/>
    </xf>
    <xf borderId="0" fillId="0" fontId="1" numFmtId="0" xfId="0" applyAlignment="1" applyFont="1">
      <alignment horizontal="right" vertical="bottom"/>
    </xf>
    <xf borderId="10" fillId="0" fontId="1" numFmtId="0" xfId="0" applyAlignment="1" applyBorder="1" applyFont="1">
      <alignment vertical="bottom"/>
    </xf>
    <xf borderId="0" fillId="0" fontId="6" numFmtId="0" xfId="0" applyAlignment="1" applyFont="1">
      <alignment shrinkToFit="0" vertical="bottom" wrapText="1"/>
    </xf>
    <xf quotePrefix="1" borderId="10" fillId="0" fontId="1" numFmtId="0" xfId="0" applyAlignment="1" applyBorder="1" applyFont="1">
      <alignment vertical="bottom"/>
    </xf>
    <xf borderId="0" fillId="0" fontId="7" numFmtId="0" xfId="0" applyFont="1"/>
    <xf borderId="6" fillId="0" fontId="7" numFmtId="0" xfId="0" applyBorder="1" applyFont="1"/>
    <xf borderId="11" fillId="0" fontId="1" numFmtId="0" xfId="0" applyAlignment="1" applyBorder="1" applyFont="1">
      <alignment vertical="bottom"/>
    </xf>
    <xf borderId="6" fillId="0" fontId="6" numFmtId="0" xfId="0" applyAlignment="1" applyBorder="1" applyFont="1">
      <alignment shrinkToFit="0" vertical="bottom" wrapText="1"/>
    </xf>
    <xf borderId="11" fillId="0" fontId="1" numFmtId="0" xfId="0" applyAlignment="1" applyBorder="1" applyFont="1">
      <alignment horizontal="center" vertical="bottom"/>
    </xf>
    <xf borderId="6" fillId="0" fontId="1" numFmtId="0" xfId="0" applyAlignment="1" applyBorder="1" applyFont="1">
      <alignment horizontal="center" vertical="bottom"/>
    </xf>
    <xf borderId="7" fillId="0" fontId="1" numFmtId="0" xfId="0" applyAlignment="1" applyBorder="1" applyFont="1">
      <alignment horizontal="center" vertical="bottom"/>
    </xf>
    <xf borderId="0" fillId="0" fontId="1" numFmtId="0" xfId="0" applyAlignment="1" applyFont="1">
      <alignment shrinkToFit="0" vertical="bottom" wrapText="1"/>
    </xf>
    <xf borderId="9" fillId="0" fontId="1" numFmtId="0" xfId="0" applyAlignment="1" applyBorder="1" applyFont="1">
      <alignment vertical="bottom"/>
    </xf>
    <xf borderId="10" fillId="0" fontId="2" numFmtId="0" xfId="0" applyAlignment="1" applyBorder="1" applyFont="1">
      <alignment horizontal="center" vertical="bottom"/>
    </xf>
    <xf borderId="7" fillId="0" fontId="5" numFmtId="0" xfId="0" applyAlignment="1" applyBorder="1" applyFont="1">
      <alignment horizontal="right" shrinkToFit="0" vertical="bottom" wrapText="1"/>
    </xf>
    <xf borderId="5" fillId="0" fontId="8" numFmtId="0" xfId="0" applyAlignment="1" applyBorder="1" applyFont="1">
      <alignment shrinkToFit="0" vertical="bottom" wrapText="1"/>
    </xf>
    <xf borderId="0" fillId="0" fontId="1" numFmtId="0" xfId="0" applyAlignment="1" applyFont="1">
      <alignment vertical="bottom"/>
    </xf>
    <xf borderId="0" fillId="0" fontId="9" numFmtId="0" xfId="0" applyAlignment="1" applyFont="1">
      <alignment horizontal="center"/>
    </xf>
    <xf borderId="0" fillId="0" fontId="10" numFmtId="0" xfId="0" applyAlignment="1" applyFont="1">
      <alignment horizontal="center"/>
    </xf>
    <xf borderId="0" fillId="0" fontId="10" numFmtId="0" xfId="0" applyAlignment="1" applyFont="1">
      <alignment horizontal="left" shrinkToFit="0" wrapText="1"/>
    </xf>
    <xf borderId="3" fillId="0" fontId="1" numFmtId="0" xfId="0" applyAlignment="1" applyBorder="1" applyFont="1">
      <alignment vertical="bottom"/>
    </xf>
    <xf borderId="3" fillId="0" fontId="11" numFmtId="0" xfId="0" applyAlignment="1" applyBorder="1" applyFont="1">
      <alignment horizontal="center"/>
    </xf>
    <xf borderId="2" fillId="0" fontId="11" numFmtId="0" xfId="0" applyAlignment="1" applyBorder="1" applyFont="1">
      <alignment horizontal="center"/>
    </xf>
    <xf borderId="1" fillId="0" fontId="9" numFmtId="0" xfId="0" applyAlignment="1" applyBorder="1" applyFont="1">
      <alignment horizontal="center"/>
    </xf>
    <xf borderId="2" fillId="0" fontId="4" numFmtId="0" xfId="0" applyBorder="1" applyFont="1"/>
    <xf borderId="3" fillId="0" fontId="4" numFmtId="0" xfId="0" applyBorder="1" applyFont="1"/>
    <xf borderId="2" fillId="0" fontId="10" numFmtId="0" xfId="0" applyAlignment="1" applyBorder="1" applyFont="1">
      <alignment horizontal="left" shrinkToFit="0" wrapText="1"/>
    </xf>
    <xf borderId="0" fillId="0" fontId="5" numFmtId="0" xfId="0" applyAlignment="1" applyFont="1">
      <alignment horizontal="right" shrinkToFit="0" vertical="bottom" wrapText="1"/>
    </xf>
    <xf borderId="0" fillId="0" fontId="12" numFmtId="0" xfId="0" applyAlignment="1" applyFont="1">
      <alignment horizontal="center" shrinkToFit="0" wrapText="1"/>
    </xf>
    <xf borderId="5" fillId="0" fontId="12" numFmtId="0" xfId="0" applyAlignment="1" applyBorder="1" applyFont="1">
      <alignment horizontal="center" shrinkToFit="0" wrapText="1"/>
    </xf>
    <xf borderId="4" fillId="0" fontId="12" numFmtId="0" xfId="0" applyAlignment="1" applyBorder="1" applyFont="1">
      <alignment horizontal="center" shrinkToFit="0" wrapText="1"/>
    </xf>
    <xf borderId="0" fillId="0" fontId="13" numFmtId="0" xfId="0" applyAlignment="1" applyFont="1">
      <alignment horizontal="right"/>
    </xf>
    <xf borderId="0" fillId="0" fontId="13" numFmtId="0" xfId="0" applyAlignment="1" applyFont="1">
      <alignment vertical="center"/>
    </xf>
    <xf borderId="4" fillId="0" fontId="8" numFmtId="0" xfId="0" applyAlignment="1" applyBorder="1" applyFont="1">
      <alignment horizontal="center" shrinkToFit="0" vertical="bottom" wrapText="0"/>
    </xf>
    <xf borderId="0" fillId="0" fontId="8" numFmtId="0" xfId="0" applyAlignment="1" applyFont="1">
      <alignment horizontal="center" shrinkToFit="0" vertical="bottom" wrapText="0"/>
    </xf>
    <xf borderId="5" fillId="0" fontId="8" numFmtId="0" xfId="0" applyAlignment="1" applyBorder="1" applyFont="1">
      <alignment horizontal="center" shrinkToFit="0" vertical="bottom" wrapText="0"/>
    </xf>
    <xf borderId="5" fillId="0" fontId="8" numFmtId="0" xfId="0" applyAlignment="1" applyBorder="1" applyFont="1">
      <alignment horizontal="left" vertical="bottom"/>
    </xf>
    <xf borderId="0" fillId="0" fontId="1" numFmtId="0" xfId="0" applyAlignment="1" applyFont="1">
      <alignment horizontal="center" vertical="bottom"/>
    </xf>
    <xf borderId="5" fillId="0" fontId="8" numFmtId="0" xfId="0" applyAlignment="1" applyBorder="1" applyFont="1">
      <alignment shrinkToFit="0" vertical="bottom" wrapText="0"/>
    </xf>
    <xf borderId="0" fillId="0" fontId="7" numFmtId="0" xfId="0" applyAlignment="1" applyFont="1">
      <alignment readingOrder="0"/>
    </xf>
    <xf borderId="6" fillId="0" fontId="13" numFmtId="0" xfId="0" applyAlignment="1" applyBorder="1" applyFont="1">
      <alignment vertical="center"/>
    </xf>
    <xf borderId="7" fillId="0" fontId="8" numFmtId="0" xfId="0" applyAlignment="1" applyBorder="1" applyFont="1">
      <alignment horizontal="center" shrinkToFit="0" vertical="bottom" wrapText="0"/>
    </xf>
    <xf borderId="6" fillId="0" fontId="8" numFmtId="0" xfId="0" applyAlignment="1" applyBorder="1" applyFont="1">
      <alignment horizontal="center" shrinkToFit="0" vertical="bottom" wrapText="0"/>
    </xf>
    <xf borderId="8" fillId="0" fontId="8" numFmtId="0" xfId="0" applyAlignment="1" applyBorder="1" applyFont="1">
      <alignment horizontal="center" shrinkToFit="0" vertical="bottom" wrapText="0"/>
    </xf>
    <xf borderId="8" fillId="0" fontId="8" numFmtId="0" xfId="0" applyAlignment="1" applyBorder="1" applyFont="1">
      <alignment horizontal="left" vertical="bottom"/>
    </xf>
    <xf borderId="6" fillId="0" fontId="1" numFmtId="0" xfId="0" applyAlignment="1" applyBorder="1" applyFont="1">
      <alignment horizontal="center" vertical="bottom"/>
    </xf>
    <xf borderId="6" fillId="0" fontId="1" numFmtId="0" xfId="0" applyBorder="1" applyFont="1"/>
    <xf borderId="0" fillId="0" fontId="14" numFmtId="0" xfId="0" applyFont="1"/>
    <xf borderId="0" fillId="0" fontId="12" numFmtId="0" xfId="0" applyAlignment="1" applyFont="1">
      <alignment horizontal="center" readingOrder="0" shrinkToFit="0" wrapText="1"/>
    </xf>
    <xf borderId="0" fillId="0" fontId="1" numFmtId="0" xfId="0" applyFont="1"/>
    <xf borderId="6" fillId="0" fontId="15" numFmtId="0" xfId="0" applyBorder="1" applyFont="1"/>
    <xf borderId="0" fillId="0" fontId="16" numFmtId="0" xfId="0" applyAlignment="1" applyFont="1">
      <alignment horizontal="left" shrinkToFit="0" wrapText="0"/>
    </xf>
    <xf borderId="5" fillId="0" fontId="8" numFmtId="0" xfId="0" applyAlignment="1" applyBorder="1" applyFont="1">
      <alignment horizontal="left" shrinkToFit="0" vertical="bottom" wrapText="0"/>
    </xf>
    <xf borderId="6" fillId="0" fontId="13" numFmtId="0" xfId="0" applyAlignment="1" applyBorder="1" applyFont="1">
      <alignment horizontal="right"/>
    </xf>
    <xf borderId="6" fillId="0" fontId="10" numFmtId="0" xfId="0" applyAlignment="1" applyBorder="1" applyFont="1">
      <alignment horizontal="center"/>
    </xf>
    <xf borderId="0" fillId="0" fontId="17" numFmtId="0" xfId="0" applyFont="1"/>
    <xf borderId="4" fillId="0" fontId="1" numFmtId="0" xfId="0" applyAlignment="1" applyBorder="1" applyFont="1">
      <alignment vertical="bottom"/>
    </xf>
    <xf borderId="5" fillId="0" fontId="1" numFmtId="0" xfId="0" applyAlignment="1" applyBorder="1" applyFont="1">
      <alignment vertical="bottom"/>
    </xf>
    <xf borderId="0" fillId="0" fontId="2" numFmtId="0" xfId="0" applyAlignment="1" applyFont="1">
      <alignment horizontal="center" vertical="bottom"/>
    </xf>
    <xf borderId="4" fillId="0" fontId="3" numFmtId="0" xfId="0" applyAlignment="1" applyBorder="1" applyFont="1">
      <alignment horizontal="center" vertical="bottom"/>
    </xf>
    <xf borderId="0" fillId="0" fontId="3" numFmtId="0" xfId="0" applyAlignment="1" applyFont="1">
      <alignment horizontal="center" vertical="bottom"/>
    </xf>
    <xf borderId="6" fillId="0" fontId="5" numFmtId="0" xfId="0" applyAlignment="1" applyBorder="1" applyFont="1">
      <alignment horizontal="right" shrinkToFit="0" vertical="bottom" wrapText="1"/>
    </xf>
    <xf borderId="6" fillId="0" fontId="1" numFmtId="0" xfId="0" applyAlignment="1" applyBorder="1" applyFont="1">
      <alignment vertical="bottom"/>
    </xf>
    <xf borderId="7" fillId="0" fontId="1" numFmtId="0" xfId="0" applyAlignment="1" applyBorder="1" applyFont="1">
      <alignment vertical="bottom"/>
    </xf>
    <xf borderId="8" fillId="0" fontId="1" numFmtId="0" xfId="0" applyAlignment="1" applyBorder="1" applyFont="1">
      <alignment vertical="bottom"/>
    </xf>
    <xf borderId="8" fillId="0" fontId="5" numFmtId="0" xfId="0" applyAlignment="1" applyBorder="1" applyFont="1">
      <alignment horizontal="center" shrinkToFit="0" vertical="bottom" wrapText="1"/>
    </xf>
    <xf borderId="0" fillId="0" fontId="13" numFmtId="0" xfId="0" applyFont="1"/>
    <xf borderId="4" fillId="0" fontId="13" numFmtId="0" xfId="0" applyBorder="1" applyFont="1"/>
    <xf borderId="5" fillId="0" fontId="1" numFmtId="0" xfId="0" applyAlignment="1" applyBorder="1" applyFont="1">
      <alignment shrinkToFit="0" vertical="bottom" wrapText="1"/>
    </xf>
    <xf borderId="5" fillId="0" fontId="1" numFmtId="0" xfId="0" applyAlignment="1" applyBorder="1" applyFont="1">
      <alignment horizontal="center" vertical="bottom"/>
    </xf>
    <xf borderId="0" fillId="0" fontId="7" numFmtId="0" xfId="0" applyAlignment="1" applyFont="1">
      <alignment horizontal="right" vertical="bottom"/>
    </xf>
    <xf borderId="6" fillId="0" fontId="7" numFmtId="0" xfId="0" applyAlignment="1" applyBorder="1" applyFont="1">
      <alignment horizontal="right" vertical="bottom"/>
    </xf>
    <xf borderId="6" fillId="0" fontId="13" numFmtId="0" xfId="0" applyBorder="1" applyFont="1"/>
    <xf borderId="7" fillId="0" fontId="13" numFmtId="0" xfId="0" applyBorder="1" applyFont="1"/>
    <xf borderId="0" fillId="0" fontId="18" numFmtId="0" xfId="0" applyAlignment="1" applyFont="1">
      <alignment horizontal="right" vertical="bottom"/>
    </xf>
    <xf borderId="0" fillId="0" fontId="15" numFmtId="0" xfId="0" applyAlignment="1" applyFont="1">
      <alignment readingOrder="0"/>
    </xf>
    <xf borderId="0" fillId="0" fontId="15" numFmtId="0" xfId="0" applyFont="1"/>
    <xf borderId="4" fillId="0" fontId="1" numFmtId="0" xfId="0" applyBorder="1" applyFont="1"/>
    <xf borderId="5" fillId="0" fontId="1" numFmtId="0" xfId="0" applyBorder="1" applyFont="1"/>
    <xf borderId="7" fillId="0" fontId="1" numFmtId="0" xfId="0" applyBorder="1" applyFont="1"/>
    <xf borderId="8" fillId="0" fontId="1" numFmtId="0" xfId="0" applyBorder="1" applyFont="1"/>
    <xf borderId="3" fillId="0" fontId="1" numFmtId="0" xfId="0" applyAlignment="1" applyBorder="1" applyFont="1">
      <alignment horizontal="center" vertical="bottom"/>
    </xf>
    <xf borderId="3" fillId="0" fontId="18" numFmtId="0" xfId="0" applyAlignment="1" applyBorder="1" applyFont="1">
      <alignment horizontal="right" vertical="bottom"/>
    </xf>
    <xf borderId="0" fillId="0" fontId="2" numFmtId="0" xfId="0" applyAlignment="1" applyFont="1">
      <alignment vertical="bottom"/>
    </xf>
    <xf borderId="7" fillId="0" fontId="5" numFmtId="0" xfId="0" applyAlignment="1" applyBorder="1" applyFont="1">
      <alignment horizontal="center" shrinkToFit="0" vertical="bottom" wrapText="1"/>
    </xf>
    <xf borderId="6" fillId="0" fontId="5" numFmtId="0" xfId="0" applyAlignment="1" applyBorder="1" applyFont="1">
      <alignment horizontal="center" shrinkToFit="0" vertical="bottom" wrapText="1"/>
    </xf>
    <xf borderId="8" fillId="0" fontId="1" numFmtId="0" xfId="0" applyAlignment="1" applyBorder="1" applyFont="1">
      <alignment horizontal="center" vertical="bottom"/>
    </xf>
    <xf borderId="4" fillId="2" fontId="1" numFmtId="0" xfId="0" applyAlignment="1" applyBorder="1" applyFill="1" applyFont="1">
      <alignment vertical="bottom"/>
    </xf>
    <xf borderId="5" fillId="2" fontId="1" numFmtId="0" xfId="0" applyAlignment="1" applyBorder="1" applyFont="1">
      <alignment shrinkToFit="0" vertical="bottom" wrapText="1"/>
    </xf>
    <xf quotePrefix="1" borderId="0" fillId="0" fontId="1" numFmtId="0" xfId="0" applyAlignment="1" applyFont="1">
      <alignment vertical="bottom"/>
    </xf>
    <xf borderId="0" fillId="0" fontId="1" numFmtId="0" xfId="0" applyAlignment="1" applyFont="1">
      <alignment horizontal="right" vertical="bottom"/>
    </xf>
    <xf borderId="7" fillId="2" fontId="1" numFmtId="0" xfId="0" applyAlignment="1" applyBorder="1" applyFont="1">
      <alignment vertical="bottom"/>
    </xf>
    <xf borderId="8" fillId="0" fontId="1" numFmtId="0" xfId="0" applyAlignment="1" applyBorder="1" applyFont="1">
      <alignment shrinkToFit="0" vertical="bottom" wrapText="1"/>
    </xf>
    <xf borderId="0" fillId="0" fontId="1" numFmtId="0" xfId="0" applyAlignment="1" applyFont="1">
      <alignment horizontal="right" shrinkToFit="0" vertical="bottom" wrapText="1"/>
    </xf>
    <xf borderId="8" fillId="2" fontId="1" numFmtId="0" xfId="0" applyAlignment="1" applyBorder="1" applyFont="1">
      <alignment shrinkToFit="0" vertical="bottom" wrapText="1"/>
    </xf>
    <xf borderId="1" fillId="0" fontId="1" numFmtId="0" xfId="0" applyAlignment="1" applyBorder="1" applyFont="1">
      <alignment vertical="bottom"/>
    </xf>
    <xf borderId="2" fillId="0" fontId="1" numFmtId="0" xfId="0" applyAlignment="1" applyBorder="1" applyFont="1">
      <alignment vertical="bottom"/>
    </xf>
    <xf borderId="0" fillId="0" fontId="2" numFmtId="0" xfId="0" applyAlignment="1" applyFont="1">
      <alignment horizontal="center" shrinkToFit="0" vertical="bottom" wrapText="1"/>
    </xf>
    <xf borderId="10" fillId="0" fontId="2" numFmtId="0" xfId="0" applyAlignment="1" applyBorder="1" applyFont="1">
      <alignment horizontal="center" vertical="bottom"/>
    </xf>
    <xf borderId="8" fillId="0" fontId="5" numFmtId="0" xfId="0" applyAlignment="1" applyBorder="1" applyFont="1">
      <alignment horizontal="right" shrinkToFit="0" vertical="bottom" wrapText="1"/>
    </xf>
    <xf borderId="11" fillId="0" fontId="1" numFmtId="0" xfId="0" applyAlignment="1" applyBorder="1" applyFont="1">
      <alignment vertical="bottom"/>
    </xf>
    <xf borderId="10" fillId="0" fontId="1" numFmtId="0" xfId="0" applyAlignment="1" applyBorder="1" applyFont="1">
      <alignment vertical="bottom"/>
    </xf>
    <xf borderId="0" fillId="0" fontId="1" numFmtId="0" xfId="0" applyAlignment="1" applyFont="1">
      <alignment shrinkToFit="0" vertical="bottom" wrapText="1"/>
    </xf>
    <xf borderId="0" fillId="2" fontId="1" numFmtId="0" xfId="0" applyAlignment="1" applyFont="1">
      <alignment vertical="bottom"/>
    </xf>
    <xf quotePrefix="1" borderId="5" fillId="0" fontId="1" numFmtId="0" xfId="0" applyAlignment="1" applyBorder="1" applyFont="1">
      <alignment shrinkToFit="0" vertical="bottom" wrapText="1"/>
    </xf>
    <xf borderId="12" fillId="0" fontId="1" numFmtId="0" xfId="0" applyAlignment="1" applyBorder="1" applyFont="1">
      <alignment vertical="bottom"/>
    </xf>
    <xf borderId="5" fillId="0" fontId="1" numFmtId="0" xfId="0" applyAlignment="1" applyBorder="1" applyFont="1">
      <alignment shrinkToFit="0" vertical="bottom" wrapText="0"/>
    </xf>
    <xf quotePrefix="1" borderId="0" fillId="0" fontId="1" numFmtId="0" xfId="0" applyAlignment="1" applyFont="1">
      <alignment shrinkToFit="0" vertical="bottom" wrapText="1"/>
    </xf>
    <xf borderId="6" fillId="0" fontId="1" numFmtId="0" xfId="0" applyAlignment="1" applyBorder="1" applyFont="1">
      <alignment shrinkToFit="0" vertical="bottom" wrapText="1"/>
    </xf>
    <xf borderId="0" fillId="0" fontId="19" numFmtId="0" xfId="0" applyAlignment="1" applyFont="1">
      <alignment horizontal="center" vertical="bottom"/>
    </xf>
    <xf borderId="3" fillId="0" fontId="1" numFmtId="0" xfId="0" applyAlignment="1" applyBorder="1" applyFont="1">
      <alignment horizontal="right" vertical="bottom"/>
    </xf>
    <xf borderId="7" fillId="0" fontId="1" numFmtId="0" xfId="0" applyAlignment="1" applyBorder="1" applyFont="1">
      <alignment horizontal="center" vertical="bottom"/>
    </xf>
    <xf borderId="5" fillId="0" fontId="2" numFmtId="0" xfId="0" applyAlignment="1" applyBorder="1" applyFont="1">
      <alignment horizontal="center" vertical="bottom"/>
    </xf>
    <xf borderId="0" fillId="0" fontId="1" numFmtId="0" xfId="0" applyAlignment="1" applyFont="1">
      <alignment horizontal="center" shrinkToFit="0" vertical="bottom" wrapText="1"/>
    </xf>
    <xf quotePrefix="1" borderId="0" fillId="0" fontId="1" numFmtId="0" xfId="0" applyAlignment="1" applyFont="1">
      <alignment horizontal="center" shrinkToFit="0" vertical="bottom" wrapText="1"/>
    </xf>
    <xf borderId="5" fillId="0" fontId="1" numFmtId="0" xfId="0" applyAlignment="1" applyBorder="1" applyFont="1">
      <alignment horizontal="right" vertical="bottom"/>
    </xf>
    <xf borderId="0" fillId="0" fontId="1" numFmtId="0" xfId="0" applyAlignment="1" applyFont="1">
      <alignment shrinkToFit="0" wrapText="1"/>
    </xf>
    <xf borderId="5" fillId="0" fontId="7" numFmtId="0" xfId="0" applyAlignment="1" applyBorder="1" applyFont="1">
      <alignment horizontal="right" vertical="bottom"/>
    </xf>
    <xf borderId="4" fillId="0" fontId="1" numFmtId="0" xfId="0" applyAlignment="1" applyBorder="1" applyFont="1">
      <alignment horizontal="center" vertical="bottom"/>
    </xf>
    <xf borderId="6" fillId="0" fontId="1" numFmtId="0" xfId="0" applyAlignment="1" applyBorder="1" applyFont="1">
      <alignment horizontal="center" shrinkToFit="0" vertical="bottom" wrapText="1"/>
    </xf>
    <xf borderId="0" fillId="0" fontId="1" numFmtId="0" xfId="0" applyAlignment="1" applyFont="1">
      <alignment horizontal="center" vertical="bottom"/>
    </xf>
    <xf borderId="0" fillId="0" fontId="14" numFmtId="0" xfId="0" applyFont="1"/>
    <xf borderId="12" fillId="0" fontId="15" numFmtId="0" xfId="0" applyAlignment="1" applyBorder="1" applyFont="1">
      <alignment horizontal="center" readingOrder="0"/>
    </xf>
    <xf borderId="13" fillId="0" fontId="4" numFmtId="0" xfId="0" applyBorder="1" applyFont="1"/>
    <xf borderId="14" fillId="0" fontId="4" numFmtId="0" xfId="0" applyBorder="1" applyFont="1"/>
    <xf borderId="4" fillId="0" fontId="15" numFmtId="0" xfId="0" applyAlignment="1" applyBorder="1" applyFont="1">
      <alignment readingOrder="0"/>
    </xf>
    <xf borderId="5" fillId="0" fontId="15" numFmtId="0" xfId="0" applyAlignment="1" applyBorder="1" applyFont="1">
      <alignment readingOrder="0"/>
    </xf>
    <xf borderId="4" fillId="0" fontId="15" numFmtId="0" xfId="0" applyBorder="1" applyFont="1"/>
    <xf borderId="5" fillId="0" fontId="15" numFmtId="0" xfId="0" applyBorder="1" applyFont="1"/>
    <xf borderId="5" fillId="0" fontId="14" numFmtId="0" xfId="0" applyBorder="1" applyFont="1"/>
    <xf borderId="7" fillId="0" fontId="15" numFmtId="0" xfId="0" applyAlignment="1" applyBorder="1" applyFont="1">
      <alignment readingOrder="0"/>
    </xf>
    <xf borderId="6" fillId="0" fontId="14" numFmtId="0" xfId="0" applyBorder="1" applyFont="1"/>
    <xf borderId="8" fillId="0" fontId="14" numFmtId="0" xfId="0" applyBorder="1" applyFont="1"/>
    <xf borderId="7" fillId="0" fontId="15" numFmtId="0" xfId="0" applyBorder="1" applyFont="1"/>
    <xf borderId="8" fillId="0" fontId="15" numFmtId="0" xfId="0" applyBorder="1" applyFont="1"/>
    <xf borderId="0" fillId="0" fontId="15" numFmtId="0" xfId="0" applyAlignment="1" applyFont="1">
      <alignment readingOrder="0" shrinkToFit="0" wrapText="1"/>
    </xf>
    <xf borderId="0" fillId="3" fontId="20" numFmtId="0" xfId="0" applyAlignment="1" applyFill="1" applyFont="1">
      <alignment horizontal="center" readingOrder="0"/>
    </xf>
    <xf borderId="0" fillId="0" fontId="17" numFmtId="0" xfId="0" applyFont="1"/>
    <xf borderId="0" fillId="0" fontId="1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c r="B1" s="1"/>
      <c r="C1" s="1"/>
      <c r="D1" s="1"/>
      <c r="E1" s="2"/>
      <c r="F1" s="3"/>
      <c r="G1" s="2"/>
      <c r="H1" s="4"/>
      <c r="I1" s="3"/>
      <c r="J1" s="2"/>
      <c r="K1" s="4"/>
      <c r="L1" s="4"/>
      <c r="M1" s="4"/>
      <c r="N1" s="4"/>
      <c r="O1" s="4"/>
      <c r="P1" s="5"/>
      <c r="Q1" s="1"/>
      <c r="R1" s="1"/>
      <c r="S1" s="1"/>
      <c r="T1" s="1"/>
      <c r="U1" s="1"/>
      <c r="V1" s="1"/>
      <c r="W1" s="1"/>
      <c r="X1" s="1"/>
      <c r="Y1" s="1"/>
      <c r="Z1" s="1"/>
    </row>
    <row r="2">
      <c r="A2" s="1"/>
      <c r="B2" s="6" t="s">
        <v>0</v>
      </c>
      <c r="C2" s="6" t="s">
        <v>1</v>
      </c>
      <c r="D2" s="6" t="s">
        <v>2</v>
      </c>
      <c r="E2" s="7" t="s">
        <v>3</v>
      </c>
      <c r="F2" s="8"/>
      <c r="G2" s="7" t="s">
        <v>4</v>
      </c>
      <c r="I2" s="8"/>
      <c r="J2" s="7" t="s">
        <v>5</v>
      </c>
      <c r="P2" s="9"/>
      <c r="Q2" s="1"/>
      <c r="R2" s="1"/>
      <c r="S2" s="1"/>
      <c r="T2" s="1"/>
      <c r="U2" s="1"/>
      <c r="V2" s="1"/>
      <c r="W2" s="1"/>
      <c r="X2" s="1"/>
      <c r="Y2" s="1"/>
      <c r="Z2" s="1"/>
    </row>
    <row r="3">
      <c r="A3" s="10" t="s">
        <v>6</v>
      </c>
      <c r="B3" s="11"/>
      <c r="C3" s="11"/>
      <c r="D3" s="11"/>
      <c r="E3" s="12" t="s">
        <v>7</v>
      </c>
      <c r="F3" s="13" t="s">
        <v>8</v>
      </c>
      <c r="G3" s="12" t="s">
        <v>7</v>
      </c>
      <c r="H3" s="11" t="s">
        <v>8</v>
      </c>
      <c r="I3" s="13" t="s">
        <v>9</v>
      </c>
      <c r="J3" s="12" t="s">
        <v>10</v>
      </c>
      <c r="K3" s="11" t="s">
        <v>11</v>
      </c>
      <c r="L3" s="11" t="s">
        <v>12</v>
      </c>
      <c r="M3" s="11" t="s">
        <v>13</v>
      </c>
      <c r="N3" s="11" t="s">
        <v>14</v>
      </c>
      <c r="O3" s="11" t="s">
        <v>15</v>
      </c>
      <c r="P3" s="14" t="s">
        <v>16</v>
      </c>
      <c r="Q3" s="1"/>
      <c r="R3" s="1"/>
      <c r="S3" s="1"/>
      <c r="T3" s="1"/>
      <c r="U3" s="1"/>
      <c r="V3" s="1"/>
      <c r="W3" s="1"/>
      <c r="X3" s="1"/>
      <c r="Y3" s="1"/>
      <c r="Z3" s="1"/>
    </row>
    <row r="4">
      <c r="A4" s="1">
        <v>2.0</v>
      </c>
      <c r="B4" s="15" t="s">
        <v>17</v>
      </c>
      <c r="C4" s="1" t="s">
        <v>18</v>
      </c>
      <c r="D4" s="15" t="s">
        <v>19</v>
      </c>
      <c r="E4" s="16" t="s">
        <v>20</v>
      </c>
      <c r="F4" s="17" t="s">
        <v>21</v>
      </c>
      <c r="G4" s="18"/>
      <c r="H4" s="1" t="s">
        <v>22</v>
      </c>
      <c r="I4" s="19"/>
      <c r="J4" s="18"/>
      <c r="K4" s="1"/>
      <c r="L4" s="1"/>
      <c r="M4" s="1"/>
      <c r="N4" s="1" t="s">
        <v>22</v>
      </c>
      <c r="O4" s="1"/>
      <c r="P4" s="9"/>
      <c r="Q4" s="1"/>
      <c r="R4" s="1"/>
      <c r="S4" s="1"/>
      <c r="T4" s="1"/>
      <c r="U4" s="1"/>
      <c r="V4" s="1"/>
      <c r="W4" s="1"/>
      <c r="X4" s="1"/>
      <c r="Y4" s="1"/>
      <c r="Z4" s="1"/>
    </row>
    <row r="5">
      <c r="A5" s="1">
        <v>3.0</v>
      </c>
      <c r="B5" s="20" t="s">
        <v>23</v>
      </c>
      <c r="C5" s="1" t="s">
        <v>24</v>
      </c>
      <c r="D5" s="20" t="s">
        <v>25</v>
      </c>
      <c r="E5" s="16" t="s">
        <v>20</v>
      </c>
      <c r="F5" s="17" t="s">
        <v>26</v>
      </c>
      <c r="G5" s="18"/>
      <c r="H5" s="1" t="s">
        <v>22</v>
      </c>
      <c r="I5" s="19"/>
      <c r="J5" s="18"/>
      <c r="K5" s="1"/>
      <c r="L5" s="1"/>
      <c r="M5" s="1" t="s">
        <v>22</v>
      </c>
      <c r="N5" s="1"/>
      <c r="O5" s="1"/>
      <c r="P5" s="9" t="s">
        <v>27</v>
      </c>
      <c r="Q5" s="1"/>
      <c r="R5" s="1"/>
      <c r="S5" s="1"/>
      <c r="T5" s="1"/>
      <c r="U5" s="1"/>
      <c r="V5" s="1"/>
      <c r="W5" s="1"/>
      <c r="X5" s="1"/>
      <c r="Y5" s="1"/>
      <c r="Z5" s="1"/>
    </row>
    <row r="6">
      <c r="A6" s="1">
        <v>4.0</v>
      </c>
      <c r="B6" s="20" t="s">
        <v>28</v>
      </c>
      <c r="C6" s="1" t="s">
        <v>29</v>
      </c>
      <c r="D6" s="20" t="s">
        <v>30</v>
      </c>
      <c r="E6" s="16" t="s">
        <v>31</v>
      </c>
      <c r="F6" s="17" t="s">
        <v>21</v>
      </c>
      <c r="G6" s="18"/>
      <c r="H6" s="1" t="s">
        <v>22</v>
      </c>
      <c r="I6" s="19"/>
      <c r="J6" s="18"/>
      <c r="K6" s="1"/>
      <c r="L6" s="1"/>
      <c r="M6" s="1"/>
      <c r="N6" s="1"/>
      <c r="O6" s="1" t="s">
        <v>22</v>
      </c>
      <c r="P6" s="9"/>
      <c r="Q6" s="1"/>
      <c r="R6" s="1"/>
      <c r="S6" s="1"/>
      <c r="T6" s="1"/>
      <c r="U6" s="1"/>
      <c r="V6" s="1"/>
      <c r="W6" s="1"/>
      <c r="X6" s="1"/>
      <c r="Y6" s="1"/>
      <c r="Z6" s="1"/>
    </row>
    <row r="7">
      <c r="A7" s="1">
        <v>5.0</v>
      </c>
      <c r="B7" s="20" t="s">
        <v>32</v>
      </c>
      <c r="C7" s="1" t="s">
        <v>33</v>
      </c>
      <c r="D7" s="20" t="s">
        <v>34</v>
      </c>
      <c r="E7" s="16" t="s">
        <v>20</v>
      </c>
      <c r="F7" s="17" t="s">
        <v>21</v>
      </c>
      <c r="G7" s="18" t="s">
        <v>22</v>
      </c>
      <c r="H7" s="1"/>
      <c r="I7" s="19"/>
      <c r="J7" s="18"/>
      <c r="K7" s="1"/>
      <c r="L7" s="1"/>
      <c r="M7" s="1"/>
      <c r="N7" s="1"/>
      <c r="O7" s="1"/>
      <c r="P7" s="9" t="s">
        <v>35</v>
      </c>
      <c r="Q7" s="1"/>
      <c r="R7" s="1"/>
      <c r="S7" s="1"/>
      <c r="T7" s="1"/>
      <c r="U7" s="1"/>
      <c r="V7" s="1"/>
      <c r="W7" s="1"/>
      <c r="X7" s="1"/>
      <c r="Y7" s="1"/>
      <c r="Z7" s="1"/>
    </row>
    <row r="8">
      <c r="A8" s="1">
        <v>6.0</v>
      </c>
      <c r="B8" s="20" t="s">
        <v>36</v>
      </c>
      <c r="C8" s="1" t="s">
        <v>37</v>
      </c>
      <c r="D8" s="20" t="s">
        <v>38</v>
      </c>
      <c r="E8" s="16" t="s">
        <v>20</v>
      </c>
      <c r="F8" s="17" t="s">
        <v>21</v>
      </c>
      <c r="G8" s="18"/>
      <c r="H8" s="1"/>
      <c r="I8" s="19" t="s">
        <v>22</v>
      </c>
      <c r="J8" s="18"/>
      <c r="K8" s="1"/>
      <c r="L8" s="1"/>
      <c r="M8" s="1"/>
      <c r="N8" s="1"/>
      <c r="O8" s="1"/>
      <c r="P8" s="9" t="s">
        <v>39</v>
      </c>
      <c r="Q8" s="1"/>
      <c r="R8" s="1"/>
      <c r="S8" s="1"/>
      <c r="T8" s="1"/>
      <c r="U8" s="1"/>
      <c r="V8" s="1"/>
      <c r="W8" s="1"/>
      <c r="X8" s="1"/>
      <c r="Y8" s="1"/>
      <c r="Z8" s="1"/>
    </row>
    <row r="9">
      <c r="A9" s="1">
        <v>7.0</v>
      </c>
      <c r="B9" s="20" t="s">
        <v>40</v>
      </c>
      <c r="C9" s="1" t="s">
        <v>41</v>
      </c>
      <c r="D9" s="20" t="s">
        <v>42</v>
      </c>
      <c r="E9" s="16" t="s">
        <v>21</v>
      </c>
      <c r="F9" s="17" t="s">
        <v>20</v>
      </c>
      <c r="G9" s="18" t="s">
        <v>22</v>
      </c>
      <c r="H9" s="1"/>
      <c r="I9" s="19"/>
      <c r="J9" s="18"/>
      <c r="K9" s="1" t="s">
        <v>22</v>
      </c>
      <c r="L9" s="1"/>
      <c r="M9" s="1"/>
      <c r="N9" s="1"/>
      <c r="O9" s="1"/>
      <c r="P9" s="9"/>
      <c r="Q9" s="1"/>
      <c r="R9" s="1"/>
      <c r="S9" s="1"/>
      <c r="T9" s="1"/>
      <c r="U9" s="1"/>
      <c r="V9" s="1"/>
      <c r="W9" s="1"/>
      <c r="X9" s="1"/>
      <c r="Y9" s="1"/>
      <c r="Z9" s="1"/>
    </row>
    <row r="10">
      <c r="A10" s="1">
        <v>8.0</v>
      </c>
      <c r="B10" s="20" t="s">
        <v>43</v>
      </c>
      <c r="C10" s="1" t="s">
        <v>44</v>
      </c>
      <c r="D10" s="20" t="s">
        <v>45</v>
      </c>
      <c r="E10" s="16" t="s">
        <v>21</v>
      </c>
      <c r="F10" s="17" t="s">
        <v>20</v>
      </c>
      <c r="G10" s="18"/>
      <c r="H10" s="1"/>
      <c r="I10" s="19"/>
      <c r="J10" s="18"/>
      <c r="K10" s="1" t="s">
        <v>22</v>
      </c>
      <c r="L10" s="1"/>
      <c r="M10" s="1"/>
      <c r="N10" s="1"/>
      <c r="O10" s="1"/>
      <c r="P10" s="9"/>
      <c r="Q10" s="1"/>
      <c r="R10" s="1"/>
      <c r="S10" s="1"/>
      <c r="T10" s="1"/>
      <c r="U10" s="1"/>
      <c r="V10" s="1"/>
      <c r="W10" s="1"/>
      <c r="X10" s="1"/>
      <c r="Y10" s="1"/>
      <c r="Z10" s="1"/>
    </row>
    <row r="11">
      <c r="A11" s="1">
        <v>9.0</v>
      </c>
      <c r="B11" s="20" t="s">
        <v>46</v>
      </c>
      <c r="C11" s="1" t="s">
        <v>47</v>
      </c>
      <c r="D11" s="20" t="s">
        <v>48</v>
      </c>
      <c r="E11" s="16" t="s">
        <v>31</v>
      </c>
      <c r="F11" s="17" t="s">
        <v>21</v>
      </c>
      <c r="G11" s="18"/>
      <c r="H11" s="1"/>
      <c r="I11" s="19" t="s">
        <v>22</v>
      </c>
      <c r="J11" s="18" t="s">
        <v>22</v>
      </c>
      <c r="K11" s="1"/>
      <c r="L11" s="1"/>
      <c r="M11" s="1"/>
      <c r="N11" s="1"/>
      <c r="O11" s="1"/>
      <c r="P11" s="9"/>
      <c r="Q11" s="1"/>
      <c r="R11" s="1"/>
      <c r="S11" s="1"/>
      <c r="T11" s="1"/>
      <c r="U11" s="1"/>
      <c r="V11" s="1"/>
      <c r="W11" s="1"/>
      <c r="X11" s="1"/>
      <c r="Y11" s="1"/>
      <c r="Z11" s="1"/>
    </row>
    <row r="12">
      <c r="A12" s="1">
        <v>10.0</v>
      </c>
      <c r="B12" s="20" t="s">
        <v>49</v>
      </c>
      <c r="C12" s="1" t="s">
        <v>50</v>
      </c>
      <c r="D12" s="20" t="s">
        <v>51</v>
      </c>
      <c r="E12" s="16" t="s">
        <v>21</v>
      </c>
      <c r="F12" s="17" t="s">
        <v>20</v>
      </c>
      <c r="G12" s="18" t="s">
        <v>22</v>
      </c>
      <c r="H12" s="1"/>
      <c r="I12" s="19"/>
      <c r="J12" s="18"/>
      <c r="K12" s="1" t="s">
        <v>22</v>
      </c>
      <c r="L12" s="1"/>
      <c r="M12" s="1"/>
      <c r="N12" s="1"/>
      <c r="O12" s="1"/>
      <c r="P12" s="9"/>
      <c r="Q12" s="1"/>
      <c r="R12" s="1"/>
      <c r="S12" s="1"/>
      <c r="T12" s="1"/>
      <c r="U12" s="1"/>
      <c r="V12" s="1"/>
      <c r="W12" s="1"/>
      <c r="X12" s="1"/>
      <c r="Y12" s="1"/>
      <c r="Z12" s="1"/>
    </row>
    <row r="13">
      <c r="A13" s="1">
        <v>11.0</v>
      </c>
      <c r="B13" s="20" t="s">
        <v>52</v>
      </c>
      <c r="C13" s="1" t="s">
        <v>53</v>
      </c>
      <c r="D13" s="20" t="s">
        <v>54</v>
      </c>
      <c r="E13" s="16" t="s">
        <v>20</v>
      </c>
      <c r="F13" s="17" t="s">
        <v>21</v>
      </c>
      <c r="G13" s="18"/>
      <c r="H13" s="1" t="s">
        <v>22</v>
      </c>
      <c r="I13" s="19"/>
      <c r="J13" s="18"/>
      <c r="K13" s="1"/>
      <c r="L13" s="1"/>
      <c r="M13" s="1"/>
      <c r="N13" s="1" t="s">
        <v>22</v>
      </c>
      <c r="O13" s="1"/>
      <c r="P13" s="9"/>
      <c r="Q13" s="1"/>
      <c r="R13" s="1"/>
      <c r="S13" s="1"/>
      <c r="T13" s="1"/>
      <c r="U13" s="1"/>
      <c r="V13" s="1"/>
      <c r="W13" s="1"/>
      <c r="X13" s="1"/>
      <c r="Y13" s="1"/>
      <c r="Z13" s="1"/>
    </row>
    <row r="14">
      <c r="A14" s="1">
        <v>12.0</v>
      </c>
      <c r="B14" s="20" t="s">
        <v>55</v>
      </c>
      <c r="C14" s="1" t="s">
        <v>56</v>
      </c>
      <c r="D14" s="20" t="s">
        <v>57</v>
      </c>
      <c r="E14" s="16" t="s">
        <v>31</v>
      </c>
      <c r="F14" s="17" t="s">
        <v>21</v>
      </c>
      <c r="G14" s="18"/>
      <c r="H14" s="1" t="s">
        <v>22</v>
      </c>
      <c r="I14" s="19"/>
      <c r="J14" s="18"/>
      <c r="K14" s="1"/>
      <c r="L14" s="1"/>
      <c r="M14" s="1"/>
      <c r="N14" s="1"/>
      <c r="O14" s="1" t="s">
        <v>22</v>
      </c>
      <c r="P14" s="9"/>
      <c r="Q14" s="1"/>
      <c r="R14" s="1"/>
      <c r="S14" s="1"/>
      <c r="T14" s="1"/>
      <c r="U14" s="1"/>
      <c r="V14" s="1"/>
      <c r="W14" s="1"/>
      <c r="X14" s="1"/>
      <c r="Y14" s="1"/>
      <c r="Z14" s="1"/>
    </row>
    <row r="15">
      <c r="A15" s="1">
        <v>13.0</v>
      </c>
      <c r="B15" s="20" t="s">
        <v>58</v>
      </c>
      <c r="C15" s="1" t="s">
        <v>59</v>
      </c>
      <c r="D15" s="20" t="s">
        <v>60</v>
      </c>
      <c r="E15" s="16" t="s">
        <v>20</v>
      </c>
      <c r="F15" s="17" t="s">
        <v>21</v>
      </c>
      <c r="G15" s="18"/>
      <c r="H15" s="1"/>
      <c r="I15" s="19" t="s">
        <v>22</v>
      </c>
      <c r="J15" s="18"/>
      <c r="K15" s="1"/>
      <c r="L15" s="1"/>
      <c r="M15" s="1" t="s">
        <v>22</v>
      </c>
      <c r="N15" s="1"/>
      <c r="O15" s="1"/>
      <c r="P15" s="9" t="s">
        <v>61</v>
      </c>
      <c r="Q15" s="1"/>
      <c r="R15" s="1"/>
      <c r="S15" s="1"/>
      <c r="T15" s="1"/>
      <c r="U15" s="1"/>
      <c r="V15" s="1"/>
      <c r="W15" s="1"/>
      <c r="X15" s="1"/>
      <c r="Y15" s="1"/>
      <c r="Z15" s="1"/>
    </row>
    <row r="16">
      <c r="A16" s="1">
        <v>14.0</v>
      </c>
      <c r="B16" s="20" t="s">
        <v>62</v>
      </c>
      <c r="C16" s="1" t="s">
        <v>63</v>
      </c>
      <c r="D16" s="20" t="s">
        <v>64</v>
      </c>
      <c r="E16" s="16" t="s">
        <v>20</v>
      </c>
      <c r="F16" s="17" t="s">
        <v>26</v>
      </c>
      <c r="G16" s="18"/>
      <c r="H16" s="1" t="s">
        <v>22</v>
      </c>
      <c r="I16" s="19"/>
      <c r="J16" s="18"/>
      <c r="K16" s="1"/>
      <c r="L16" s="1"/>
      <c r="M16" s="1" t="s">
        <v>22</v>
      </c>
      <c r="N16" s="1"/>
      <c r="O16" s="1"/>
      <c r="P16" s="9" t="s">
        <v>65</v>
      </c>
      <c r="Q16" s="1"/>
      <c r="R16" s="1"/>
      <c r="S16" s="1"/>
      <c r="T16" s="1"/>
      <c r="U16" s="1"/>
      <c r="V16" s="1"/>
      <c r="W16" s="1"/>
      <c r="X16" s="1"/>
      <c r="Y16" s="1"/>
      <c r="Z16" s="1"/>
    </row>
    <row r="17">
      <c r="A17" s="1">
        <v>15.0</v>
      </c>
      <c r="B17" s="20" t="s">
        <v>66</v>
      </c>
      <c r="C17" s="1" t="s">
        <v>67</v>
      </c>
      <c r="D17" s="20" t="s">
        <v>42</v>
      </c>
      <c r="E17" s="16" t="s">
        <v>21</v>
      </c>
      <c r="F17" s="17" t="s">
        <v>20</v>
      </c>
      <c r="G17" s="18"/>
      <c r="H17" s="1"/>
      <c r="I17" s="19"/>
      <c r="J17" s="18"/>
      <c r="K17" s="1" t="s">
        <v>22</v>
      </c>
      <c r="L17" s="1"/>
      <c r="M17" s="1"/>
      <c r="N17" s="1"/>
      <c r="O17" s="1"/>
      <c r="P17" s="9"/>
      <c r="Q17" s="1"/>
      <c r="R17" s="1"/>
      <c r="S17" s="1"/>
      <c r="T17" s="1"/>
      <c r="U17" s="1"/>
      <c r="V17" s="1"/>
      <c r="W17" s="1"/>
      <c r="X17" s="1"/>
      <c r="Y17" s="1"/>
      <c r="Z17" s="1"/>
    </row>
    <row r="18">
      <c r="A18" s="1">
        <v>16.0</v>
      </c>
      <c r="B18" s="20" t="s">
        <v>68</v>
      </c>
      <c r="C18" s="1" t="s">
        <v>69</v>
      </c>
      <c r="D18" s="20" t="s">
        <v>70</v>
      </c>
      <c r="E18" s="16" t="s">
        <v>20</v>
      </c>
      <c r="F18" s="17" t="s">
        <v>21</v>
      </c>
      <c r="G18" s="18" t="s">
        <v>22</v>
      </c>
      <c r="H18" s="1"/>
      <c r="I18" s="19"/>
      <c r="J18" s="18"/>
      <c r="K18" s="1"/>
      <c r="L18" s="1"/>
      <c r="M18" s="1"/>
      <c r="N18" s="1"/>
      <c r="O18" s="1"/>
      <c r="P18" s="9" t="s">
        <v>71</v>
      </c>
      <c r="Q18" s="1"/>
      <c r="R18" s="1"/>
      <c r="S18" s="1"/>
      <c r="T18" s="1"/>
      <c r="U18" s="1"/>
      <c r="V18" s="1"/>
      <c r="W18" s="1"/>
      <c r="X18" s="1"/>
      <c r="Y18" s="1"/>
      <c r="Z18" s="1"/>
    </row>
    <row r="19">
      <c r="A19" s="1">
        <v>17.0</v>
      </c>
      <c r="B19" s="20" t="s">
        <v>72</v>
      </c>
      <c r="C19" s="21" t="s">
        <v>73</v>
      </c>
      <c r="D19" s="20" t="s">
        <v>74</v>
      </c>
      <c r="E19" s="16" t="s">
        <v>20</v>
      </c>
      <c r="F19" s="17" t="s">
        <v>21</v>
      </c>
      <c r="G19" s="18"/>
      <c r="H19" s="1" t="s">
        <v>22</v>
      </c>
      <c r="I19" s="19"/>
      <c r="J19" s="18"/>
      <c r="K19" s="1"/>
      <c r="L19" s="1"/>
      <c r="M19" s="1"/>
      <c r="N19" s="1" t="s">
        <v>22</v>
      </c>
      <c r="O19" s="1"/>
      <c r="P19" s="9"/>
      <c r="Q19" s="1"/>
      <c r="R19" s="1"/>
      <c r="S19" s="1"/>
      <c r="T19" s="1"/>
      <c r="U19" s="1"/>
      <c r="V19" s="1"/>
      <c r="W19" s="1"/>
      <c r="X19" s="1"/>
      <c r="Y19" s="1"/>
      <c r="Z19" s="1"/>
    </row>
    <row r="20">
      <c r="A20" s="1">
        <v>18.0</v>
      </c>
      <c r="B20" s="22" t="s">
        <v>75</v>
      </c>
      <c r="C20" s="21" t="s">
        <v>76</v>
      </c>
      <c r="D20" s="20" t="s">
        <v>77</v>
      </c>
      <c r="E20" s="16" t="s">
        <v>21</v>
      </c>
      <c r="F20" s="17" t="s">
        <v>20</v>
      </c>
      <c r="G20" s="18"/>
      <c r="H20" s="1"/>
      <c r="I20" s="19"/>
      <c r="J20" s="18"/>
      <c r="K20" s="1" t="s">
        <v>22</v>
      </c>
      <c r="L20" s="1"/>
      <c r="M20" s="1"/>
      <c r="N20" s="1"/>
      <c r="O20" s="1"/>
      <c r="P20" s="9"/>
      <c r="Q20" s="1"/>
      <c r="R20" s="1"/>
      <c r="S20" s="1"/>
      <c r="T20" s="1"/>
      <c r="U20" s="1"/>
      <c r="V20" s="1"/>
      <c r="W20" s="1"/>
      <c r="X20" s="1"/>
      <c r="Y20" s="1"/>
      <c r="Z20" s="1"/>
    </row>
    <row r="21">
      <c r="A21" s="1">
        <v>19.0</v>
      </c>
      <c r="B21" s="20" t="s">
        <v>78</v>
      </c>
      <c r="C21" s="21" t="s">
        <v>79</v>
      </c>
      <c r="D21" s="20" t="s">
        <v>80</v>
      </c>
      <c r="E21" s="16" t="s">
        <v>20</v>
      </c>
      <c r="F21" s="17" t="s">
        <v>21</v>
      </c>
      <c r="G21" s="18"/>
      <c r="H21" s="1" t="s">
        <v>22</v>
      </c>
      <c r="I21" s="19"/>
      <c r="J21" s="18"/>
      <c r="K21" s="1"/>
      <c r="L21" s="1"/>
      <c r="M21" s="1"/>
      <c r="N21" s="1" t="s">
        <v>22</v>
      </c>
      <c r="O21" s="1"/>
      <c r="P21" s="9"/>
      <c r="Q21" s="1"/>
      <c r="R21" s="1"/>
      <c r="S21" s="1"/>
      <c r="T21" s="1"/>
      <c r="U21" s="1"/>
      <c r="V21" s="1"/>
      <c r="W21" s="1"/>
      <c r="X21" s="1"/>
      <c r="Y21" s="1"/>
      <c r="Z21" s="1"/>
    </row>
    <row r="22">
      <c r="A22" s="1">
        <v>20.0</v>
      </c>
      <c r="B22" s="20" t="s">
        <v>81</v>
      </c>
      <c r="C22" s="21" t="s">
        <v>82</v>
      </c>
      <c r="D22" s="20" t="s">
        <v>80</v>
      </c>
      <c r="E22" s="16" t="s">
        <v>31</v>
      </c>
      <c r="F22" s="17" t="s">
        <v>21</v>
      </c>
      <c r="G22" s="18"/>
      <c r="H22" s="1" t="s">
        <v>22</v>
      </c>
      <c r="I22" s="19"/>
      <c r="J22" s="18"/>
      <c r="K22" s="1"/>
      <c r="L22" s="1"/>
      <c r="M22" s="1"/>
      <c r="N22" s="1"/>
      <c r="O22" s="1" t="s">
        <v>22</v>
      </c>
      <c r="P22" s="9"/>
      <c r="Q22" s="1"/>
      <c r="R22" s="1"/>
      <c r="S22" s="1"/>
      <c r="T22" s="1"/>
      <c r="U22" s="1"/>
      <c r="V22" s="1"/>
      <c r="W22" s="1"/>
      <c r="X22" s="1"/>
      <c r="Y22" s="1"/>
      <c r="Z22" s="1"/>
    </row>
    <row r="23">
      <c r="A23" s="1">
        <v>21.0</v>
      </c>
      <c r="B23" s="20" t="s">
        <v>83</v>
      </c>
      <c r="C23" s="21" t="s">
        <v>84</v>
      </c>
      <c r="D23" s="20" t="s">
        <v>85</v>
      </c>
      <c r="E23" s="16" t="s">
        <v>20</v>
      </c>
      <c r="F23" s="17" t="s">
        <v>21</v>
      </c>
      <c r="G23" s="18"/>
      <c r="H23" s="1" t="s">
        <v>22</v>
      </c>
      <c r="I23" s="19"/>
      <c r="J23" s="18"/>
      <c r="K23" s="1"/>
      <c r="L23" s="1"/>
      <c r="M23" s="1"/>
      <c r="N23" s="1" t="s">
        <v>22</v>
      </c>
      <c r="O23" s="1"/>
      <c r="P23" s="9"/>
      <c r="Q23" s="1"/>
      <c r="R23" s="1"/>
      <c r="S23" s="1"/>
      <c r="T23" s="1"/>
      <c r="U23" s="1"/>
      <c r="V23" s="1"/>
      <c r="W23" s="1"/>
      <c r="X23" s="1"/>
      <c r="Y23" s="1"/>
      <c r="Z23" s="1"/>
    </row>
    <row r="24">
      <c r="A24" s="1">
        <v>22.0</v>
      </c>
      <c r="B24" s="20" t="s">
        <v>86</v>
      </c>
      <c r="C24" s="21" t="s">
        <v>87</v>
      </c>
      <c r="D24" s="20" t="s">
        <v>88</v>
      </c>
      <c r="E24" s="16" t="s">
        <v>21</v>
      </c>
      <c r="F24" s="17" t="s">
        <v>31</v>
      </c>
      <c r="G24" s="18" t="s">
        <v>22</v>
      </c>
      <c r="H24" s="1"/>
      <c r="I24" s="19"/>
      <c r="J24" s="18"/>
      <c r="K24" s="1"/>
      <c r="L24" s="1"/>
      <c r="M24" s="1"/>
      <c r="N24" s="1"/>
      <c r="O24" s="1"/>
      <c r="P24" s="9" t="s">
        <v>89</v>
      </c>
      <c r="Q24" s="1"/>
      <c r="R24" s="1"/>
      <c r="S24" s="1"/>
      <c r="T24" s="1"/>
      <c r="U24" s="1"/>
      <c r="V24" s="1"/>
      <c r="W24" s="1"/>
      <c r="X24" s="1"/>
      <c r="Y24" s="1"/>
      <c r="Z24" s="1"/>
    </row>
    <row r="25">
      <c r="A25" s="1">
        <v>23.0</v>
      </c>
      <c r="B25" s="20" t="s">
        <v>90</v>
      </c>
      <c r="C25" s="21" t="s">
        <v>91</v>
      </c>
      <c r="D25" s="20" t="s">
        <v>92</v>
      </c>
      <c r="E25" s="16" t="s">
        <v>31</v>
      </c>
      <c r="F25" s="17" t="s">
        <v>21</v>
      </c>
      <c r="G25" s="18"/>
      <c r="H25" s="1" t="s">
        <v>22</v>
      </c>
      <c r="I25" s="19"/>
      <c r="J25" s="18"/>
      <c r="K25" s="1"/>
      <c r="L25" s="1"/>
      <c r="M25" s="1"/>
      <c r="N25" s="1"/>
      <c r="O25" s="1" t="s">
        <v>22</v>
      </c>
      <c r="P25" s="9"/>
      <c r="Q25" s="1"/>
      <c r="R25" s="1"/>
      <c r="S25" s="1"/>
      <c r="T25" s="1"/>
      <c r="U25" s="1"/>
      <c r="V25" s="1"/>
      <c r="W25" s="1"/>
      <c r="X25" s="1"/>
      <c r="Y25" s="1"/>
      <c r="Z25" s="1"/>
    </row>
    <row r="26">
      <c r="A26" s="1">
        <v>24.0</v>
      </c>
      <c r="B26" s="20" t="s">
        <v>93</v>
      </c>
      <c r="C26" s="21" t="s">
        <v>94</v>
      </c>
      <c r="D26" s="20" t="s">
        <v>95</v>
      </c>
      <c r="E26" s="16" t="s">
        <v>21</v>
      </c>
      <c r="F26" s="17" t="s">
        <v>20</v>
      </c>
      <c r="G26" s="18"/>
      <c r="H26" s="1" t="s">
        <v>22</v>
      </c>
      <c r="I26" s="19"/>
      <c r="J26" s="18"/>
      <c r="K26" s="1"/>
      <c r="L26" s="1"/>
      <c r="M26" s="1"/>
      <c r="N26" s="1"/>
      <c r="O26" s="1"/>
      <c r="P26" s="9" t="s">
        <v>96</v>
      </c>
      <c r="Q26" s="1"/>
      <c r="R26" s="1"/>
      <c r="S26" s="1"/>
      <c r="T26" s="1"/>
      <c r="U26" s="1"/>
      <c r="V26" s="1"/>
      <c r="W26" s="1"/>
      <c r="X26" s="1"/>
      <c r="Y26" s="1"/>
      <c r="Z26" s="1"/>
    </row>
    <row r="27">
      <c r="A27" s="1">
        <v>25.0</v>
      </c>
      <c r="B27" s="20" t="s">
        <v>97</v>
      </c>
      <c r="C27" s="21" t="s">
        <v>98</v>
      </c>
      <c r="D27" s="20" t="s">
        <v>99</v>
      </c>
      <c r="E27" s="16" t="s">
        <v>20</v>
      </c>
      <c r="F27" s="17" t="s">
        <v>21</v>
      </c>
      <c r="G27" s="18"/>
      <c r="H27" s="1"/>
      <c r="I27" s="19" t="s">
        <v>22</v>
      </c>
      <c r="J27" s="18"/>
      <c r="K27" s="1"/>
      <c r="L27" s="1"/>
      <c r="M27" s="1"/>
      <c r="N27" s="1"/>
      <c r="O27" s="1"/>
      <c r="P27" s="9" t="s">
        <v>100</v>
      </c>
      <c r="Q27" s="1"/>
      <c r="R27" s="1"/>
      <c r="S27" s="1"/>
      <c r="T27" s="1"/>
      <c r="U27" s="1"/>
      <c r="V27" s="1"/>
      <c r="W27" s="1"/>
      <c r="X27" s="1"/>
      <c r="Y27" s="1"/>
      <c r="Z27" s="1"/>
    </row>
    <row r="28">
      <c r="A28" s="1">
        <v>27.0</v>
      </c>
      <c r="B28" s="20" t="s">
        <v>101</v>
      </c>
      <c r="C28" s="21" t="s">
        <v>102</v>
      </c>
      <c r="D28" s="20" t="s">
        <v>103</v>
      </c>
      <c r="E28" s="16" t="s">
        <v>20</v>
      </c>
      <c r="F28" s="17" t="s">
        <v>21</v>
      </c>
      <c r="G28" s="18"/>
      <c r="H28" s="1" t="s">
        <v>22</v>
      </c>
      <c r="I28" s="19"/>
      <c r="J28" s="18"/>
      <c r="K28" s="1"/>
      <c r="L28" s="1"/>
      <c r="M28" s="1"/>
      <c r="N28" s="1"/>
      <c r="O28" s="1"/>
      <c r="P28" s="9" t="s">
        <v>104</v>
      </c>
      <c r="Q28" s="1"/>
      <c r="R28" s="1"/>
      <c r="S28" s="1"/>
      <c r="T28" s="1"/>
      <c r="U28" s="1"/>
      <c r="V28" s="1"/>
      <c r="W28" s="1"/>
      <c r="X28" s="1"/>
      <c r="Y28" s="1"/>
      <c r="Z28" s="1"/>
    </row>
    <row r="29">
      <c r="A29" s="1">
        <v>28.0</v>
      </c>
      <c r="B29" s="20" t="s">
        <v>105</v>
      </c>
      <c r="C29" s="21" t="s">
        <v>106</v>
      </c>
      <c r="D29" s="20" t="s">
        <v>107</v>
      </c>
      <c r="E29" s="16" t="s">
        <v>31</v>
      </c>
      <c r="F29" s="17" t="s">
        <v>21</v>
      </c>
      <c r="G29" s="18"/>
      <c r="H29" s="1" t="s">
        <v>22</v>
      </c>
      <c r="I29" s="19"/>
      <c r="J29" s="18"/>
      <c r="K29" s="1"/>
      <c r="L29" s="1"/>
      <c r="M29" s="1"/>
      <c r="N29" s="1"/>
      <c r="O29" s="1" t="s">
        <v>22</v>
      </c>
      <c r="P29" s="9"/>
      <c r="Q29" s="1"/>
      <c r="R29" s="1"/>
      <c r="S29" s="1"/>
      <c r="T29" s="1"/>
      <c r="U29" s="1"/>
      <c r="V29" s="1"/>
      <c r="W29" s="1"/>
      <c r="X29" s="1"/>
      <c r="Y29" s="1"/>
      <c r="Z29" s="1"/>
    </row>
    <row r="30">
      <c r="A30" s="1">
        <v>29.0</v>
      </c>
      <c r="B30" s="20" t="s">
        <v>108</v>
      </c>
      <c r="C30" s="21" t="s">
        <v>109</v>
      </c>
      <c r="D30" s="20" t="s">
        <v>110</v>
      </c>
      <c r="E30" s="16" t="s">
        <v>20</v>
      </c>
      <c r="F30" s="17" t="s">
        <v>26</v>
      </c>
      <c r="G30" s="18"/>
      <c r="H30" s="1" t="s">
        <v>22</v>
      </c>
      <c r="I30" s="19"/>
      <c r="J30" s="18"/>
      <c r="K30" s="1"/>
      <c r="L30" s="1"/>
      <c r="M30" s="1" t="s">
        <v>22</v>
      </c>
      <c r="N30" s="1"/>
      <c r="O30" s="1"/>
      <c r="P30" s="9" t="s">
        <v>111</v>
      </c>
      <c r="Q30" s="1"/>
      <c r="R30" s="1"/>
      <c r="S30" s="1"/>
      <c r="T30" s="1"/>
      <c r="U30" s="1"/>
      <c r="V30" s="1"/>
      <c r="W30" s="1"/>
      <c r="X30" s="1"/>
      <c r="Y30" s="1"/>
      <c r="Z30" s="1"/>
    </row>
    <row r="31">
      <c r="A31" s="1">
        <v>30.0</v>
      </c>
      <c r="B31" s="20" t="s">
        <v>112</v>
      </c>
      <c r="C31" s="21" t="s">
        <v>113</v>
      </c>
      <c r="D31" s="20" t="s">
        <v>114</v>
      </c>
      <c r="E31" s="16" t="s">
        <v>21</v>
      </c>
      <c r="F31" s="17" t="s">
        <v>20</v>
      </c>
      <c r="G31" s="18" t="s">
        <v>22</v>
      </c>
      <c r="H31" s="1"/>
      <c r="I31" s="19"/>
      <c r="J31" s="18"/>
      <c r="K31" s="1" t="s">
        <v>22</v>
      </c>
      <c r="L31" s="1"/>
      <c r="M31" s="1"/>
      <c r="N31" s="1"/>
      <c r="O31" s="1"/>
      <c r="P31" s="9"/>
      <c r="Q31" s="1"/>
      <c r="R31" s="1"/>
      <c r="S31" s="1"/>
      <c r="T31" s="1"/>
      <c r="U31" s="1"/>
      <c r="V31" s="1"/>
      <c r="W31" s="1"/>
      <c r="X31" s="1"/>
      <c r="Y31" s="1"/>
      <c r="Z31" s="1"/>
    </row>
    <row r="32">
      <c r="A32" s="1">
        <v>31.0</v>
      </c>
      <c r="B32" s="20" t="s">
        <v>115</v>
      </c>
      <c r="C32" s="21" t="s">
        <v>116</v>
      </c>
      <c r="D32" s="20" t="s">
        <v>117</v>
      </c>
      <c r="E32" s="16" t="s">
        <v>31</v>
      </c>
      <c r="F32" s="17" t="s">
        <v>21</v>
      </c>
      <c r="G32" s="18"/>
      <c r="H32" s="1" t="s">
        <v>22</v>
      </c>
      <c r="I32" s="19"/>
      <c r="J32" s="18"/>
      <c r="K32" s="1"/>
      <c r="L32" s="1"/>
      <c r="M32" s="1"/>
      <c r="N32" s="1"/>
      <c r="O32" s="1" t="s">
        <v>22</v>
      </c>
      <c r="P32" s="9"/>
      <c r="Q32" s="1"/>
      <c r="R32" s="1"/>
      <c r="S32" s="1"/>
      <c r="T32" s="1"/>
      <c r="U32" s="1"/>
      <c r="V32" s="1"/>
      <c r="W32" s="1"/>
      <c r="X32" s="1"/>
      <c r="Y32" s="1"/>
      <c r="Z32" s="1"/>
    </row>
    <row r="33">
      <c r="A33" s="1">
        <v>33.0</v>
      </c>
      <c r="B33" s="20" t="s">
        <v>118</v>
      </c>
      <c r="C33" s="21" t="s">
        <v>119</v>
      </c>
      <c r="D33" s="20" t="s">
        <v>120</v>
      </c>
      <c r="E33" s="16" t="s">
        <v>21</v>
      </c>
      <c r="F33" s="17" t="s">
        <v>20</v>
      </c>
      <c r="G33" s="18" t="s">
        <v>22</v>
      </c>
      <c r="H33" s="1"/>
      <c r="I33" s="19"/>
      <c r="J33" s="18"/>
      <c r="K33" s="1" t="s">
        <v>22</v>
      </c>
      <c r="L33" s="1"/>
      <c r="M33" s="1"/>
      <c r="N33" s="1"/>
      <c r="O33" s="1"/>
      <c r="P33" s="9"/>
      <c r="Q33" s="1"/>
      <c r="R33" s="1"/>
      <c r="S33" s="1"/>
      <c r="T33" s="1"/>
      <c r="U33" s="1"/>
      <c r="V33" s="1"/>
      <c r="W33" s="1"/>
      <c r="X33" s="1"/>
      <c r="Y33" s="1"/>
      <c r="Z33" s="1"/>
    </row>
    <row r="34">
      <c r="A34" s="1">
        <v>34.0</v>
      </c>
      <c r="B34" s="20" t="s">
        <v>121</v>
      </c>
      <c r="C34" s="21" t="s">
        <v>122</v>
      </c>
      <c r="D34" s="20" t="s">
        <v>123</v>
      </c>
      <c r="E34" s="16" t="s">
        <v>20</v>
      </c>
      <c r="F34" s="17" t="s">
        <v>21</v>
      </c>
      <c r="G34" s="18"/>
      <c r="H34" s="1"/>
      <c r="I34" s="19" t="s">
        <v>22</v>
      </c>
      <c r="J34" s="18"/>
      <c r="K34" s="1"/>
      <c r="L34" s="1"/>
      <c r="M34" s="1"/>
      <c r="N34" s="1"/>
      <c r="O34" s="1"/>
      <c r="P34" s="9" t="s">
        <v>124</v>
      </c>
      <c r="Q34" s="1"/>
      <c r="R34" s="1"/>
      <c r="S34" s="1"/>
      <c r="T34" s="1"/>
      <c r="U34" s="1"/>
      <c r="V34" s="1"/>
      <c r="W34" s="1"/>
      <c r="X34" s="1"/>
      <c r="Y34" s="1"/>
      <c r="Z34" s="1"/>
    </row>
    <row r="35">
      <c r="A35" s="1">
        <v>36.0</v>
      </c>
      <c r="B35" s="20" t="s">
        <v>125</v>
      </c>
      <c r="C35" s="21" t="s">
        <v>126</v>
      </c>
      <c r="D35" s="20" t="s">
        <v>127</v>
      </c>
      <c r="E35" s="16" t="s">
        <v>21</v>
      </c>
      <c r="F35" s="17" t="s">
        <v>20</v>
      </c>
      <c r="G35" s="18" t="s">
        <v>22</v>
      </c>
      <c r="H35" s="1"/>
      <c r="I35" s="19"/>
      <c r="J35" s="18"/>
      <c r="K35" s="1" t="s">
        <v>22</v>
      </c>
      <c r="L35" s="1"/>
      <c r="M35" s="1"/>
      <c r="N35" s="1"/>
      <c r="O35" s="1"/>
      <c r="P35" s="9"/>
      <c r="Q35" s="1"/>
      <c r="R35" s="1"/>
      <c r="S35" s="1"/>
      <c r="T35" s="1"/>
      <c r="U35" s="1"/>
      <c r="V35" s="1"/>
      <c r="W35" s="1"/>
      <c r="X35" s="1"/>
      <c r="Y35" s="1"/>
      <c r="Z35" s="1"/>
    </row>
    <row r="36">
      <c r="A36" s="1">
        <v>37.0</v>
      </c>
      <c r="B36" s="20" t="s">
        <v>128</v>
      </c>
      <c r="C36" s="21" t="s">
        <v>129</v>
      </c>
      <c r="D36" s="20" t="s">
        <v>64</v>
      </c>
      <c r="E36" s="16" t="s">
        <v>21</v>
      </c>
      <c r="F36" s="17" t="s">
        <v>20</v>
      </c>
      <c r="G36" s="18" t="s">
        <v>22</v>
      </c>
      <c r="H36" s="1"/>
      <c r="I36" s="19"/>
      <c r="J36" s="18"/>
      <c r="K36" s="1" t="s">
        <v>22</v>
      </c>
      <c r="L36" s="1"/>
      <c r="M36" s="1"/>
      <c r="N36" s="1"/>
      <c r="O36" s="1"/>
      <c r="P36" s="9"/>
      <c r="Q36" s="1"/>
      <c r="R36" s="1"/>
      <c r="S36" s="1"/>
      <c r="T36" s="1"/>
      <c r="U36" s="1"/>
      <c r="V36" s="1"/>
      <c r="W36" s="1"/>
      <c r="X36" s="1"/>
      <c r="Y36" s="1"/>
      <c r="Z36" s="1"/>
    </row>
    <row r="37">
      <c r="A37" s="1">
        <v>38.0</v>
      </c>
      <c r="B37" s="20" t="s">
        <v>130</v>
      </c>
      <c r="C37" s="21" t="s">
        <v>131</v>
      </c>
      <c r="D37" s="20" t="s">
        <v>132</v>
      </c>
      <c r="E37" s="16" t="s">
        <v>21</v>
      </c>
      <c r="F37" s="17" t="s">
        <v>20</v>
      </c>
      <c r="G37" s="18" t="s">
        <v>22</v>
      </c>
      <c r="H37" s="1"/>
      <c r="I37" s="19"/>
      <c r="J37" s="18"/>
      <c r="K37" s="1" t="s">
        <v>22</v>
      </c>
      <c r="L37" s="1"/>
      <c r="M37" s="1"/>
      <c r="N37" s="1"/>
      <c r="O37" s="1"/>
      <c r="P37" s="9"/>
      <c r="Q37" s="1"/>
      <c r="R37" s="1"/>
      <c r="S37" s="1"/>
      <c r="T37" s="1"/>
      <c r="U37" s="1"/>
      <c r="V37" s="1"/>
      <c r="W37" s="1"/>
      <c r="X37" s="1"/>
      <c r="Y37" s="1"/>
      <c r="Z37" s="1"/>
    </row>
    <row r="38">
      <c r="A38" s="1">
        <v>40.0</v>
      </c>
      <c r="B38" s="20" t="s">
        <v>133</v>
      </c>
      <c r="C38" s="21" t="s">
        <v>98</v>
      </c>
      <c r="D38" s="20" t="s">
        <v>134</v>
      </c>
      <c r="E38" s="16" t="s">
        <v>31</v>
      </c>
      <c r="F38" s="17" t="s">
        <v>21</v>
      </c>
      <c r="G38" s="18"/>
      <c r="H38" s="1" t="s">
        <v>22</v>
      </c>
      <c r="I38" s="19"/>
      <c r="J38" s="18"/>
      <c r="K38" s="1"/>
      <c r="L38" s="1"/>
      <c r="M38" s="1"/>
      <c r="N38" s="1"/>
      <c r="O38" s="1" t="s">
        <v>22</v>
      </c>
      <c r="P38" s="9"/>
      <c r="Q38" s="1"/>
      <c r="R38" s="1"/>
      <c r="S38" s="1"/>
      <c r="T38" s="1"/>
      <c r="U38" s="1"/>
      <c r="V38" s="1"/>
      <c r="W38" s="1"/>
      <c r="X38" s="1"/>
      <c r="Y38" s="1"/>
      <c r="Z38" s="1"/>
    </row>
    <row r="39">
      <c r="A39" s="1">
        <v>41.0</v>
      </c>
      <c r="B39" s="20" t="s">
        <v>135</v>
      </c>
      <c r="C39" s="21" t="s">
        <v>136</v>
      </c>
      <c r="D39" s="20" t="s">
        <v>137</v>
      </c>
      <c r="E39" s="16" t="s">
        <v>21</v>
      </c>
      <c r="F39" s="17" t="s">
        <v>31</v>
      </c>
      <c r="G39" s="18"/>
      <c r="H39" s="1"/>
      <c r="I39" s="19" t="s">
        <v>22</v>
      </c>
      <c r="J39" s="18"/>
      <c r="K39" s="1"/>
      <c r="L39" s="1" t="s">
        <v>22</v>
      </c>
      <c r="M39" s="1"/>
      <c r="N39" s="1"/>
      <c r="O39" s="1"/>
      <c r="P39" s="9" t="s">
        <v>138</v>
      </c>
      <c r="Q39" s="1"/>
      <c r="R39" s="1"/>
      <c r="S39" s="1"/>
      <c r="T39" s="1"/>
      <c r="U39" s="1"/>
      <c r="V39" s="1"/>
      <c r="W39" s="1"/>
      <c r="X39" s="1"/>
      <c r="Y39" s="1"/>
      <c r="Z39" s="1"/>
    </row>
    <row r="40">
      <c r="A40" s="1">
        <v>42.0</v>
      </c>
      <c r="B40" s="20" t="s">
        <v>139</v>
      </c>
      <c r="C40" s="21" t="s">
        <v>140</v>
      </c>
      <c r="D40" s="20" t="s">
        <v>141</v>
      </c>
      <c r="E40" s="16" t="s">
        <v>31</v>
      </c>
      <c r="F40" s="17" t="s">
        <v>21</v>
      </c>
      <c r="G40" s="18"/>
      <c r="H40" s="1" t="s">
        <v>22</v>
      </c>
      <c r="I40" s="19"/>
      <c r="J40" s="18"/>
      <c r="K40" s="1"/>
      <c r="L40" s="1"/>
      <c r="M40" s="1"/>
      <c r="N40" s="1"/>
      <c r="O40" s="1"/>
      <c r="P40" s="9" t="s">
        <v>142</v>
      </c>
      <c r="Q40" s="1"/>
      <c r="R40" s="1"/>
      <c r="S40" s="1"/>
      <c r="T40" s="1"/>
      <c r="U40" s="1"/>
      <c r="V40" s="1"/>
      <c r="W40" s="1"/>
      <c r="X40" s="1"/>
      <c r="Y40" s="1"/>
      <c r="Z40" s="1"/>
    </row>
    <row r="41">
      <c r="A41" s="1">
        <v>43.0</v>
      </c>
      <c r="B41" s="20" t="s">
        <v>143</v>
      </c>
      <c r="C41" s="21" t="s">
        <v>144</v>
      </c>
      <c r="D41" s="20" t="s">
        <v>145</v>
      </c>
      <c r="E41" s="16" t="s">
        <v>20</v>
      </c>
      <c r="F41" s="17" t="s">
        <v>21</v>
      </c>
      <c r="G41" s="18"/>
      <c r="H41" s="1"/>
      <c r="I41" s="19" t="s">
        <v>22</v>
      </c>
      <c r="J41" s="18" t="s">
        <v>22</v>
      </c>
      <c r="K41" s="1"/>
      <c r="L41" s="1"/>
      <c r="M41" s="1"/>
      <c r="N41" s="1"/>
      <c r="O41" s="1"/>
      <c r="P41" s="9"/>
      <c r="Q41" s="1"/>
      <c r="R41" s="1"/>
      <c r="S41" s="1"/>
      <c r="T41" s="1"/>
      <c r="U41" s="1"/>
      <c r="V41" s="1"/>
      <c r="W41" s="1"/>
      <c r="X41" s="1"/>
      <c r="Y41" s="1"/>
      <c r="Z41" s="1"/>
    </row>
    <row r="42">
      <c r="A42" s="1">
        <v>44.0</v>
      </c>
      <c r="B42" s="20" t="s">
        <v>146</v>
      </c>
      <c r="C42" s="21" t="s">
        <v>147</v>
      </c>
      <c r="D42" s="20" t="s">
        <v>148</v>
      </c>
      <c r="E42" s="16" t="s">
        <v>21</v>
      </c>
      <c r="F42" s="17" t="s">
        <v>20</v>
      </c>
      <c r="G42" s="18" t="s">
        <v>22</v>
      </c>
      <c r="H42" s="1"/>
      <c r="I42" s="19"/>
      <c r="J42" s="18"/>
      <c r="K42" s="1" t="s">
        <v>22</v>
      </c>
      <c r="L42" s="1"/>
      <c r="M42" s="1"/>
      <c r="N42" s="1"/>
      <c r="O42" s="1"/>
      <c r="P42" s="9"/>
      <c r="Q42" s="1"/>
      <c r="R42" s="1"/>
      <c r="S42" s="1"/>
      <c r="T42" s="1"/>
      <c r="U42" s="1"/>
      <c r="V42" s="1"/>
      <c r="W42" s="1"/>
      <c r="X42" s="1"/>
      <c r="Y42" s="1"/>
      <c r="Z42" s="1"/>
    </row>
    <row r="43">
      <c r="A43" s="1">
        <v>45.0</v>
      </c>
      <c r="B43" s="20" t="s">
        <v>149</v>
      </c>
      <c r="C43" s="21" t="s">
        <v>150</v>
      </c>
      <c r="D43" s="20" t="s">
        <v>151</v>
      </c>
      <c r="E43" s="16" t="s">
        <v>20</v>
      </c>
      <c r="F43" s="17" t="s">
        <v>21</v>
      </c>
      <c r="G43" s="18"/>
      <c r="H43" s="1"/>
      <c r="I43" s="19" t="s">
        <v>22</v>
      </c>
      <c r="J43" s="18"/>
      <c r="K43" s="1"/>
      <c r="L43" s="1"/>
      <c r="M43" s="1"/>
      <c r="N43" s="1"/>
      <c r="O43" s="1"/>
      <c r="P43" s="9" t="s">
        <v>152</v>
      </c>
      <c r="Q43" s="1"/>
      <c r="R43" s="1"/>
      <c r="S43" s="1"/>
      <c r="T43" s="1"/>
      <c r="U43" s="1"/>
      <c r="V43" s="1"/>
      <c r="W43" s="1"/>
      <c r="X43" s="1"/>
      <c r="Y43" s="1"/>
      <c r="Z43" s="1"/>
    </row>
    <row r="44">
      <c r="A44" s="1">
        <v>46.0</v>
      </c>
      <c r="B44" s="20" t="s">
        <v>153</v>
      </c>
      <c r="C44" s="21" t="s">
        <v>154</v>
      </c>
      <c r="D44" s="20" t="s">
        <v>42</v>
      </c>
      <c r="E44" s="16" t="s">
        <v>21</v>
      </c>
      <c r="F44" s="17" t="s">
        <v>20</v>
      </c>
      <c r="G44" s="18" t="s">
        <v>22</v>
      </c>
      <c r="H44" s="1"/>
      <c r="I44" s="19"/>
      <c r="J44" s="18"/>
      <c r="K44" s="1" t="s">
        <v>22</v>
      </c>
      <c r="L44" s="1"/>
      <c r="M44" s="1"/>
      <c r="N44" s="1"/>
      <c r="O44" s="1"/>
      <c r="P44" s="9"/>
      <c r="Q44" s="1"/>
      <c r="R44" s="1"/>
      <c r="S44" s="1"/>
      <c r="T44" s="1"/>
      <c r="U44" s="1"/>
      <c r="V44" s="1"/>
      <c r="W44" s="1"/>
      <c r="X44" s="1"/>
      <c r="Y44" s="1"/>
      <c r="Z44" s="1"/>
    </row>
    <row r="45">
      <c r="A45" s="1">
        <v>47.0</v>
      </c>
      <c r="B45" s="20" t="s">
        <v>155</v>
      </c>
      <c r="C45" s="21" t="s">
        <v>156</v>
      </c>
      <c r="D45" s="20" t="s">
        <v>157</v>
      </c>
      <c r="E45" s="16" t="s">
        <v>21</v>
      </c>
      <c r="F45" s="17" t="s">
        <v>20</v>
      </c>
      <c r="G45" s="18" t="s">
        <v>22</v>
      </c>
      <c r="H45" s="1"/>
      <c r="I45" s="19"/>
      <c r="J45" s="18"/>
      <c r="K45" s="1" t="s">
        <v>22</v>
      </c>
      <c r="L45" s="1"/>
      <c r="M45" s="1"/>
      <c r="N45" s="1"/>
      <c r="O45" s="1"/>
      <c r="P45" s="9"/>
      <c r="Q45" s="1"/>
      <c r="R45" s="1"/>
      <c r="S45" s="1"/>
      <c r="T45" s="1"/>
      <c r="U45" s="1"/>
      <c r="V45" s="1"/>
      <c r="W45" s="1"/>
      <c r="X45" s="1"/>
      <c r="Y45" s="1"/>
      <c r="Z45" s="1"/>
    </row>
    <row r="46">
      <c r="A46" s="1">
        <v>48.0</v>
      </c>
      <c r="B46" s="20" t="s">
        <v>158</v>
      </c>
      <c r="C46" s="21" t="s">
        <v>159</v>
      </c>
      <c r="D46" s="20" t="s">
        <v>160</v>
      </c>
      <c r="E46" s="16" t="s">
        <v>20</v>
      </c>
      <c r="F46" s="17" t="s">
        <v>21</v>
      </c>
      <c r="G46" s="18"/>
      <c r="H46" s="1"/>
      <c r="I46" s="19" t="s">
        <v>22</v>
      </c>
      <c r="J46" s="18" t="s">
        <v>22</v>
      </c>
      <c r="K46" s="1"/>
      <c r="L46" s="1"/>
      <c r="M46" s="1"/>
      <c r="N46" s="1"/>
      <c r="O46" s="1"/>
      <c r="P46" s="9" t="s">
        <v>161</v>
      </c>
      <c r="Q46" s="1"/>
      <c r="R46" s="1"/>
      <c r="S46" s="1"/>
      <c r="T46" s="1"/>
      <c r="U46" s="1"/>
      <c r="V46" s="1"/>
      <c r="W46" s="1"/>
      <c r="X46" s="1"/>
      <c r="Y46" s="1"/>
      <c r="Z46" s="1"/>
    </row>
    <row r="47">
      <c r="A47" s="1">
        <v>49.0</v>
      </c>
      <c r="B47" s="20" t="s">
        <v>162</v>
      </c>
      <c r="C47" s="21" t="s">
        <v>163</v>
      </c>
      <c r="D47" s="20" t="s">
        <v>164</v>
      </c>
      <c r="E47" s="16" t="s">
        <v>20</v>
      </c>
      <c r="F47" s="17" t="s">
        <v>21</v>
      </c>
      <c r="G47" s="18"/>
      <c r="H47" s="1"/>
      <c r="I47" s="19" t="s">
        <v>22</v>
      </c>
      <c r="J47" s="18"/>
      <c r="K47" s="1"/>
      <c r="L47" s="1"/>
      <c r="M47" s="1"/>
      <c r="N47" s="1"/>
      <c r="O47" s="1"/>
      <c r="P47" s="9" t="s">
        <v>165</v>
      </c>
      <c r="Q47" s="1"/>
      <c r="R47" s="1"/>
      <c r="S47" s="1"/>
      <c r="T47" s="1"/>
      <c r="U47" s="1"/>
      <c r="V47" s="1"/>
      <c r="W47" s="1"/>
      <c r="X47" s="1"/>
      <c r="Y47" s="1"/>
      <c r="Z47" s="1"/>
    </row>
    <row r="48">
      <c r="A48" s="1">
        <v>51.0</v>
      </c>
      <c r="B48" s="20" t="s">
        <v>166</v>
      </c>
      <c r="C48" s="21" t="s">
        <v>167</v>
      </c>
      <c r="D48" s="20" t="s">
        <v>168</v>
      </c>
      <c r="E48" s="16" t="s">
        <v>21</v>
      </c>
      <c r="F48" s="17" t="s">
        <v>31</v>
      </c>
      <c r="G48" s="18" t="s">
        <v>22</v>
      </c>
      <c r="H48" s="1"/>
      <c r="I48" s="19"/>
      <c r="J48" s="18"/>
      <c r="K48" s="1"/>
      <c r="L48" s="1" t="s">
        <v>22</v>
      </c>
      <c r="M48" s="1"/>
      <c r="N48" s="1"/>
      <c r="O48" s="1"/>
      <c r="P48" s="9" t="s">
        <v>169</v>
      </c>
      <c r="Q48" s="1"/>
      <c r="R48" s="1"/>
      <c r="S48" s="1"/>
      <c r="T48" s="1"/>
      <c r="U48" s="1"/>
      <c r="V48" s="1"/>
      <c r="W48" s="1"/>
      <c r="X48" s="1"/>
      <c r="Y48" s="1"/>
      <c r="Z48" s="1"/>
    </row>
    <row r="49">
      <c r="A49" s="1">
        <v>52.0</v>
      </c>
      <c r="B49" s="20" t="s">
        <v>170</v>
      </c>
      <c r="C49" s="21" t="s">
        <v>171</v>
      </c>
      <c r="D49" s="20" t="s">
        <v>172</v>
      </c>
      <c r="E49" s="16" t="s">
        <v>20</v>
      </c>
      <c r="F49" s="17" t="s">
        <v>21</v>
      </c>
      <c r="G49" s="18"/>
      <c r="H49" s="1" t="s">
        <v>22</v>
      </c>
      <c r="I49" s="19"/>
      <c r="J49" s="18"/>
      <c r="K49" s="1"/>
      <c r="L49" s="1"/>
      <c r="M49" s="1"/>
      <c r="N49" s="1" t="s">
        <v>22</v>
      </c>
      <c r="O49" s="1"/>
      <c r="P49" s="9"/>
      <c r="Q49" s="1"/>
      <c r="R49" s="1"/>
      <c r="S49" s="1"/>
      <c r="T49" s="1"/>
      <c r="U49" s="1"/>
      <c r="V49" s="1"/>
      <c r="W49" s="1"/>
      <c r="X49" s="1"/>
      <c r="Y49" s="1"/>
      <c r="Z49" s="1"/>
    </row>
    <row r="50">
      <c r="A50" s="1">
        <v>54.0</v>
      </c>
      <c r="B50" s="20" t="s">
        <v>173</v>
      </c>
      <c r="C50" s="21" t="s">
        <v>174</v>
      </c>
      <c r="D50" s="20" t="s">
        <v>175</v>
      </c>
      <c r="E50" s="16" t="s">
        <v>20</v>
      </c>
      <c r="F50" s="17" t="s">
        <v>21</v>
      </c>
      <c r="G50" s="18"/>
      <c r="H50" s="1" t="s">
        <v>22</v>
      </c>
      <c r="I50" s="19"/>
      <c r="J50" s="18"/>
      <c r="K50" s="1"/>
      <c r="L50" s="1"/>
      <c r="M50" s="1"/>
      <c r="N50" s="1" t="s">
        <v>22</v>
      </c>
      <c r="O50" s="1"/>
      <c r="P50" s="9"/>
      <c r="Q50" s="1"/>
      <c r="R50" s="1"/>
      <c r="S50" s="1"/>
      <c r="T50" s="1"/>
      <c r="U50" s="1"/>
      <c r="V50" s="1"/>
      <c r="W50" s="1"/>
      <c r="X50" s="1"/>
      <c r="Y50" s="1"/>
      <c r="Z50" s="1"/>
    </row>
    <row r="51">
      <c r="A51" s="1">
        <v>55.0</v>
      </c>
      <c r="B51" s="20" t="s">
        <v>176</v>
      </c>
      <c r="C51" s="21" t="s">
        <v>177</v>
      </c>
      <c r="D51" s="20" t="s">
        <v>120</v>
      </c>
      <c r="E51" s="16" t="s">
        <v>21</v>
      </c>
      <c r="F51" s="17" t="s">
        <v>20</v>
      </c>
      <c r="G51" s="18" t="s">
        <v>22</v>
      </c>
      <c r="H51" s="1"/>
      <c r="I51" s="19"/>
      <c r="J51" s="18"/>
      <c r="K51" s="1" t="s">
        <v>22</v>
      </c>
      <c r="L51" s="1"/>
      <c r="M51" s="1"/>
      <c r="N51" s="1"/>
      <c r="O51" s="1"/>
      <c r="P51" s="9"/>
      <c r="Q51" s="1"/>
      <c r="R51" s="1"/>
      <c r="S51" s="1"/>
      <c r="T51" s="1"/>
      <c r="U51" s="1"/>
      <c r="V51" s="1"/>
      <c r="W51" s="1"/>
      <c r="X51" s="1"/>
      <c r="Y51" s="1"/>
      <c r="Z51" s="1"/>
    </row>
    <row r="52">
      <c r="A52" s="1">
        <v>56.0</v>
      </c>
      <c r="B52" s="20" t="s">
        <v>178</v>
      </c>
      <c r="C52" s="21" t="s">
        <v>179</v>
      </c>
      <c r="D52" s="20" t="s">
        <v>180</v>
      </c>
      <c r="E52" s="16" t="s">
        <v>20</v>
      </c>
      <c r="F52" s="17" t="s">
        <v>26</v>
      </c>
      <c r="G52" s="18"/>
      <c r="H52" s="1" t="s">
        <v>22</v>
      </c>
      <c r="I52" s="19"/>
      <c r="J52" s="18"/>
      <c r="K52" s="1"/>
      <c r="L52" s="1"/>
      <c r="M52" s="1" t="s">
        <v>22</v>
      </c>
      <c r="N52" s="1"/>
      <c r="O52" s="1"/>
      <c r="P52" s="9" t="s">
        <v>181</v>
      </c>
      <c r="Q52" s="1"/>
      <c r="R52" s="1"/>
      <c r="S52" s="1"/>
      <c r="T52" s="1"/>
      <c r="U52" s="1"/>
      <c r="V52" s="1"/>
      <c r="W52" s="1"/>
      <c r="X52" s="1"/>
      <c r="Y52" s="1"/>
      <c r="Z52" s="1"/>
    </row>
    <row r="53">
      <c r="A53" s="1">
        <v>57.0</v>
      </c>
      <c r="B53" s="20" t="s">
        <v>182</v>
      </c>
      <c r="C53" s="21" t="s">
        <v>183</v>
      </c>
      <c r="D53" s="20" t="s">
        <v>184</v>
      </c>
      <c r="E53" s="16" t="s">
        <v>21</v>
      </c>
      <c r="F53" s="17" t="s">
        <v>20</v>
      </c>
      <c r="G53" s="18" t="s">
        <v>22</v>
      </c>
      <c r="H53" s="1"/>
      <c r="I53" s="19"/>
      <c r="J53" s="18"/>
      <c r="K53" s="1" t="s">
        <v>22</v>
      </c>
      <c r="L53" s="1"/>
      <c r="M53" s="1"/>
      <c r="N53" s="1"/>
      <c r="O53" s="1"/>
      <c r="P53" s="9"/>
      <c r="Q53" s="1"/>
      <c r="R53" s="1"/>
      <c r="S53" s="1"/>
      <c r="T53" s="1"/>
      <c r="U53" s="1"/>
      <c r="V53" s="1"/>
      <c r="W53" s="1"/>
      <c r="X53" s="1"/>
      <c r="Y53" s="1"/>
      <c r="Z53" s="1"/>
    </row>
    <row r="54">
      <c r="A54" s="1">
        <v>58.0</v>
      </c>
      <c r="B54" s="20" t="s">
        <v>185</v>
      </c>
      <c r="C54" s="21" t="s">
        <v>186</v>
      </c>
      <c r="D54" s="20" t="s">
        <v>187</v>
      </c>
      <c r="E54" s="16" t="s">
        <v>31</v>
      </c>
      <c r="F54" s="17" t="s">
        <v>21</v>
      </c>
      <c r="G54" s="18"/>
      <c r="H54" s="1" t="s">
        <v>22</v>
      </c>
      <c r="I54" s="19"/>
      <c r="J54" s="18"/>
      <c r="K54" s="1"/>
      <c r="L54" s="1"/>
      <c r="M54" s="1"/>
      <c r="N54" s="1"/>
      <c r="O54" s="1" t="s">
        <v>22</v>
      </c>
      <c r="P54" s="9"/>
      <c r="Q54" s="1"/>
      <c r="R54" s="1"/>
      <c r="S54" s="1"/>
      <c r="T54" s="1"/>
      <c r="U54" s="1"/>
      <c r="V54" s="1"/>
      <c r="W54" s="1"/>
      <c r="X54" s="1"/>
      <c r="Y54" s="1"/>
      <c r="Z54" s="1"/>
    </row>
    <row r="55">
      <c r="A55" s="1">
        <v>59.0</v>
      </c>
      <c r="B55" s="20" t="s">
        <v>188</v>
      </c>
      <c r="C55" s="21" t="s">
        <v>189</v>
      </c>
      <c r="D55" s="20" t="s">
        <v>190</v>
      </c>
      <c r="E55" s="16" t="s">
        <v>20</v>
      </c>
      <c r="F55" s="17" t="s">
        <v>21</v>
      </c>
      <c r="G55" s="18"/>
      <c r="H55" s="1"/>
      <c r="I55" s="19" t="s">
        <v>22</v>
      </c>
      <c r="J55" s="18"/>
      <c r="K55" s="1"/>
      <c r="L55" s="1"/>
      <c r="M55" s="1"/>
      <c r="N55" s="1"/>
      <c r="O55" s="1"/>
      <c r="P55" s="9" t="s">
        <v>124</v>
      </c>
      <c r="Q55" s="1"/>
      <c r="R55" s="1"/>
      <c r="S55" s="1"/>
      <c r="T55" s="1"/>
      <c r="U55" s="1"/>
      <c r="V55" s="1"/>
      <c r="W55" s="1"/>
      <c r="X55" s="1"/>
      <c r="Y55" s="1"/>
      <c r="Z55" s="1"/>
    </row>
    <row r="56">
      <c r="A56" s="1">
        <v>61.0</v>
      </c>
      <c r="B56" s="20" t="s">
        <v>191</v>
      </c>
      <c r="C56" s="21" t="s">
        <v>192</v>
      </c>
      <c r="D56" s="20" t="s">
        <v>64</v>
      </c>
      <c r="E56" s="16" t="s">
        <v>20</v>
      </c>
      <c r="F56" s="17" t="s">
        <v>26</v>
      </c>
      <c r="G56" s="18"/>
      <c r="H56" s="1" t="s">
        <v>22</v>
      </c>
      <c r="I56" s="19"/>
      <c r="J56" s="18"/>
      <c r="K56" s="1"/>
      <c r="L56" s="1"/>
      <c r="M56" s="1" t="s">
        <v>22</v>
      </c>
      <c r="N56" s="1"/>
      <c r="O56" s="1"/>
      <c r="P56" s="9" t="s">
        <v>193</v>
      </c>
      <c r="Q56" s="1"/>
      <c r="R56" s="1"/>
      <c r="S56" s="1"/>
      <c r="T56" s="1"/>
      <c r="U56" s="1"/>
      <c r="V56" s="1"/>
      <c r="W56" s="1"/>
      <c r="X56" s="1"/>
      <c r="Y56" s="1"/>
      <c r="Z56" s="1"/>
    </row>
    <row r="57">
      <c r="A57" s="1">
        <v>62.0</v>
      </c>
      <c r="B57" s="20" t="s">
        <v>194</v>
      </c>
      <c r="C57" s="21" t="s">
        <v>195</v>
      </c>
      <c r="D57" s="20" t="s">
        <v>42</v>
      </c>
      <c r="E57" s="16" t="s">
        <v>21</v>
      </c>
      <c r="F57" s="17" t="s">
        <v>20</v>
      </c>
      <c r="G57" s="18" t="s">
        <v>22</v>
      </c>
      <c r="H57" s="1"/>
      <c r="I57" s="19"/>
      <c r="J57" s="18"/>
      <c r="K57" s="1" t="s">
        <v>22</v>
      </c>
      <c r="L57" s="1"/>
      <c r="M57" s="1"/>
      <c r="N57" s="1"/>
      <c r="O57" s="1"/>
      <c r="P57" s="9"/>
      <c r="Q57" s="1"/>
      <c r="R57" s="1"/>
      <c r="S57" s="1"/>
      <c r="T57" s="1"/>
      <c r="U57" s="1"/>
      <c r="V57" s="1"/>
      <c r="W57" s="1"/>
      <c r="X57" s="1"/>
      <c r="Y57" s="1"/>
      <c r="Z57" s="1"/>
    </row>
    <row r="58">
      <c r="A58" s="1">
        <v>63.0</v>
      </c>
      <c r="B58" s="20" t="s">
        <v>196</v>
      </c>
      <c r="C58" s="21" t="s">
        <v>197</v>
      </c>
      <c r="D58" s="20" t="s">
        <v>198</v>
      </c>
      <c r="E58" s="16" t="s">
        <v>21</v>
      </c>
      <c r="F58" s="17" t="s">
        <v>20</v>
      </c>
      <c r="G58" s="18" t="s">
        <v>22</v>
      </c>
      <c r="H58" s="1"/>
      <c r="I58" s="19"/>
      <c r="J58" s="18"/>
      <c r="K58" s="1" t="s">
        <v>22</v>
      </c>
      <c r="L58" s="1"/>
      <c r="M58" s="1"/>
      <c r="N58" s="1"/>
      <c r="O58" s="1"/>
      <c r="P58" s="9"/>
      <c r="Q58" s="1"/>
      <c r="R58" s="1"/>
      <c r="S58" s="1"/>
      <c r="T58" s="1"/>
      <c r="U58" s="1"/>
      <c r="V58" s="1"/>
      <c r="W58" s="1"/>
      <c r="X58" s="1"/>
      <c r="Y58" s="1"/>
      <c r="Z58" s="1"/>
    </row>
    <row r="59">
      <c r="A59" s="1">
        <v>64.0</v>
      </c>
      <c r="B59" s="20" t="s">
        <v>199</v>
      </c>
      <c r="C59" s="21" t="s">
        <v>200</v>
      </c>
      <c r="D59" s="20" t="s">
        <v>201</v>
      </c>
      <c r="E59" s="16" t="s">
        <v>20</v>
      </c>
      <c r="F59" s="17" t="s">
        <v>21</v>
      </c>
      <c r="G59" s="18"/>
      <c r="H59" s="1" t="s">
        <v>22</v>
      </c>
      <c r="I59" s="19"/>
      <c r="J59" s="18"/>
      <c r="K59" s="1"/>
      <c r="L59" s="1"/>
      <c r="M59" s="1"/>
      <c r="N59" s="1" t="s">
        <v>22</v>
      </c>
      <c r="O59" s="1"/>
      <c r="P59" s="9"/>
      <c r="Q59" s="1"/>
      <c r="R59" s="1"/>
      <c r="S59" s="1"/>
      <c r="T59" s="1"/>
      <c r="U59" s="1"/>
      <c r="V59" s="1"/>
      <c r="W59" s="1"/>
      <c r="X59" s="1"/>
      <c r="Y59" s="1"/>
      <c r="Z59" s="1"/>
    </row>
    <row r="60">
      <c r="A60" s="1">
        <v>66.0</v>
      </c>
      <c r="B60" s="20" t="s">
        <v>202</v>
      </c>
      <c r="C60" s="21" t="s">
        <v>203</v>
      </c>
      <c r="D60" s="20" t="s">
        <v>204</v>
      </c>
      <c r="E60" s="16" t="s">
        <v>21</v>
      </c>
      <c r="F60" s="17" t="s">
        <v>20</v>
      </c>
      <c r="G60" s="18" t="s">
        <v>22</v>
      </c>
      <c r="H60" s="1"/>
      <c r="I60" s="19"/>
      <c r="J60" s="18"/>
      <c r="K60" s="1" t="s">
        <v>22</v>
      </c>
      <c r="L60" s="1"/>
      <c r="M60" s="1"/>
      <c r="N60" s="1"/>
      <c r="O60" s="1"/>
      <c r="P60" s="9"/>
      <c r="Q60" s="1"/>
      <c r="R60" s="1"/>
      <c r="S60" s="1"/>
      <c r="T60" s="1"/>
      <c r="U60" s="1"/>
      <c r="V60" s="1"/>
      <c r="W60" s="1"/>
      <c r="X60" s="1"/>
      <c r="Y60" s="1"/>
      <c r="Z60" s="1"/>
    </row>
    <row r="61">
      <c r="A61" s="1">
        <v>67.0</v>
      </c>
      <c r="B61" s="20" t="s">
        <v>205</v>
      </c>
      <c r="C61" s="21" t="s">
        <v>206</v>
      </c>
      <c r="D61" s="20" t="s">
        <v>64</v>
      </c>
      <c r="E61" s="16" t="s">
        <v>26</v>
      </c>
      <c r="F61" s="17" t="s">
        <v>20</v>
      </c>
      <c r="G61" s="18"/>
      <c r="H61" s="1" t="s">
        <v>22</v>
      </c>
      <c r="I61" s="19"/>
      <c r="J61" s="18"/>
      <c r="K61" s="1"/>
      <c r="L61" s="1"/>
      <c r="M61" s="1"/>
      <c r="N61" s="1"/>
      <c r="O61" s="1" t="s">
        <v>22</v>
      </c>
      <c r="P61" s="9"/>
      <c r="Q61" s="1"/>
      <c r="R61" s="1"/>
      <c r="S61" s="1"/>
      <c r="T61" s="1"/>
      <c r="U61" s="1"/>
      <c r="V61" s="1"/>
      <c r="W61" s="1"/>
      <c r="X61" s="1"/>
      <c r="Y61" s="1"/>
      <c r="Z61" s="1"/>
    </row>
    <row r="62">
      <c r="A62" s="1">
        <v>69.0</v>
      </c>
      <c r="B62" s="20" t="s">
        <v>207</v>
      </c>
      <c r="C62" s="21" t="s">
        <v>208</v>
      </c>
      <c r="D62" s="20" t="s">
        <v>209</v>
      </c>
      <c r="E62" s="16" t="s">
        <v>21</v>
      </c>
      <c r="F62" s="17" t="s">
        <v>31</v>
      </c>
      <c r="G62" s="18" t="s">
        <v>22</v>
      </c>
      <c r="H62" s="1"/>
      <c r="I62" s="19"/>
      <c r="J62" s="18"/>
      <c r="K62" s="1"/>
      <c r="L62" s="1" t="s">
        <v>22</v>
      </c>
      <c r="M62" s="1"/>
      <c r="N62" s="1"/>
      <c r="O62" s="1"/>
      <c r="P62" s="9" t="s">
        <v>138</v>
      </c>
      <c r="Q62" s="1"/>
      <c r="R62" s="1"/>
      <c r="S62" s="1"/>
      <c r="T62" s="1"/>
      <c r="U62" s="1"/>
      <c r="V62" s="1"/>
      <c r="W62" s="1"/>
      <c r="X62" s="1"/>
      <c r="Y62" s="1"/>
      <c r="Z62" s="1"/>
    </row>
    <row r="63">
      <c r="A63" s="1">
        <v>70.0</v>
      </c>
      <c r="B63" s="20" t="s">
        <v>210</v>
      </c>
      <c r="C63" s="21" t="s">
        <v>211</v>
      </c>
      <c r="D63" s="20" t="s">
        <v>212</v>
      </c>
      <c r="E63" s="16" t="s">
        <v>31</v>
      </c>
      <c r="F63" s="17" t="s">
        <v>21</v>
      </c>
      <c r="G63" s="18"/>
      <c r="H63" s="1" t="s">
        <v>22</v>
      </c>
      <c r="I63" s="19"/>
      <c r="J63" s="18"/>
      <c r="K63" s="1"/>
      <c r="L63" s="1"/>
      <c r="M63" s="1"/>
      <c r="N63" s="1"/>
      <c r="O63" s="1" t="s">
        <v>22</v>
      </c>
      <c r="P63" s="9"/>
      <c r="Q63" s="1"/>
      <c r="R63" s="1"/>
      <c r="S63" s="1"/>
      <c r="T63" s="1"/>
      <c r="U63" s="1"/>
      <c r="V63" s="1"/>
      <c r="W63" s="1"/>
      <c r="X63" s="1"/>
      <c r="Y63" s="1"/>
      <c r="Z63" s="1"/>
    </row>
    <row r="64">
      <c r="A64" s="1">
        <v>71.0</v>
      </c>
      <c r="B64" s="20" t="s">
        <v>213</v>
      </c>
      <c r="C64" s="21" t="s">
        <v>84</v>
      </c>
      <c r="D64" s="20" t="s">
        <v>107</v>
      </c>
      <c r="E64" s="16" t="s">
        <v>31</v>
      </c>
      <c r="F64" s="17" t="s">
        <v>21</v>
      </c>
      <c r="G64" s="18"/>
      <c r="H64" s="1" t="s">
        <v>22</v>
      </c>
      <c r="I64" s="19"/>
      <c r="J64" s="18"/>
      <c r="K64" s="1"/>
      <c r="L64" s="1"/>
      <c r="M64" s="1"/>
      <c r="N64" s="1"/>
      <c r="O64" s="1" t="s">
        <v>22</v>
      </c>
      <c r="P64" s="9"/>
      <c r="Q64" s="1"/>
      <c r="R64" s="1"/>
      <c r="S64" s="1"/>
      <c r="T64" s="1"/>
      <c r="U64" s="1"/>
      <c r="V64" s="1"/>
      <c r="W64" s="1"/>
      <c r="X64" s="1"/>
      <c r="Y64" s="1"/>
      <c r="Z64" s="1"/>
    </row>
    <row r="65">
      <c r="A65" s="1">
        <v>72.0</v>
      </c>
      <c r="B65" s="20" t="s">
        <v>214</v>
      </c>
      <c r="C65" s="21" t="s">
        <v>215</v>
      </c>
      <c r="D65" s="20" t="s">
        <v>216</v>
      </c>
      <c r="E65" s="16" t="s">
        <v>20</v>
      </c>
      <c r="F65" s="17" t="s">
        <v>26</v>
      </c>
      <c r="G65" s="18"/>
      <c r="H65" s="1" t="s">
        <v>22</v>
      </c>
      <c r="I65" s="19"/>
      <c r="J65" s="18"/>
      <c r="K65" s="1"/>
      <c r="L65" s="1"/>
      <c r="M65" s="1" t="s">
        <v>22</v>
      </c>
      <c r="N65" s="1"/>
      <c r="O65" s="1"/>
      <c r="P65" s="9" t="s">
        <v>217</v>
      </c>
      <c r="Q65" s="1"/>
      <c r="R65" s="1"/>
      <c r="S65" s="1"/>
      <c r="T65" s="1"/>
      <c r="U65" s="1"/>
      <c r="V65" s="1"/>
      <c r="W65" s="1"/>
      <c r="X65" s="1"/>
      <c r="Y65" s="1"/>
      <c r="Z65" s="1"/>
    </row>
    <row r="66">
      <c r="A66" s="1">
        <v>73.0</v>
      </c>
      <c r="B66" s="20" t="s">
        <v>218</v>
      </c>
      <c r="C66" s="21" t="s">
        <v>219</v>
      </c>
      <c r="D66" s="20" t="s">
        <v>220</v>
      </c>
      <c r="E66" s="16" t="s">
        <v>20</v>
      </c>
      <c r="F66" s="17" t="s">
        <v>21</v>
      </c>
      <c r="G66" s="18"/>
      <c r="H66" s="1" t="s">
        <v>22</v>
      </c>
      <c r="I66" s="19"/>
      <c r="J66" s="18"/>
      <c r="K66" s="1"/>
      <c r="L66" s="1"/>
      <c r="M66" s="1"/>
      <c r="N66" s="1" t="s">
        <v>22</v>
      </c>
      <c r="O66" s="1"/>
      <c r="P66" s="9"/>
      <c r="Q66" s="1"/>
      <c r="R66" s="1"/>
      <c r="S66" s="1"/>
      <c r="T66" s="1"/>
      <c r="U66" s="1"/>
      <c r="V66" s="1"/>
      <c r="W66" s="1"/>
      <c r="X66" s="1"/>
      <c r="Y66" s="1"/>
      <c r="Z66" s="1"/>
    </row>
    <row r="67">
      <c r="A67" s="1">
        <v>74.0</v>
      </c>
      <c r="B67" s="20" t="s">
        <v>221</v>
      </c>
      <c r="C67" s="21" t="s">
        <v>222</v>
      </c>
      <c r="D67" s="20" t="s">
        <v>223</v>
      </c>
      <c r="E67" s="16" t="s">
        <v>20</v>
      </c>
      <c r="F67" s="17" t="s">
        <v>21</v>
      </c>
      <c r="G67" s="18"/>
      <c r="H67" s="1"/>
      <c r="I67" s="19" t="s">
        <v>22</v>
      </c>
      <c r="J67" s="18"/>
      <c r="K67" s="1"/>
      <c r="L67" s="1"/>
      <c r="M67" s="1"/>
      <c r="N67" s="1"/>
      <c r="O67" s="1"/>
      <c r="P67" s="9" t="s">
        <v>224</v>
      </c>
      <c r="Q67" s="1"/>
      <c r="R67" s="1"/>
      <c r="S67" s="1"/>
      <c r="T67" s="1"/>
      <c r="U67" s="1"/>
      <c r="V67" s="1"/>
      <c r="W67" s="1"/>
      <c r="X67" s="1"/>
      <c r="Y67" s="1"/>
      <c r="Z67" s="1"/>
    </row>
    <row r="68">
      <c r="A68" s="1">
        <v>75.0</v>
      </c>
      <c r="B68" s="20" t="s">
        <v>225</v>
      </c>
      <c r="C68" s="21" t="s">
        <v>226</v>
      </c>
      <c r="D68" s="20" t="s">
        <v>227</v>
      </c>
      <c r="E68" s="16" t="s">
        <v>21</v>
      </c>
      <c r="F68" s="17" t="s">
        <v>20</v>
      </c>
      <c r="G68" s="18" t="s">
        <v>22</v>
      </c>
      <c r="H68" s="1"/>
      <c r="I68" s="19"/>
      <c r="J68" s="18"/>
      <c r="K68" s="1" t="s">
        <v>22</v>
      </c>
      <c r="L68" s="1"/>
      <c r="M68" s="1"/>
      <c r="N68" s="1"/>
      <c r="O68" s="1"/>
      <c r="P68" s="9"/>
      <c r="Q68" s="1"/>
      <c r="R68" s="1"/>
      <c r="S68" s="1"/>
      <c r="T68" s="1"/>
      <c r="U68" s="1"/>
      <c r="V68" s="1"/>
      <c r="W68" s="1"/>
      <c r="X68" s="1"/>
      <c r="Y68" s="1"/>
      <c r="Z68" s="1"/>
    </row>
    <row r="69">
      <c r="A69" s="1">
        <v>76.0</v>
      </c>
      <c r="B69" s="20" t="s">
        <v>228</v>
      </c>
      <c r="C69" s="21" t="s">
        <v>229</v>
      </c>
      <c r="D69" s="20" t="s">
        <v>212</v>
      </c>
      <c r="E69" s="16" t="s">
        <v>20</v>
      </c>
      <c r="F69" s="17" t="s">
        <v>21</v>
      </c>
      <c r="G69" s="18"/>
      <c r="H69" s="1" t="s">
        <v>22</v>
      </c>
      <c r="I69" s="19"/>
      <c r="J69" s="18"/>
      <c r="K69" s="1"/>
      <c r="L69" s="1"/>
      <c r="M69" s="1"/>
      <c r="N69" s="1" t="s">
        <v>22</v>
      </c>
      <c r="O69" s="1"/>
      <c r="P69" s="9"/>
      <c r="Q69" s="1"/>
      <c r="R69" s="1"/>
      <c r="S69" s="1"/>
      <c r="T69" s="1"/>
      <c r="U69" s="1"/>
      <c r="V69" s="1"/>
      <c r="W69" s="1"/>
      <c r="X69" s="1"/>
      <c r="Y69" s="1"/>
      <c r="Z69" s="1"/>
    </row>
    <row r="70">
      <c r="A70" s="1">
        <v>77.0</v>
      </c>
      <c r="B70" s="20" t="s">
        <v>230</v>
      </c>
      <c r="C70" s="21" t="s">
        <v>231</v>
      </c>
      <c r="D70" s="20" t="s">
        <v>232</v>
      </c>
      <c r="E70" s="16" t="s">
        <v>21</v>
      </c>
      <c r="F70" s="17" t="s">
        <v>20</v>
      </c>
      <c r="G70" s="18" t="s">
        <v>22</v>
      </c>
      <c r="H70" s="1"/>
      <c r="I70" s="19"/>
      <c r="J70" s="18"/>
      <c r="K70" s="1" t="s">
        <v>22</v>
      </c>
      <c r="L70" s="1"/>
      <c r="M70" s="1"/>
      <c r="N70" s="1"/>
      <c r="O70" s="1"/>
      <c r="P70" s="9"/>
      <c r="Q70" s="1"/>
      <c r="R70" s="1"/>
      <c r="S70" s="1"/>
      <c r="T70" s="1"/>
      <c r="U70" s="1"/>
      <c r="V70" s="1"/>
      <c r="W70" s="1"/>
      <c r="X70" s="1"/>
      <c r="Y70" s="1"/>
      <c r="Z70" s="1"/>
    </row>
    <row r="71">
      <c r="A71" s="1">
        <v>78.0</v>
      </c>
      <c r="B71" s="20" t="s">
        <v>233</v>
      </c>
      <c r="C71" s="21" t="s">
        <v>234</v>
      </c>
      <c r="D71" s="20" t="s">
        <v>110</v>
      </c>
      <c r="E71" s="16" t="s">
        <v>21</v>
      </c>
      <c r="F71" s="17" t="s">
        <v>31</v>
      </c>
      <c r="G71" s="18"/>
      <c r="H71" s="1" t="s">
        <v>22</v>
      </c>
      <c r="I71" s="19"/>
      <c r="J71" s="18"/>
      <c r="K71" s="1" t="s">
        <v>22</v>
      </c>
      <c r="L71" s="1"/>
      <c r="M71" s="1"/>
      <c r="N71" s="1"/>
      <c r="O71" s="1"/>
      <c r="P71" s="9" t="s">
        <v>235</v>
      </c>
      <c r="Q71" s="1"/>
      <c r="R71" s="1"/>
      <c r="S71" s="1"/>
      <c r="T71" s="1"/>
      <c r="U71" s="1"/>
      <c r="V71" s="1"/>
      <c r="W71" s="1"/>
      <c r="X71" s="1"/>
      <c r="Y71" s="1"/>
      <c r="Z71" s="1"/>
    </row>
    <row r="72">
      <c r="A72" s="1">
        <v>79.0</v>
      </c>
      <c r="B72" s="20" t="s">
        <v>236</v>
      </c>
      <c r="C72" s="21" t="s">
        <v>174</v>
      </c>
      <c r="D72" s="20" t="s">
        <v>25</v>
      </c>
      <c r="E72" s="16" t="s">
        <v>21</v>
      </c>
      <c r="F72" s="17" t="s">
        <v>20</v>
      </c>
      <c r="G72" s="18" t="s">
        <v>22</v>
      </c>
      <c r="H72" s="1"/>
      <c r="I72" s="19"/>
      <c r="J72" s="18"/>
      <c r="K72" s="1" t="s">
        <v>22</v>
      </c>
      <c r="L72" s="1"/>
      <c r="M72" s="1"/>
      <c r="N72" s="1"/>
      <c r="O72" s="1"/>
      <c r="P72" s="9"/>
      <c r="Q72" s="1"/>
      <c r="R72" s="1"/>
      <c r="S72" s="1"/>
      <c r="T72" s="1"/>
      <c r="U72" s="1"/>
      <c r="V72" s="1"/>
      <c r="W72" s="1"/>
      <c r="X72" s="1"/>
      <c r="Y72" s="1"/>
      <c r="Z72" s="1"/>
    </row>
    <row r="73">
      <c r="A73" s="1">
        <v>80.0</v>
      </c>
      <c r="B73" s="20" t="s">
        <v>237</v>
      </c>
      <c r="C73" s="21" t="s">
        <v>82</v>
      </c>
      <c r="D73" s="20" t="s">
        <v>238</v>
      </c>
      <c r="E73" s="16" t="s">
        <v>31</v>
      </c>
      <c r="F73" s="17" t="s">
        <v>21</v>
      </c>
      <c r="G73" s="18"/>
      <c r="H73" s="1" t="s">
        <v>22</v>
      </c>
      <c r="I73" s="19"/>
      <c r="J73" s="18"/>
      <c r="K73" s="1"/>
      <c r="L73" s="1"/>
      <c r="M73" s="1"/>
      <c r="N73" s="1"/>
      <c r="O73" s="1" t="s">
        <v>22</v>
      </c>
      <c r="P73" s="9" t="s">
        <v>239</v>
      </c>
      <c r="Q73" s="1"/>
      <c r="R73" s="1"/>
      <c r="S73" s="1"/>
      <c r="T73" s="1"/>
      <c r="U73" s="1"/>
      <c r="V73" s="1"/>
      <c r="W73" s="1"/>
      <c r="X73" s="1"/>
      <c r="Y73" s="1"/>
      <c r="Z73" s="1"/>
    </row>
    <row r="74">
      <c r="A74" s="1">
        <v>81.0</v>
      </c>
      <c r="B74" s="20" t="s">
        <v>240</v>
      </c>
      <c r="C74" s="21" t="s">
        <v>241</v>
      </c>
      <c r="D74" s="20" t="s">
        <v>242</v>
      </c>
      <c r="E74" s="16" t="s">
        <v>20</v>
      </c>
      <c r="F74" s="17" t="s">
        <v>21</v>
      </c>
      <c r="G74" s="18"/>
      <c r="H74" s="1" t="s">
        <v>22</v>
      </c>
      <c r="I74" s="19"/>
      <c r="J74" s="18"/>
      <c r="K74" s="1"/>
      <c r="L74" s="1" t="s">
        <v>22</v>
      </c>
      <c r="M74" s="1"/>
      <c r="N74" s="1" t="s">
        <v>22</v>
      </c>
      <c r="O74" s="1"/>
      <c r="P74" s="9" t="s">
        <v>243</v>
      </c>
      <c r="Q74" s="1"/>
      <c r="R74" s="1"/>
      <c r="S74" s="1"/>
      <c r="T74" s="1"/>
      <c r="U74" s="1"/>
      <c r="V74" s="1"/>
      <c r="W74" s="1"/>
      <c r="X74" s="1"/>
      <c r="Y74" s="1"/>
      <c r="Z74" s="1"/>
    </row>
    <row r="75">
      <c r="A75" s="1">
        <v>82.0</v>
      </c>
      <c r="B75" s="20" t="s">
        <v>244</v>
      </c>
      <c r="C75" s="21" t="s">
        <v>245</v>
      </c>
      <c r="D75" s="20" t="s">
        <v>246</v>
      </c>
      <c r="E75" s="16" t="s">
        <v>20</v>
      </c>
      <c r="F75" s="17" t="s">
        <v>21</v>
      </c>
      <c r="G75" s="18"/>
      <c r="H75" s="1" t="s">
        <v>22</v>
      </c>
      <c r="I75" s="19"/>
      <c r="J75" s="18"/>
      <c r="K75" s="1"/>
      <c r="L75" s="1"/>
      <c r="M75" s="1"/>
      <c r="N75" s="1" t="s">
        <v>22</v>
      </c>
      <c r="O75" s="1"/>
      <c r="P75" s="9" t="s">
        <v>247</v>
      </c>
      <c r="Q75" s="1"/>
      <c r="R75" s="1"/>
      <c r="S75" s="1"/>
      <c r="T75" s="1"/>
      <c r="U75" s="1"/>
      <c r="V75" s="1"/>
      <c r="W75" s="1"/>
      <c r="X75" s="1"/>
      <c r="Y75" s="1"/>
      <c r="Z75" s="1"/>
    </row>
    <row r="76">
      <c r="A76" s="1">
        <v>83.0</v>
      </c>
      <c r="B76" s="20" t="s">
        <v>248</v>
      </c>
      <c r="C76" s="21" t="s">
        <v>249</v>
      </c>
      <c r="D76" s="20" t="s">
        <v>250</v>
      </c>
      <c r="E76" s="16" t="s">
        <v>20</v>
      </c>
      <c r="F76" s="17" t="s">
        <v>21</v>
      </c>
      <c r="G76" s="18"/>
      <c r="H76" s="1"/>
      <c r="I76" s="19" t="s">
        <v>22</v>
      </c>
      <c r="J76" s="18"/>
      <c r="K76" s="1"/>
      <c r="L76" s="1"/>
      <c r="M76" s="1"/>
      <c r="N76" s="1"/>
      <c r="O76" s="1"/>
      <c r="P76" s="9" t="s">
        <v>251</v>
      </c>
      <c r="Q76" s="1"/>
      <c r="R76" s="1"/>
      <c r="S76" s="1"/>
      <c r="T76" s="1"/>
      <c r="U76" s="1"/>
      <c r="V76" s="1"/>
      <c r="W76" s="1"/>
      <c r="X76" s="1"/>
      <c r="Y76" s="1"/>
      <c r="Z76" s="1"/>
    </row>
    <row r="77">
      <c r="A77" s="1">
        <v>86.0</v>
      </c>
      <c r="B77" s="20" t="s">
        <v>252</v>
      </c>
      <c r="C77" s="21" t="s">
        <v>253</v>
      </c>
      <c r="D77" s="20" t="s">
        <v>254</v>
      </c>
      <c r="E77" s="16" t="s">
        <v>20</v>
      </c>
      <c r="F77" s="17" t="s">
        <v>21</v>
      </c>
      <c r="G77" s="18"/>
      <c r="H77" s="1"/>
      <c r="I77" s="19" t="s">
        <v>22</v>
      </c>
      <c r="J77" s="18"/>
      <c r="K77" s="1"/>
      <c r="L77" s="1"/>
      <c r="M77" s="1"/>
      <c r="N77" s="1"/>
      <c r="O77" s="1"/>
      <c r="P77" s="9" t="s">
        <v>255</v>
      </c>
      <c r="Q77" s="1"/>
      <c r="R77" s="1"/>
      <c r="S77" s="1"/>
      <c r="T77" s="1"/>
      <c r="U77" s="1"/>
      <c r="V77" s="1"/>
      <c r="W77" s="1"/>
      <c r="X77" s="1"/>
      <c r="Y77" s="1"/>
      <c r="Z77" s="1"/>
    </row>
    <row r="78">
      <c r="A78" s="1">
        <v>89.0</v>
      </c>
      <c r="B78" s="20" t="s">
        <v>256</v>
      </c>
      <c r="C78" s="21" t="s">
        <v>98</v>
      </c>
      <c r="D78" s="20" t="s">
        <v>220</v>
      </c>
      <c r="E78" s="16" t="s">
        <v>31</v>
      </c>
      <c r="F78" s="17" t="s">
        <v>21</v>
      </c>
      <c r="G78" s="18"/>
      <c r="H78" s="1" t="s">
        <v>22</v>
      </c>
      <c r="I78" s="19"/>
      <c r="J78" s="18"/>
      <c r="K78" s="1"/>
      <c r="L78" s="1"/>
      <c r="M78" s="1"/>
      <c r="N78" s="1"/>
      <c r="O78" s="1" t="s">
        <v>22</v>
      </c>
      <c r="P78" s="9" t="s">
        <v>239</v>
      </c>
      <c r="Q78" s="1"/>
      <c r="R78" s="1"/>
      <c r="S78" s="1"/>
      <c r="T78" s="1"/>
      <c r="U78" s="1"/>
      <c r="V78" s="1"/>
      <c r="W78" s="1"/>
      <c r="X78" s="1"/>
      <c r="Y78" s="1"/>
      <c r="Z78" s="1"/>
    </row>
    <row r="79">
      <c r="A79" s="1">
        <v>90.0</v>
      </c>
      <c r="B79" s="20" t="s">
        <v>257</v>
      </c>
      <c r="C79" s="21" t="s">
        <v>258</v>
      </c>
      <c r="D79" s="20" t="s">
        <v>259</v>
      </c>
      <c r="E79" s="16" t="s">
        <v>20</v>
      </c>
      <c r="F79" s="17" t="s">
        <v>26</v>
      </c>
      <c r="G79" s="18"/>
      <c r="H79" s="1" t="s">
        <v>22</v>
      </c>
      <c r="I79" s="19"/>
      <c r="J79" s="18"/>
      <c r="K79" s="1"/>
      <c r="L79" s="1" t="s">
        <v>22</v>
      </c>
      <c r="M79" s="1"/>
      <c r="N79" s="1"/>
      <c r="O79" s="1"/>
      <c r="P79" s="9" t="s">
        <v>260</v>
      </c>
      <c r="Q79" s="1"/>
      <c r="R79" s="1"/>
      <c r="S79" s="1"/>
      <c r="T79" s="1"/>
      <c r="U79" s="1"/>
      <c r="V79" s="1"/>
      <c r="W79" s="1"/>
      <c r="X79" s="1"/>
      <c r="Y79" s="1"/>
      <c r="Z79" s="1"/>
    </row>
    <row r="80">
      <c r="A80" s="1">
        <v>91.0</v>
      </c>
      <c r="B80" s="20" t="s">
        <v>261</v>
      </c>
      <c r="C80" s="21" t="s">
        <v>262</v>
      </c>
      <c r="D80" s="20" t="s">
        <v>250</v>
      </c>
      <c r="E80" s="16" t="s">
        <v>20</v>
      </c>
      <c r="F80" s="17" t="s">
        <v>21</v>
      </c>
      <c r="G80" s="18"/>
      <c r="H80" s="1" t="s">
        <v>22</v>
      </c>
      <c r="I80" s="19"/>
      <c r="J80" s="18"/>
      <c r="K80" s="1"/>
      <c r="L80" s="1" t="s">
        <v>22</v>
      </c>
      <c r="M80" s="1"/>
      <c r="N80" s="1" t="s">
        <v>22</v>
      </c>
      <c r="O80" s="1"/>
      <c r="P80" s="9" t="s">
        <v>263</v>
      </c>
      <c r="Q80" s="1"/>
      <c r="R80" s="1"/>
      <c r="S80" s="1"/>
      <c r="T80" s="1"/>
      <c r="U80" s="1"/>
      <c r="V80" s="1"/>
      <c r="W80" s="1"/>
      <c r="X80" s="1"/>
      <c r="Y80" s="1"/>
      <c r="Z80" s="1"/>
    </row>
    <row r="81">
      <c r="A81" s="1">
        <v>92.0</v>
      </c>
      <c r="B81" s="20" t="s">
        <v>264</v>
      </c>
      <c r="C81" s="21" t="s">
        <v>265</v>
      </c>
      <c r="D81" s="20" t="s">
        <v>266</v>
      </c>
      <c r="E81" s="16" t="s">
        <v>20</v>
      </c>
      <c r="F81" s="17" t="s">
        <v>31</v>
      </c>
      <c r="G81" s="18"/>
      <c r="H81" s="1"/>
      <c r="I81" s="19" t="s">
        <v>22</v>
      </c>
      <c r="J81" s="18"/>
      <c r="K81" s="1" t="s">
        <v>22</v>
      </c>
      <c r="L81" s="1"/>
      <c r="M81" s="1"/>
      <c r="N81" s="1"/>
      <c r="O81" s="1"/>
      <c r="P81" s="9" t="s">
        <v>267</v>
      </c>
      <c r="Q81" s="1"/>
      <c r="R81" s="1"/>
      <c r="S81" s="1"/>
      <c r="T81" s="1"/>
      <c r="U81" s="1"/>
      <c r="V81" s="1"/>
      <c r="W81" s="1"/>
      <c r="X81" s="1"/>
      <c r="Y81" s="1"/>
      <c r="Z81" s="1"/>
    </row>
    <row r="82">
      <c r="A82" s="1">
        <v>94.0</v>
      </c>
      <c r="B82" s="20" t="s">
        <v>268</v>
      </c>
      <c r="C82" s="21" t="s">
        <v>269</v>
      </c>
      <c r="D82" s="20" t="s">
        <v>270</v>
      </c>
      <c r="E82" s="16" t="s">
        <v>20</v>
      </c>
      <c r="F82" s="17" t="s">
        <v>21</v>
      </c>
      <c r="G82" s="18"/>
      <c r="H82" s="1"/>
      <c r="I82" s="19" t="s">
        <v>22</v>
      </c>
      <c r="J82" s="18"/>
      <c r="K82" s="1"/>
      <c r="L82" s="1"/>
      <c r="M82" s="1"/>
      <c r="N82" s="1"/>
      <c r="O82" s="1"/>
      <c r="P82" s="9" t="s">
        <v>251</v>
      </c>
      <c r="Q82" s="1"/>
      <c r="R82" s="1"/>
      <c r="S82" s="1"/>
      <c r="T82" s="1"/>
      <c r="U82" s="1"/>
      <c r="V82" s="1"/>
      <c r="W82" s="1"/>
      <c r="X82" s="1"/>
      <c r="Y82" s="1"/>
      <c r="Z82" s="1"/>
    </row>
    <row r="83">
      <c r="A83" s="1">
        <v>95.0</v>
      </c>
      <c r="B83" s="20" t="s">
        <v>271</v>
      </c>
      <c r="C83" s="21" t="s">
        <v>206</v>
      </c>
      <c r="D83" s="20" t="s">
        <v>272</v>
      </c>
      <c r="E83" s="16" t="s">
        <v>31</v>
      </c>
      <c r="F83" s="17" t="s">
        <v>21</v>
      </c>
      <c r="G83" s="18"/>
      <c r="H83" s="1" t="s">
        <v>22</v>
      </c>
      <c r="I83" s="19"/>
      <c r="J83" s="18"/>
      <c r="K83" s="1"/>
      <c r="L83" s="1"/>
      <c r="M83" s="1"/>
      <c r="N83" s="1"/>
      <c r="O83" s="1" t="s">
        <v>22</v>
      </c>
      <c r="P83" s="9" t="s">
        <v>239</v>
      </c>
      <c r="Q83" s="1"/>
      <c r="R83" s="1"/>
      <c r="S83" s="1"/>
      <c r="T83" s="1"/>
      <c r="U83" s="1"/>
      <c r="V83" s="1"/>
      <c r="W83" s="1"/>
      <c r="X83" s="1"/>
      <c r="Y83" s="1"/>
      <c r="Z83" s="1"/>
    </row>
    <row r="84">
      <c r="A84" s="1">
        <v>96.0</v>
      </c>
      <c r="B84" s="22" t="s">
        <v>273</v>
      </c>
      <c r="C84" s="21" t="s">
        <v>274</v>
      </c>
      <c r="D84" s="20" t="s">
        <v>275</v>
      </c>
      <c r="E84" s="16" t="s">
        <v>21</v>
      </c>
      <c r="F84" s="17" t="s">
        <v>20</v>
      </c>
      <c r="G84" s="18" t="s">
        <v>22</v>
      </c>
      <c r="H84" s="1"/>
      <c r="I84" s="19"/>
      <c r="J84" s="18"/>
      <c r="K84" s="1" t="s">
        <v>22</v>
      </c>
      <c r="L84" s="1"/>
      <c r="M84" s="1"/>
      <c r="N84" s="1"/>
      <c r="O84" s="1"/>
      <c r="P84" s="9" t="s">
        <v>276</v>
      </c>
      <c r="Q84" s="1"/>
      <c r="R84" s="1"/>
      <c r="S84" s="1"/>
      <c r="T84" s="1"/>
      <c r="U84" s="1"/>
      <c r="V84" s="1"/>
      <c r="W84" s="1"/>
      <c r="X84" s="1"/>
      <c r="Y84" s="1"/>
      <c r="Z84" s="1"/>
    </row>
    <row r="85">
      <c r="A85" s="1">
        <v>98.0</v>
      </c>
      <c r="B85" s="20" t="s">
        <v>277</v>
      </c>
      <c r="C85" s="21" t="s">
        <v>278</v>
      </c>
      <c r="D85" s="20" t="s">
        <v>279</v>
      </c>
      <c r="E85" s="16" t="s">
        <v>21</v>
      </c>
      <c r="F85" s="17" t="s">
        <v>20</v>
      </c>
      <c r="G85" s="18" t="s">
        <v>22</v>
      </c>
      <c r="H85" s="1"/>
      <c r="I85" s="19"/>
      <c r="J85" s="18"/>
      <c r="K85" s="1" t="s">
        <v>22</v>
      </c>
      <c r="L85" s="1"/>
      <c r="M85" s="1"/>
      <c r="N85" s="1"/>
      <c r="O85" s="1"/>
      <c r="P85" s="9" t="s">
        <v>280</v>
      </c>
      <c r="Q85" s="1"/>
      <c r="R85" s="1"/>
      <c r="S85" s="1"/>
      <c r="T85" s="1"/>
      <c r="U85" s="1"/>
      <c r="V85" s="1"/>
      <c r="W85" s="1"/>
      <c r="X85" s="1"/>
      <c r="Y85" s="1"/>
      <c r="Z85" s="1"/>
    </row>
    <row r="86">
      <c r="A86" s="1">
        <v>99.0</v>
      </c>
      <c r="B86" s="20" t="s">
        <v>281</v>
      </c>
      <c r="C86" s="21" t="s">
        <v>282</v>
      </c>
      <c r="D86" s="20" t="s">
        <v>57</v>
      </c>
      <c r="E86" s="16" t="s">
        <v>31</v>
      </c>
      <c r="F86" s="17" t="s">
        <v>21</v>
      </c>
      <c r="G86" s="18"/>
      <c r="H86" s="1" t="s">
        <v>22</v>
      </c>
      <c r="I86" s="19"/>
      <c r="J86" s="18"/>
      <c r="K86" s="1"/>
      <c r="L86" s="1"/>
      <c r="M86" s="1"/>
      <c r="N86" s="1"/>
      <c r="O86" s="1" t="s">
        <v>22</v>
      </c>
      <c r="P86" s="9" t="s">
        <v>239</v>
      </c>
      <c r="Q86" s="1"/>
      <c r="R86" s="1"/>
      <c r="S86" s="1"/>
      <c r="T86" s="1"/>
      <c r="U86" s="1"/>
      <c r="V86" s="1"/>
      <c r="W86" s="1"/>
      <c r="X86" s="1"/>
      <c r="Y86" s="1"/>
      <c r="Z86" s="1"/>
    </row>
    <row r="87">
      <c r="A87" s="23">
        <v>100.0</v>
      </c>
      <c r="B87" s="24" t="s">
        <v>283</v>
      </c>
      <c r="C87" s="21" t="s">
        <v>284</v>
      </c>
      <c r="D87" s="20" t="s">
        <v>285</v>
      </c>
      <c r="E87" s="16" t="s">
        <v>21</v>
      </c>
      <c r="F87" s="17" t="s">
        <v>20</v>
      </c>
      <c r="G87" s="16" t="s">
        <v>22</v>
      </c>
      <c r="H87" s="1"/>
      <c r="I87" s="19"/>
      <c r="J87" s="16"/>
      <c r="K87" s="1" t="s">
        <v>22</v>
      </c>
      <c r="L87" s="1"/>
      <c r="M87" s="1"/>
      <c r="N87" s="1"/>
      <c r="O87" s="1"/>
      <c r="P87" s="9" t="s">
        <v>276</v>
      </c>
      <c r="Q87" s="1"/>
      <c r="R87" s="1"/>
      <c r="S87" s="1"/>
      <c r="T87" s="1"/>
      <c r="U87" s="1"/>
      <c r="V87" s="1"/>
      <c r="W87" s="1"/>
      <c r="X87" s="1"/>
      <c r="Y87" s="1"/>
      <c r="Z87" s="1"/>
    </row>
    <row r="88">
      <c r="A88" s="1">
        <v>101.0</v>
      </c>
      <c r="B88" s="24" t="s">
        <v>286</v>
      </c>
      <c r="C88" s="25" t="s">
        <v>287</v>
      </c>
      <c r="D88" s="24" t="s">
        <v>38</v>
      </c>
      <c r="E88" s="16" t="s">
        <v>31</v>
      </c>
      <c r="F88" s="17" t="s">
        <v>21</v>
      </c>
      <c r="G88" s="18"/>
      <c r="H88" s="1" t="s">
        <v>22</v>
      </c>
      <c r="I88" s="19"/>
      <c r="J88" s="16"/>
      <c r="K88" s="1"/>
      <c r="L88" s="1"/>
      <c r="M88" s="1"/>
      <c r="N88" s="1"/>
      <c r="O88" s="1" t="s">
        <v>22</v>
      </c>
      <c r="P88" s="9" t="s">
        <v>239</v>
      </c>
      <c r="Q88" s="1"/>
      <c r="R88" s="1"/>
      <c r="S88" s="1"/>
      <c r="T88" s="1"/>
      <c r="U88" s="1"/>
      <c r="V88" s="1"/>
      <c r="W88" s="1"/>
      <c r="X88" s="1"/>
      <c r="Y88" s="1"/>
      <c r="Z88" s="1"/>
    </row>
    <row r="89">
      <c r="A89" s="1">
        <v>102.0</v>
      </c>
      <c r="B89" s="24" t="s">
        <v>288</v>
      </c>
      <c r="C89" s="25" t="s">
        <v>289</v>
      </c>
      <c r="D89" s="24" t="s">
        <v>290</v>
      </c>
      <c r="E89" s="16" t="s">
        <v>20</v>
      </c>
      <c r="F89" s="17" t="s">
        <v>21</v>
      </c>
      <c r="G89" s="18"/>
      <c r="H89" s="1"/>
      <c r="I89" s="19" t="s">
        <v>22</v>
      </c>
      <c r="J89" s="16"/>
      <c r="K89" s="1"/>
      <c r="L89" s="1"/>
      <c r="M89" s="1"/>
      <c r="N89" s="1"/>
      <c r="O89" s="1"/>
      <c r="P89" s="9" t="s">
        <v>291</v>
      </c>
      <c r="Q89" s="1"/>
      <c r="R89" s="1"/>
      <c r="S89" s="1"/>
      <c r="T89" s="1"/>
      <c r="U89" s="1"/>
      <c r="V89" s="1"/>
      <c r="W89" s="1"/>
      <c r="X89" s="1"/>
      <c r="Y89" s="1"/>
      <c r="Z89" s="1"/>
    </row>
    <row r="90">
      <c r="A90" s="1">
        <v>103.0</v>
      </c>
      <c r="B90" s="24" t="s">
        <v>292</v>
      </c>
      <c r="C90" s="25" t="s">
        <v>293</v>
      </c>
      <c r="D90" s="24" t="s">
        <v>294</v>
      </c>
      <c r="E90" s="16" t="s">
        <v>21</v>
      </c>
      <c r="F90" s="17" t="s">
        <v>31</v>
      </c>
      <c r="G90" s="18"/>
      <c r="H90" s="1"/>
      <c r="I90" s="19" t="s">
        <v>22</v>
      </c>
      <c r="J90" s="16"/>
      <c r="K90" s="1"/>
      <c r="L90" s="1"/>
      <c r="M90" s="1" t="s">
        <v>22</v>
      </c>
      <c r="N90" s="1"/>
      <c r="O90" s="1"/>
      <c r="P90" s="9" t="s">
        <v>295</v>
      </c>
      <c r="Q90" s="1"/>
      <c r="R90" s="1"/>
      <c r="S90" s="1"/>
      <c r="T90" s="1"/>
      <c r="U90" s="1"/>
      <c r="V90" s="1"/>
      <c r="W90" s="1"/>
      <c r="X90" s="1"/>
      <c r="Y90" s="1"/>
      <c r="Z90" s="1"/>
    </row>
    <row r="91">
      <c r="A91" s="1">
        <v>104.0</v>
      </c>
      <c r="B91" s="24" t="s">
        <v>296</v>
      </c>
      <c r="C91" s="25" t="s">
        <v>297</v>
      </c>
      <c r="D91" s="24" t="s">
        <v>298</v>
      </c>
      <c r="E91" s="16" t="s">
        <v>20</v>
      </c>
      <c r="F91" s="17" t="s">
        <v>21</v>
      </c>
      <c r="G91" s="18" t="s">
        <v>22</v>
      </c>
      <c r="H91" s="1"/>
      <c r="I91" s="19"/>
      <c r="J91" s="16" t="s">
        <v>22</v>
      </c>
      <c r="K91" s="1"/>
      <c r="L91" s="1"/>
      <c r="M91" s="1"/>
      <c r="N91" s="1"/>
      <c r="O91" s="1"/>
      <c r="P91" s="9" t="s">
        <v>299</v>
      </c>
      <c r="Q91" s="1"/>
      <c r="R91" s="1"/>
      <c r="S91" s="1"/>
      <c r="T91" s="1"/>
      <c r="U91" s="1"/>
      <c r="V91" s="1"/>
      <c r="W91" s="1"/>
      <c r="X91" s="1"/>
      <c r="Y91" s="1"/>
      <c r="Z91" s="1"/>
    </row>
    <row r="92">
      <c r="A92" s="1">
        <v>105.0</v>
      </c>
      <c r="B92" s="24" t="s">
        <v>300</v>
      </c>
      <c r="C92" s="25" t="s">
        <v>301</v>
      </c>
      <c r="D92" s="24" t="s">
        <v>302</v>
      </c>
      <c r="E92" s="16" t="s">
        <v>20</v>
      </c>
      <c r="F92" s="17" t="s">
        <v>21</v>
      </c>
      <c r="G92" s="18"/>
      <c r="H92" s="1" t="s">
        <v>22</v>
      </c>
      <c r="I92" s="19"/>
      <c r="J92" s="16"/>
      <c r="K92" s="1"/>
      <c r="L92" s="1" t="s">
        <v>22</v>
      </c>
      <c r="M92" s="1"/>
      <c r="N92" s="1" t="s">
        <v>22</v>
      </c>
      <c r="O92" s="1"/>
      <c r="P92" s="9" t="s">
        <v>303</v>
      </c>
      <c r="Q92" s="1"/>
      <c r="R92" s="1"/>
      <c r="S92" s="1"/>
      <c r="T92" s="1"/>
      <c r="U92" s="1"/>
      <c r="V92" s="1"/>
      <c r="W92" s="1"/>
      <c r="X92" s="1"/>
      <c r="Y92" s="1"/>
      <c r="Z92" s="1"/>
    </row>
    <row r="93">
      <c r="A93" s="1">
        <v>106.0</v>
      </c>
      <c r="B93" s="24" t="s">
        <v>304</v>
      </c>
      <c r="C93" s="25" t="s">
        <v>305</v>
      </c>
      <c r="D93" s="24" t="s">
        <v>25</v>
      </c>
      <c r="E93" s="16" t="s">
        <v>26</v>
      </c>
      <c r="F93" s="17" t="s">
        <v>20</v>
      </c>
      <c r="G93" s="18" t="s">
        <v>22</v>
      </c>
      <c r="H93" s="1"/>
      <c r="I93" s="19"/>
      <c r="J93" s="16"/>
      <c r="K93" s="1"/>
      <c r="L93" s="1"/>
      <c r="M93" s="1"/>
      <c r="N93" s="1"/>
      <c r="O93" s="1"/>
      <c r="P93" s="9" t="s">
        <v>306</v>
      </c>
      <c r="Q93" s="1"/>
      <c r="R93" s="1"/>
      <c r="S93" s="1"/>
      <c r="T93" s="1"/>
      <c r="U93" s="1"/>
      <c r="V93" s="1"/>
      <c r="W93" s="1"/>
      <c r="X93" s="1"/>
      <c r="Y93" s="1"/>
      <c r="Z93" s="1"/>
    </row>
    <row r="94">
      <c r="A94" s="1">
        <v>107.0</v>
      </c>
      <c r="B94" s="24" t="s">
        <v>307</v>
      </c>
      <c r="C94" s="25" t="s">
        <v>308</v>
      </c>
      <c r="D94" s="24" t="s">
        <v>309</v>
      </c>
      <c r="E94" s="16" t="s">
        <v>20</v>
      </c>
      <c r="F94" s="17" t="s">
        <v>21</v>
      </c>
      <c r="G94" s="18"/>
      <c r="H94" s="1" t="s">
        <v>22</v>
      </c>
      <c r="I94" s="19"/>
      <c r="J94" s="16"/>
      <c r="K94" s="1"/>
      <c r="L94" s="1" t="s">
        <v>22</v>
      </c>
      <c r="M94" s="1"/>
      <c r="N94" s="1" t="s">
        <v>22</v>
      </c>
      <c r="O94" s="1"/>
      <c r="P94" s="9" t="s">
        <v>303</v>
      </c>
      <c r="Q94" s="1"/>
      <c r="R94" s="1"/>
      <c r="S94" s="1"/>
      <c r="T94" s="1"/>
      <c r="U94" s="1"/>
      <c r="V94" s="1"/>
      <c r="W94" s="1"/>
      <c r="X94" s="1"/>
      <c r="Y94" s="1"/>
      <c r="Z94" s="1"/>
    </row>
    <row r="95">
      <c r="A95" s="1">
        <v>110.0</v>
      </c>
      <c r="B95" s="24" t="s">
        <v>310</v>
      </c>
      <c r="C95" s="25" t="s">
        <v>311</v>
      </c>
      <c r="D95" s="24" t="s">
        <v>312</v>
      </c>
      <c r="E95" s="16" t="s">
        <v>21</v>
      </c>
      <c r="F95" s="17" t="s">
        <v>20</v>
      </c>
      <c r="G95" s="18" t="s">
        <v>22</v>
      </c>
      <c r="H95" s="1"/>
      <c r="I95" s="19"/>
      <c r="J95" s="16"/>
      <c r="K95" s="1" t="s">
        <v>22</v>
      </c>
      <c r="L95" s="1"/>
      <c r="M95" s="1"/>
      <c r="N95" s="1"/>
      <c r="O95" s="1"/>
      <c r="P95" s="9" t="s">
        <v>313</v>
      </c>
      <c r="Q95" s="1"/>
      <c r="R95" s="1"/>
      <c r="S95" s="1"/>
      <c r="T95" s="1"/>
      <c r="U95" s="1"/>
      <c r="V95" s="1"/>
      <c r="W95" s="1"/>
      <c r="X95" s="1"/>
      <c r="Y95" s="1"/>
      <c r="Z95" s="1"/>
    </row>
    <row r="96">
      <c r="A96" s="1">
        <v>111.0</v>
      </c>
      <c r="B96" s="26" t="s">
        <v>314</v>
      </c>
      <c r="C96" s="25" t="s">
        <v>315</v>
      </c>
      <c r="D96" s="24" t="s">
        <v>316</v>
      </c>
      <c r="E96" s="16" t="s">
        <v>20</v>
      </c>
      <c r="F96" s="17" t="s">
        <v>21</v>
      </c>
      <c r="G96" s="18" t="s">
        <v>22</v>
      </c>
      <c r="H96" s="1"/>
      <c r="I96" s="19"/>
      <c r="J96" s="16" t="s">
        <v>22</v>
      </c>
      <c r="K96" s="1"/>
      <c r="L96" s="1"/>
      <c r="M96" s="1"/>
      <c r="N96" s="1"/>
      <c r="O96" s="1"/>
      <c r="P96" s="9" t="s">
        <v>299</v>
      </c>
      <c r="Q96" s="1"/>
      <c r="R96" s="1"/>
      <c r="S96" s="1"/>
      <c r="T96" s="1"/>
      <c r="U96" s="1"/>
      <c r="V96" s="1"/>
      <c r="W96" s="1"/>
      <c r="X96" s="1"/>
      <c r="Y96" s="1"/>
      <c r="Z96" s="1"/>
    </row>
    <row r="97">
      <c r="A97" s="1">
        <v>112.0</v>
      </c>
      <c r="B97" s="26" t="s">
        <v>317</v>
      </c>
      <c r="C97" s="25" t="s">
        <v>308</v>
      </c>
      <c r="D97" s="24" t="s">
        <v>216</v>
      </c>
      <c r="E97" s="16" t="s">
        <v>26</v>
      </c>
      <c r="F97" s="17" t="s">
        <v>20</v>
      </c>
      <c r="G97" s="18" t="s">
        <v>22</v>
      </c>
      <c r="H97" s="1"/>
      <c r="I97" s="19"/>
      <c r="J97" s="16"/>
      <c r="K97" s="1"/>
      <c r="L97" s="1"/>
      <c r="M97" s="1"/>
      <c r="N97" s="1"/>
      <c r="O97" s="1"/>
      <c r="P97" s="9" t="s">
        <v>306</v>
      </c>
      <c r="Q97" s="1"/>
      <c r="R97" s="1"/>
      <c r="S97" s="1"/>
      <c r="T97" s="1"/>
      <c r="U97" s="1"/>
      <c r="V97" s="1"/>
      <c r="W97" s="1"/>
      <c r="X97" s="1"/>
      <c r="Y97" s="1"/>
      <c r="Z97" s="1"/>
    </row>
    <row r="98">
      <c r="A98" s="1">
        <v>113.0</v>
      </c>
      <c r="B98" s="24" t="s">
        <v>318</v>
      </c>
      <c r="C98" s="25" t="s">
        <v>319</v>
      </c>
      <c r="D98" s="24" t="s">
        <v>95</v>
      </c>
      <c r="E98" s="16" t="s">
        <v>21</v>
      </c>
      <c r="F98" s="17" t="s">
        <v>20</v>
      </c>
      <c r="G98" s="18" t="s">
        <v>22</v>
      </c>
      <c r="H98" s="1"/>
      <c r="I98" s="19"/>
      <c r="J98" s="16"/>
      <c r="K98" s="1" t="s">
        <v>22</v>
      </c>
      <c r="L98" s="1"/>
      <c r="M98" s="1"/>
      <c r="N98" s="1"/>
      <c r="O98" s="1"/>
      <c r="P98" s="9" t="s">
        <v>320</v>
      </c>
      <c r="Q98" s="1"/>
      <c r="R98" s="1"/>
      <c r="S98" s="1"/>
      <c r="T98" s="1"/>
      <c r="U98" s="1"/>
      <c r="V98" s="1"/>
      <c r="W98" s="1"/>
      <c r="X98" s="1"/>
      <c r="Y98" s="1"/>
      <c r="Z98" s="1"/>
    </row>
    <row r="99">
      <c r="A99" s="1">
        <v>114.0</v>
      </c>
      <c r="B99" s="24" t="s">
        <v>321</v>
      </c>
      <c r="C99" s="25" t="s">
        <v>322</v>
      </c>
      <c r="D99" s="24" t="s">
        <v>323</v>
      </c>
      <c r="E99" s="16" t="s">
        <v>26</v>
      </c>
      <c r="F99" s="17" t="s">
        <v>20</v>
      </c>
      <c r="G99" s="18" t="s">
        <v>22</v>
      </c>
      <c r="H99" s="1"/>
      <c r="I99" s="19"/>
      <c r="J99" s="16"/>
      <c r="K99" s="1"/>
      <c r="L99" s="1"/>
      <c r="M99" s="1"/>
      <c r="N99" s="1"/>
      <c r="O99" s="1"/>
      <c r="P99" s="9" t="s">
        <v>324</v>
      </c>
      <c r="Q99" s="1"/>
      <c r="R99" s="1"/>
      <c r="S99" s="1"/>
      <c r="T99" s="1"/>
      <c r="U99" s="1"/>
      <c r="V99" s="1"/>
      <c r="W99" s="1"/>
      <c r="X99" s="1"/>
      <c r="Y99" s="1"/>
      <c r="Z99" s="1"/>
    </row>
    <row r="100">
      <c r="A100" s="27">
        <v>115.0</v>
      </c>
      <c r="B100" s="24" t="s">
        <v>325</v>
      </c>
      <c r="C100" s="25" t="s">
        <v>326</v>
      </c>
      <c r="D100" s="24" t="s">
        <v>327</v>
      </c>
      <c r="E100" s="16" t="s">
        <v>26</v>
      </c>
      <c r="F100" s="17" t="s">
        <v>21</v>
      </c>
      <c r="G100" s="18"/>
      <c r="H100" s="1" t="s">
        <v>22</v>
      </c>
      <c r="I100" s="19"/>
      <c r="J100" s="16"/>
      <c r="K100" s="1"/>
      <c r="L100" s="1" t="s">
        <v>22</v>
      </c>
      <c r="M100" s="1"/>
      <c r="N100" s="1" t="s">
        <v>22</v>
      </c>
      <c r="O100" s="1" t="s">
        <v>22</v>
      </c>
      <c r="P100" s="9" t="s">
        <v>328</v>
      </c>
      <c r="Q100" s="1"/>
      <c r="R100" s="1"/>
      <c r="S100" s="1"/>
      <c r="T100" s="1"/>
      <c r="U100" s="1"/>
      <c r="V100" s="1"/>
      <c r="W100" s="1"/>
      <c r="X100" s="1"/>
      <c r="Y100" s="1"/>
      <c r="Z100" s="1"/>
    </row>
    <row r="101">
      <c r="A101" s="27">
        <v>116.0</v>
      </c>
      <c r="B101" s="24" t="s">
        <v>329</v>
      </c>
      <c r="C101" s="25" t="s">
        <v>330</v>
      </c>
      <c r="D101" s="24" t="s">
        <v>331</v>
      </c>
      <c r="E101" s="16" t="s">
        <v>26</v>
      </c>
      <c r="F101" s="17" t="s">
        <v>21</v>
      </c>
      <c r="G101" s="18"/>
      <c r="H101" s="1" t="s">
        <v>22</v>
      </c>
      <c r="I101" s="19"/>
      <c r="J101" s="16"/>
      <c r="K101" s="1"/>
      <c r="L101" s="1" t="s">
        <v>22</v>
      </c>
      <c r="M101" s="1"/>
      <c r="N101" s="1"/>
      <c r="O101" s="1"/>
      <c r="P101" s="9" t="s">
        <v>332</v>
      </c>
      <c r="Q101" s="1"/>
      <c r="R101" s="1"/>
      <c r="S101" s="1"/>
      <c r="T101" s="1"/>
      <c r="U101" s="1"/>
      <c r="V101" s="1"/>
      <c r="W101" s="1"/>
      <c r="X101" s="1"/>
      <c r="Y101" s="1"/>
      <c r="Z101" s="1"/>
    </row>
    <row r="102">
      <c r="A102" s="27">
        <v>117.0</v>
      </c>
      <c r="B102" s="24" t="s">
        <v>333</v>
      </c>
      <c r="C102" s="25" t="s">
        <v>334</v>
      </c>
      <c r="D102" s="24" t="s">
        <v>110</v>
      </c>
      <c r="E102" s="16" t="s">
        <v>26</v>
      </c>
      <c r="F102" s="17" t="s">
        <v>20</v>
      </c>
      <c r="G102" s="18" t="s">
        <v>22</v>
      </c>
      <c r="H102" s="1"/>
      <c r="I102" s="19"/>
      <c r="J102" s="16"/>
      <c r="K102" s="1" t="s">
        <v>22</v>
      </c>
      <c r="L102" s="1"/>
      <c r="M102" s="1"/>
      <c r="N102" s="1"/>
      <c r="O102" s="1"/>
      <c r="P102" s="9" t="s">
        <v>335</v>
      </c>
      <c r="Q102" s="1"/>
      <c r="R102" s="1"/>
      <c r="S102" s="1"/>
      <c r="T102" s="1"/>
      <c r="U102" s="1"/>
      <c r="V102" s="1"/>
      <c r="W102" s="1"/>
      <c r="X102" s="1"/>
      <c r="Y102" s="1"/>
      <c r="Z102" s="1"/>
    </row>
    <row r="103">
      <c r="A103" s="28">
        <v>118.0</v>
      </c>
      <c r="B103" s="29" t="s">
        <v>336</v>
      </c>
      <c r="C103" s="30" t="s">
        <v>337</v>
      </c>
      <c r="D103" s="31" t="s">
        <v>338</v>
      </c>
      <c r="E103" s="12" t="s">
        <v>26</v>
      </c>
      <c r="F103" s="13" t="s">
        <v>21</v>
      </c>
      <c r="G103" s="12"/>
      <c r="H103" s="32" t="s">
        <v>22</v>
      </c>
      <c r="I103" s="13"/>
      <c r="J103" s="33"/>
      <c r="K103" s="32" t="s">
        <v>22</v>
      </c>
      <c r="L103" s="32"/>
      <c r="M103" s="32"/>
      <c r="N103" s="32"/>
      <c r="O103" s="32"/>
      <c r="P103" s="14" t="s">
        <v>339</v>
      </c>
      <c r="Q103" s="1"/>
      <c r="R103" s="1"/>
      <c r="S103" s="1"/>
      <c r="T103" s="1"/>
      <c r="U103" s="1"/>
      <c r="V103" s="1"/>
      <c r="W103" s="1"/>
      <c r="X103" s="1"/>
      <c r="Y103" s="1"/>
      <c r="Z103" s="1"/>
    </row>
    <row r="104">
      <c r="A104" s="1"/>
      <c r="B104" s="1"/>
      <c r="C104" s="1"/>
      <c r="D104" s="1"/>
      <c r="E104" s="1"/>
      <c r="F104" s="1"/>
      <c r="G104" s="1">
        <f t="shared" ref="G104:O104" si="1">COUNTIF(G4:G103,"x")</f>
        <v>34</v>
      </c>
      <c r="H104" s="1">
        <f t="shared" si="1"/>
        <v>45</v>
      </c>
      <c r="I104" s="1">
        <f t="shared" si="1"/>
        <v>18</v>
      </c>
      <c r="J104" s="1">
        <f t="shared" si="1"/>
        <v>5</v>
      </c>
      <c r="K104" s="1">
        <f t="shared" si="1"/>
        <v>30</v>
      </c>
      <c r="L104" s="1">
        <f t="shared" si="1"/>
        <v>10</v>
      </c>
      <c r="M104" s="1">
        <f t="shared" si="1"/>
        <v>8</v>
      </c>
      <c r="N104" s="1">
        <f t="shared" si="1"/>
        <v>16</v>
      </c>
      <c r="O104" s="1">
        <f t="shared" si="1"/>
        <v>17</v>
      </c>
      <c r="P104" s="34"/>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34"/>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34"/>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34"/>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34"/>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34"/>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34"/>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34"/>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34"/>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34"/>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34"/>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34"/>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34"/>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34"/>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34"/>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34"/>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34"/>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34"/>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34"/>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34"/>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34"/>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34"/>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34"/>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34"/>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34"/>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34"/>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34"/>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34"/>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34"/>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34"/>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34"/>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34"/>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34"/>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34"/>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34"/>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34"/>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34"/>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34"/>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34"/>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34"/>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34"/>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34"/>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34"/>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34"/>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34"/>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34"/>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34"/>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34"/>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34"/>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34"/>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34"/>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34"/>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34"/>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34"/>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34"/>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34"/>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34"/>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34"/>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34"/>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34"/>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34"/>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34"/>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34"/>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34"/>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34"/>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34"/>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34"/>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34"/>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34"/>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34"/>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34"/>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34"/>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34"/>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34"/>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34"/>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34"/>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34"/>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34"/>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34"/>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34"/>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34"/>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34"/>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34"/>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34"/>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34"/>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34"/>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34"/>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34"/>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34"/>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34"/>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34"/>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34"/>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34"/>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34"/>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34"/>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34"/>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34"/>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34"/>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34"/>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34"/>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34"/>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34"/>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34"/>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34"/>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34"/>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34"/>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34"/>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34"/>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34"/>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34"/>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34"/>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34"/>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34"/>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34"/>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34"/>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34"/>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34"/>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34"/>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34"/>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34"/>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34"/>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34"/>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34"/>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34"/>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34"/>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34"/>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34"/>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34"/>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34"/>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34"/>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34"/>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34"/>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34"/>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34"/>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34"/>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34"/>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34"/>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34"/>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34"/>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34"/>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34"/>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34"/>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34"/>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34"/>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34"/>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34"/>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34"/>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34"/>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34"/>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34"/>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34"/>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34"/>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34"/>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34"/>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34"/>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34"/>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34"/>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34"/>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34"/>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34"/>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34"/>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34"/>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34"/>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34"/>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34"/>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34"/>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34"/>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34"/>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34"/>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34"/>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34"/>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34"/>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34"/>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34"/>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34"/>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34"/>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34"/>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34"/>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34"/>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34"/>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34"/>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34"/>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34"/>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34"/>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34"/>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34"/>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34"/>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34"/>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34"/>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34"/>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34"/>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34"/>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34"/>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34"/>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34"/>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34"/>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34"/>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34"/>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34"/>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34"/>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34"/>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34"/>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34"/>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34"/>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34"/>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34"/>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34"/>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34"/>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34"/>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34"/>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34"/>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34"/>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34"/>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34"/>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34"/>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34"/>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34"/>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34"/>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34"/>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34"/>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34"/>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34"/>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34"/>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34"/>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34"/>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34"/>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34"/>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34"/>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34"/>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34"/>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34"/>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34"/>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34"/>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34"/>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34"/>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34"/>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34"/>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34"/>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34"/>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34"/>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34"/>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34"/>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34"/>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34"/>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34"/>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34"/>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34"/>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34"/>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34"/>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34"/>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34"/>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34"/>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34"/>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34"/>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34"/>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34"/>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34"/>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34"/>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34"/>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34"/>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34"/>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34"/>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34"/>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34"/>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34"/>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34"/>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34"/>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34"/>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34"/>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34"/>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34"/>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34"/>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34"/>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34"/>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34"/>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34"/>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34"/>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34"/>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34"/>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34"/>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34"/>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34"/>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34"/>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34"/>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34"/>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34"/>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34"/>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34"/>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34"/>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34"/>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34"/>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34"/>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34"/>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34"/>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34"/>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34"/>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34"/>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34"/>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34"/>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34"/>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34"/>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34"/>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34"/>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34"/>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34"/>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34"/>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34"/>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34"/>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34"/>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34"/>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34"/>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34"/>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34"/>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34"/>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34"/>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34"/>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34"/>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34"/>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34"/>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34"/>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34"/>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34"/>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34"/>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34"/>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34"/>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34"/>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34"/>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34"/>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34"/>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34"/>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34"/>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34"/>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34"/>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34"/>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34"/>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34"/>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34"/>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34"/>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34"/>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34"/>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34"/>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34"/>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34"/>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34"/>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34"/>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34"/>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34"/>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34"/>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34"/>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34"/>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34"/>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34"/>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34"/>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34"/>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34"/>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34"/>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34"/>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34"/>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34"/>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34"/>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34"/>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34"/>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34"/>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34"/>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34"/>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34"/>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34"/>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34"/>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34"/>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34"/>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34"/>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34"/>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34"/>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34"/>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34"/>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34"/>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34"/>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34"/>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34"/>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34"/>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34"/>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34"/>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34"/>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34"/>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34"/>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34"/>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34"/>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34"/>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34"/>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34"/>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34"/>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34"/>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34"/>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34"/>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34"/>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34"/>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34"/>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34"/>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34"/>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34"/>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34"/>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34"/>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34"/>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34"/>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34"/>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34"/>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34"/>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34"/>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34"/>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34"/>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34"/>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34"/>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34"/>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34"/>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34"/>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34"/>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34"/>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34"/>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34"/>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34"/>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34"/>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34"/>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34"/>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34"/>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34"/>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34"/>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34"/>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34"/>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34"/>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34"/>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34"/>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34"/>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34"/>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34"/>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34"/>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34"/>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34"/>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34"/>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34"/>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34"/>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34"/>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34"/>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34"/>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34"/>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34"/>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34"/>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34"/>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34"/>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34"/>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34"/>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34"/>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34"/>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34"/>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34"/>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34"/>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34"/>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34"/>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34"/>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34"/>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34"/>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34"/>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34"/>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34"/>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34"/>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34"/>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34"/>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34"/>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34"/>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34"/>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34"/>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34"/>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34"/>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34"/>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34"/>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34"/>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34"/>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34"/>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34"/>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34"/>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34"/>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34"/>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34"/>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34"/>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34"/>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34"/>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34"/>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34"/>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34"/>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34"/>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34"/>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34"/>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34"/>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34"/>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34"/>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34"/>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34"/>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34"/>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34"/>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34"/>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34"/>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34"/>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34"/>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34"/>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34"/>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34"/>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34"/>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34"/>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34"/>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34"/>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34"/>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34"/>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34"/>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34"/>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34"/>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34"/>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34"/>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34"/>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34"/>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34"/>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34"/>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34"/>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34"/>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34"/>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34"/>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34"/>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34"/>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34"/>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34"/>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34"/>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34"/>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34"/>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34"/>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34"/>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34"/>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34"/>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34"/>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34"/>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34"/>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34"/>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34"/>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34"/>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34"/>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34"/>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34"/>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34"/>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34"/>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34"/>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34"/>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34"/>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34"/>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34"/>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34"/>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34"/>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34"/>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34"/>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34"/>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34"/>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34"/>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34"/>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34"/>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34"/>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34"/>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34"/>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34"/>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34"/>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34"/>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34"/>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34"/>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34"/>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34"/>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34"/>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34"/>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34"/>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34"/>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34"/>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34"/>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34"/>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34"/>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34"/>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34"/>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34"/>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34"/>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34"/>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34"/>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34"/>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34"/>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34"/>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34"/>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34"/>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34"/>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34"/>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34"/>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34"/>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34"/>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34"/>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34"/>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34"/>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34"/>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34"/>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34"/>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34"/>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34"/>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34"/>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34"/>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34"/>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34"/>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34"/>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34"/>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34"/>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34"/>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34"/>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34"/>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34"/>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34"/>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34"/>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34"/>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34"/>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34"/>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34"/>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34"/>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34"/>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34"/>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34"/>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34"/>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34"/>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34"/>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34"/>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34"/>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34"/>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34"/>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34"/>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34"/>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34"/>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34"/>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34"/>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34"/>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34"/>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34"/>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34"/>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34"/>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34"/>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34"/>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34"/>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34"/>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34"/>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34"/>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34"/>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34"/>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34"/>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34"/>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34"/>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34"/>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34"/>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34"/>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34"/>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34"/>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34"/>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34"/>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34"/>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34"/>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34"/>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34"/>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34"/>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34"/>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34"/>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34"/>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34"/>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34"/>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34"/>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34"/>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34"/>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34"/>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34"/>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34"/>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34"/>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34"/>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34"/>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34"/>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34"/>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34"/>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34"/>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34"/>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34"/>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34"/>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34"/>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34"/>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34"/>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34"/>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34"/>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34"/>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34"/>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34"/>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34"/>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34"/>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34"/>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34"/>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34"/>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34"/>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34"/>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34"/>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34"/>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34"/>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34"/>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34"/>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34"/>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34"/>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34"/>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34"/>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34"/>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34"/>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34"/>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34"/>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34"/>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34"/>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34"/>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34"/>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34"/>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34"/>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34"/>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34"/>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34"/>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34"/>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34"/>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34"/>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34"/>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34"/>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34"/>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34"/>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34"/>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34"/>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34"/>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34"/>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34"/>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34"/>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34"/>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34"/>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34"/>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34"/>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34"/>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34"/>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34"/>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34"/>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34"/>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34"/>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34"/>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34"/>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34"/>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34"/>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34"/>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34"/>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34"/>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34"/>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34"/>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34"/>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34"/>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34"/>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34"/>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34"/>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34"/>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34"/>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34"/>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34"/>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34"/>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34"/>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34"/>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34"/>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34"/>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34"/>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34"/>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34"/>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34"/>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34"/>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34"/>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34"/>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34"/>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34"/>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34"/>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34"/>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34"/>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34"/>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34"/>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34"/>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34"/>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34"/>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34"/>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34"/>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34"/>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34"/>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34"/>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34"/>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34"/>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34"/>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34"/>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34"/>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34"/>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34"/>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34"/>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34"/>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34"/>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34"/>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34"/>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34"/>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34"/>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34"/>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34"/>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34"/>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34"/>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34"/>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34"/>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34"/>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34"/>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34"/>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34"/>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34"/>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34"/>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34"/>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34"/>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34"/>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34"/>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34"/>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34"/>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34"/>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34"/>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34"/>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34"/>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34"/>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34"/>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34"/>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34"/>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34"/>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34"/>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34"/>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34"/>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34"/>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34"/>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34"/>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34"/>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34"/>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34"/>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34"/>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34"/>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34"/>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34"/>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34"/>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34"/>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34"/>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34"/>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34"/>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34"/>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34"/>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34"/>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34"/>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34"/>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34"/>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34"/>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34"/>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34"/>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34"/>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34"/>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34"/>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34"/>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34"/>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34"/>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34"/>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34"/>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34"/>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34"/>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34"/>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34"/>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34"/>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34"/>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34"/>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34"/>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34"/>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34"/>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34"/>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34"/>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34"/>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34"/>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34"/>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34"/>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34"/>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34"/>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34"/>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34"/>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34"/>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34"/>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34"/>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34"/>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34"/>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34"/>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34"/>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34"/>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34"/>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34"/>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34"/>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34"/>
      <c r="Q1000" s="1"/>
      <c r="R1000" s="1"/>
      <c r="S1000" s="1"/>
      <c r="T1000" s="1"/>
      <c r="U1000" s="1"/>
      <c r="V1000" s="1"/>
      <c r="W1000" s="1"/>
      <c r="X1000" s="1"/>
      <c r="Y1000" s="1"/>
      <c r="Z1000" s="1"/>
    </row>
  </sheetData>
  <mergeCells count="3">
    <mergeCell ref="E2:F2"/>
    <mergeCell ref="G2:I2"/>
    <mergeCell ref="J2:O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sheetData>
    <row r="1">
      <c r="E1" s="100"/>
      <c r="G1" s="100"/>
      <c r="I1" s="101"/>
      <c r="O1" s="101"/>
    </row>
    <row r="2">
      <c r="B2" s="72" t="s">
        <v>0</v>
      </c>
      <c r="C2" s="72" t="s">
        <v>1</v>
      </c>
      <c r="D2" s="72" t="s">
        <v>2</v>
      </c>
      <c r="E2" s="100" t="s">
        <v>3</v>
      </c>
      <c r="F2" s="101"/>
      <c r="G2" s="100" t="s">
        <v>4</v>
      </c>
      <c r="I2" s="101"/>
      <c r="J2" s="72" t="s">
        <v>5</v>
      </c>
      <c r="O2" s="101"/>
    </row>
    <row r="3">
      <c r="A3" s="69" t="s">
        <v>6</v>
      </c>
      <c r="B3" s="69"/>
      <c r="C3" s="69"/>
      <c r="D3" s="69"/>
      <c r="E3" s="102" t="s">
        <v>7</v>
      </c>
      <c r="F3" s="103" t="s">
        <v>8</v>
      </c>
      <c r="G3" s="102" t="s">
        <v>7</v>
      </c>
      <c r="H3" s="69" t="s">
        <v>8</v>
      </c>
      <c r="I3" s="103" t="s">
        <v>9</v>
      </c>
      <c r="J3" s="69" t="s">
        <v>340</v>
      </c>
      <c r="K3" s="69" t="s">
        <v>341</v>
      </c>
      <c r="L3" s="69" t="s">
        <v>342</v>
      </c>
      <c r="M3" s="69" t="s">
        <v>343</v>
      </c>
      <c r="N3" s="69" t="s">
        <v>344</v>
      </c>
      <c r="O3" s="103" t="s">
        <v>16</v>
      </c>
      <c r="P3" s="98" t="s">
        <v>766</v>
      </c>
    </row>
    <row r="4">
      <c r="A4" s="72">
        <v>34.0</v>
      </c>
      <c r="B4" s="72" t="s">
        <v>442</v>
      </c>
      <c r="C4" s="72" t="s">
        <v>800</v>
      </c>
      <c r="D4" s="72">
        <v>0.004</v>
      </c>
      <c r="E4" s="100" t="s">
        <v>21</v>
      </c>
      <c r="F4" s="101" t="s">
        <v>20</v>
      </c>
      <c r="H4" s="72" t="s">
        <v>22</v>
      </c>
      <c r="I4" s="101"/>
      <c r="M4" s="72" t="s">
        <v>22</v>
      </c>
      <c r="O4" s="101"/>
      <c r="P4" s="99">
        <f>random_key!A34</f>
        <v>0.00126792185</v>
      </c>
    </row>
    <row r="5">
      <c r="A5" s="72">
        <v>32.0</v>
      </c>
      <c r="B5" s="72" t="s">
        <v>436</v>
      </c>
      <c r="C5" s="72" t="s">
        <v>797</v>
      </c>
      <c r="D5" s="72">
        <v>0.002</v>
      </c>
      <c r="E5" s="100" t="s">
        <v>21</v>
      </c>
      <c r="F5" s="101" t="s">
        <v>20</v>
      </c>
      <c r="H5" s="72" t="s">
        <v>22</v>
      </c>
      <c r="I5" s="101"/>
      <c r="N5" s="72" t="s">
        <v>22</v>
      </c>
      <c r="O5" s="101"/>
      <c r="P5" s="99">
        <f>random_key!A32</f>
        <v>0.014775109</v>
      </c>
    </row>
    <row r="6">
      <c r="A6" s="72">
        <v>78.0</v>
      </c>
      <c r="B6" s="72" t="s">
        <v>584</v>
      </c>
      <c r="C6" s="72" t="s">
        <v>834</v>
      </c>
      <c r="D6" s="72">
        <v>0.948</v>
      </c>
      <c r="E6" s="100" t="s">
        <v>351</v>
      </c>
      <c r="F6" s="101" t="s">
        <v>21</v>
      </c>
      <c r="H6" s="72" t="s">
        <v>22</v>
      </c>
      <c r="I6" s="101"/>
      <c r="N6" s="72" t="s">
        <v>22</v>
      </c>
      <c r="O6" s="101"/>
      <c r="P6" s="99">
        <f>random_key!A78</f>
        <v>0.02361814938</v>
      </c>
    </row>
    <row r="7">
      <c r="A7" s="72">
        <v>24.0</v>
      </c>
      <c r="B7" s="72" t="s">
        <v>411</v>
      </c>
      <c r="C7" s="72" t="s">
        <v>789</v>
      </c>
      <c r="D7" s="72">
        <v>0.537</v>
      </c>
      <c r="E7" s="100" t="s">
        <v>351</v>
      </c>
      <c r="F7" s="101" t="s">
        <v>21</v>
      </c>
      <c r="H7" s="72" t="s">
        <v>22</v>
      </c>
      <c r="I7" s="101"/>
      <c r="L7" s="72" t="s">
        <v>22</v>
      </c>
      <c r="O7" s="101"/>
      <c r="P7" s="99">
        <f>random_key!A24</f>
        <v>0.0411164938</v>
      </c>
    </row>
    <row r="8">
      <c r="A8" s="72">
        <v>60.0</v>
      </c>
      <c r="B8" s="72" t="s">
        <v>529</v>
      </c>
      <c r="C8" s="72" t="s">
        <v>820</v>
      </c>
      <c r="D8" s="72">
        <v>0.794</v>
      </c>
      <c r="E8" s="100" t="s">
        <v>351</v>
      </c>
      <c r="F8" s="101" t="s">
        <v>21</v>
      </c>
      <c r="G8" s="72" t="s">
        <v>22</v>
      </c>
      <c r="I8" s="101"/>
      <c r="J8" s="72" t="s">
        <v>22</v>
      </c>
      <c r="O8" s="101"/>
      <c r="P8" s="99">
        <f>random_key!A60</f>
        <v>0.04241728525</v>
      </c>
    </row>
    <row r="9">
      <c r="A9" s="72">
        <v>31.0</v>
      </c>
      <c r="B9" s="72" t="s">
        <v>433</v>
      </c>
      <c r="C9" s="72" t="s">
        <v>796</v>
      </c>
      <c r="D9" s="72">
        <v>0.969</v>
      </c>
      <c r="E9" s="100" t="s">
        <v>351</v>
      </c>
      <c r="F9" s="101" t="s">
        <v>21</v>
      </c>
      <c r="I9" s="101" t="s">
        <v>22</v>
      </c>
      <c r="L9" s="72" t="s">
        <v>22</v>
      </c>
      <c r="O9" s="101"/>
      <c r="P9" s="99">
        <f>random_key!A31</f>
        <v>0.04729217204</v>
      </c>
    </row>
    <row r="10">
      <c r="A10" s="72">
        <v>56.0</v>
      </c>
      <c r="B10" s="72" t="s">
        <v>517</v>
      </c>
      <c r="C10" s="72" t="s">
        <v>818</v>
      </c>
      <c r="D10" s="72">
        <v>0.945</v>
      </c>
      <c r="E10" s="100" t="s">
        <v>351</v>
      </c>
      <c r="F10" s="101" t="s">
        <v>21</v>
      </c>
      <c r="I10" s="101"/>
      <c r="O10" s="101"/>
      <c r="P10" s="99">
        <f>random_key!A56</f>
        <v>0.07656247635</v>
      </c>
    </row>
    <row r="11">
      <c r="A11" s="72">
        <v>15.0</v>
      </c>
      <c r="B11" s="72" t="s">
        <v>384</v>
      </c>
      <c r="C11" s="72" t="s">
        <v>779</v>
      </c>
      <c r="D11" s="72">
        <v>0.001</v>
      </c>
      <c r="E11" s="100" t="s">
        <v>21</v>
      </c>
      <c r="F11" s="101" t="s">
        <v>20</v>
      </c>
      <c r="H11" s="72" t="s">
        <v>22</v>
      </c>
      <c r="I11" s="101"/>
      <c r="N11" s="72" t="s">
        <v>22</v>
      </c>
      <c r="O11" s="101"/>
      <c r="P11" s="99">
        <f>random_key!A15</f>
        <v>0.0980610577</v>
      </c>
    </row>
    <row r="12">
      <c r="A12" s="72">
        <v>52.0</v>
      </c>
      <c r="B12" s="72" t="s">
        <v>505</v>
      </c>
      <c r="C12" s="72" t="s">
        <v>788</v>
      </c>
      <c r="D12" s="72">
        <v>0.018</v>
      </c>
      <c r="E12" s="100" t="s">
        <v>21</v>
      </c>
      <c r="F12" s="101" t="s">
        <v>31</v>
      </c>
      <c r="G12" s="72" t="s">
        <v>22</v>
      </c>
      <c r="I12" s="101"/>
      <c r="M12" s="72" t="s">
        <v>22</v>
      </c>
      <c r="O12" s="101"/>
      <c r="P12" s="99">
        <f>random_key!A52</f>
        <v>0.1163449744</v>
      </c>
    </row>
    <row r="13">
      <c r="A13" s="72">
        <v>92.0</v>
      </c>
      <c r="B13" s="72" t="s">
        <v>636</v>
      </c>
      <c r="C13" s="72" t="s">
        <v>771</v>
      </c>
      <c r="D13" s="72">
        <v>0.977</v>
      </c>
      <c r="E13" s="100" t="s">
        <v>351</v>
      </c>
      <c r="F13" s="101" t="s">
        <v>21</v>
      </c>
      <c r="I13" s="101"/>
      <c r="O13" s="101"/>
      <c r="P13" s="99">
        <f>random_key!A92</f>
        <v>0.1176876676</v>
      </c>
    </row>
    <row r="14">
      <c r="A14" s="72">
        <v>36.0</v>
      </c>
      <c r="B14" s="72" t="s">
        <v>448</v>
      </c>
      <c r="C14" s="72" t="s">
        <v>802</v>
      </c>
      <c r="D14" s="72">
        <v>0.408</v>
      </c>
      <c r="E14" s="100" t="s">
        <v>21</v>
      </c>
      <c r="F14" s="101" t="s">
        <v>20</v>
      </c>
      <c r="I14" s="101"/>
      <c r="O14" s="101"/>
      <c r="P14" s="99">
        <f>random_key!A36</f>
        <v>0.1197756392</v>
      </c>
    </row>
    <row r="15">
      <c r="A15" s="72">
        <v>87.0</v>
      </c>
      <c r="B15" s="72" t="s">
        <v>617</v>
      </c>
      <c r="C15" s="72" t="s">
        <v>841</v>
      </c>
      <c r="D15" s="72">
        <v>0.572</v>
      </c>
      <c r="E15" s="100" t="s">
        <v>351</v>
      </c>
      <c r="F15" s="101" t="s">
        <v>21</v>
      </c>
      <c r="H15" s="72" t="s">
        <v>22</v>
      </c>
      <c r="I15" s="101"/>
      <c r="L15" s="72" t="s">
        <v>22</v>
      </c>
      <c r="O15" s="101"/>
      <c r="P15" s="99">
        <f>random_key!A87</f>
        <v>0.1801476423</v>
      </c>
    </row>
    <row r="16">
      <c r="A16" s="72">
        <v>9.0</v>
      </c>
      <c r="B16" s="72" t="s">
        <v>368</v>
      </c>
      <c r="C16" s="72" t="s">
        <v>774</v>
      </c>
      <c r="D16" s="72">
        <v>0.524</v>
      </c>
      <c r="E16" s="100" t="s">
        <v>351</v>
      </c>
      <c r="F16" s="101" t="s">
        <v>21</v>
      </c>
      <c r="G16" s="72" t="s">
        <v>22</v>
      </c>
      <c r="I16" s="101"/>
      <c r="J16" s="72" t="s">
        <v>22</v>
      </c>
      <c r="O16" s="101"/>
      <c r="P16" s="99">
        <f>random_key!A9</f>
        <v>0.1930796601</v>
      </c>
    </row>
    <row r="17">
      <c r="A17" s="72">
        <v>7.0</v>
      </c>
      <c r="B17" s="72" t="s">
        <v>363</v>
      </c>
      <c r="C17" s="72" t="s">
        <v>767</v>
      </c>
      <c r="D17" s="72">
        <v>0.099</v>
      </c>
      <c r="E17" s="100" t="s">
        <v>21</v>
      </c>
      <c r="F17" s="101" t="s">
        <v>31</v>
      </c>
      <c r="I17" s="101"/>
      <c r="O17" s="101"/>
      <c r="P17" s="99">
        <f>random_key!A7</f>
        <v>0.2005901691</v>
      </c>
    </row>
    <row r="18">
      <c r="A18" s="72">
        <v>14.0</v>
      </c>
      <c r="B18" s="72" t="s">
        <v>381</v>
      </c>
      <c r="C18" s="72" t="s">
        <v>778</v>
      </c>
      <c r="D18" s="72">
        <v>0.626</v>
      </c>
      <c r="E18" s="100" t="s">
        <v>351</v>
      </c>
      <c r="F18" s="101" t="s">
        <v>21</v>
      </c>
      <c r="I18" s="101"/>
      <c r="O18" s="101"/>
      <c r="P18" s="99">
        <f>random_key!A14</f>
        <v>0.2045792564</v>
      </c>
    </row>
    <row r="19">
      <c r="A19" s="72">
        <v>49.0</v>
      </c>
      <c r="B19" s="72" t="s">
        <v>493</v>
      </c>
      <c r="C19" s="72" t="s">
        <v>813</v>
      </c>
      <c r="D19" s="72">
        <v>0.718</v>
      </c>
      <c r="E19" s="100" t="s">
        <v>351</v>
      </c>
      <c r="F19" s="101" t="s">
        <v>21</v>
      </c>
      <c r="G19" s="72" t="s">
        <v>22</v>
      </c>
      <c r="I19" s="101"/>
      <c r="J19" s="72" t="s">
        <v>22</v>
      </c>
      <c r="O19" s="101"/>
      <c r="P19" s="99">
        <f>random_key!A49</f>
        <v>0.2046791854</v>
      </c>
    </row>
    <row r="20">
      <c r="A20" s="72">
        <v>73.0</v>
      </c>
      <c r="B20" s="72" t="s">
        <v>568</v>
      </c>
      <c r="C20" s="72" t="s">
        <v>829</v>
      </c>
      <c r="D20" s="72">
        <v>0.637</v>
      </c>
      <c r="E20" s="100" t="s">
        <v>351</v>
      </c>
      <c r="F20" s="101" t="s">
        <v>21</v>
      </c>
      <c r="G20" s="72" t="s">
        <v>22</v>
      </c>
      <c r="I20" s="101"/>
      <c r="J20" s="72" t="s">
        <v>22</v>
      </c>
      <c r="O20" s="101"/>
      <c r="P20" s="99">
        <f>random_key!A73</f>
        <v>0.2060904439</v>
      </c>
    </row>
    <row r="21">
      <c r="A21" s="72">
        <v>91.0</v>
      </c>
      <c r="B21" s="72" t="s">
        <v>633</v>
      </c>
      <c r="C21" s="72" t="s">
        <v>843</v>
      </c>
      <c r="D21" s="72">
        <v>0.957</v>
      </c>
      <c r="E21" s="100" t="s">
        <v>351</v>
      </c>
      <c r="F21" s="101" t="s">
        <v>21</v>
      </c>
      <c r="H21" s="72" t="s">
        <v>22</v>
      </c>
      <c r="I21" s="101"/>
      <c r="M21" s="72" t="s">
        <v>22</v>
      </c>
      <c r="O21" s="101"/>
      <c r="P21" s="99">
        <f>random_key!A91</f>
        <v>0.208460173</v>
      </c>
    </row>
    <row r="22">
      <c r="A22" s="72">
        <v>47.0</v>
      </c>
      <c r="B22" s="72" t="s">
        <v>488</v>
      </c>
      <c r="C22" s="72" t="s">
        <v>773</v>
      </c>
      <c r="D22" s="72">
        <v>0.885</v>
      </c>
      <c r="E22" s="100" t="s">
        <v>351</v>
      </c>
      <c r="F22" s="101" t="s">
        <v>21</v>
      </c>
      <c r="I22" s="101" t="s">
        <v>22</v>
      </c>
      <c r="L22" s="72" t="s">
        <v>22</v>
      </c>
      <c r="O22" s="101"/>
      <c r="P22" s="99">
        <f>random_key!A47</f>
        <v>0.2140410334</v>
      </c>
    </row>
    <row r="23">
      <c r="A23" s="72">
        <v>82.0</v>
      </c>
      <c r="B23" s="72" t="s">
        <v>598</v>
      </c>
      <c r="C23" s="72" t="s">
        <v>836</v>
      </c>
      <c r="D23" s="72">
        <v>0.227</v>
      </c>
      <c r="E23" s="100" t="s">
        <v>21</v>
      </c>
      <c r="F23" s="101" t="s">
        <v>20</v>
      </c>
      <c r="I23" s="101"/>
      <c r="O23" s="101"/>
      <c r="P23" s="99">
        <f>random_key!A82</f>
        <v>0.2217316316</v>
      </c>
    </row>
    <row r="24">
      <c r="A24" s="72">
        <v>19.0</v>
      </c>
      <c r="B24" s="72" t="s">
        <v>398</v>
      </c>
      <c r="C24" s="72" t="s">
        <v>784</v>
      </c>
      <c r="D24" s="72">
        <v>0.164</v>
      </c>
      <c r="E24" s="100" t="s">
        <v>21</v>
      </c>
      <c r="F24" s="101" t="s">
        <v>20</v>
      </c>
      <c r="I24" s="101" t="s">
        <v>22</v>
      </c>
      <c r="O24" s="101" t="s">
        <v>859</v>
      </c>
      <c r="P24" s="99">
        <f>random_key!A19</f>
        <v>0.2255976227</v>
      </c>
    </row>
    <row r="25">
      <c r="A25" s="72">
        <v>17.0</v>
      </c>
      <c r="B25" s="72" t="s">
        <v>390</v>
      </c>
      <c r="C25" s="72" t="s">
        <v>781</v>
      </c>
      <c r="D25" s="72">
        <v>0.855</v>
      </c>
      <c r="E25" s="100" t="s">
        <v>351</v>
      </c>
      <c r="F25" s="101" t="s">
        <v>21</v>
      </c>
      <c r="H25" s="72" t="s">
        <v>22</v>
      </c>
      <c r="I25" s="101"/>
      <c r="M25" s="72" t="s">
        <v>22</v>
      </c>
      <c r="O25" s="101"/>
      <c r="P25" s="99">
        <f>random_key!A17</f>
        <v>0.2359531103</v>
      </c>
    </row>
    <row r="26">
      <c r="A26" s="72">
        <v>29.0</v>
      </c>
      <c r="B26" s="72" t="s">
        <v>428</v>
      </c>
      <c r="C26" s="72" t="s">
        <v>794</v>
      </c>
      <c r="D26" s="72">
        <v>0.906</v>
      </c>
      <c r="E26" s="100" t="s">
        <v>351</v>
      </c>
      <c r="F26" s="101" t="s">
        <v>21</v>
      </c>
      <c r="G26" s="72" t="s">
        <v>22</v>
      </c>
      <c r="I26" s="101"/>
      <c r="J26" s="72" t="s">
        <v>22</v>
      </c>
      <c r="O26" s="101"/>
      <c r="P26" s="99">
        <f>random_key!A29</f>
        <v>0.2367282546</v>
      </c>
    </row>
    <row r="27">
      <c r="A27" s="72">
        <v>44.0</v>
      </c>
      <c r="B27" s="72" t="s">
        <v>477</v>
      </c>
      <c r="C27" s="72" t="s">
        <v>810</v>
      </c>
      <c r="D27" s="72">
        <v>0.543</v>
      </c>
      <c r="E27" s="100" t="s">
        <v>351</v>
      </c>
      <c r="F27" s="101" t="s">
        <v>21</v>
      </c>
      <c r="I27" s="101"/>
      <c r="O27" s="101"/>
      <c r="P27" s="99">
        <f>random_key!A44</f>
        <v>0.2390760191</v>
      </c>
    </row>
    <row r="28">
      <c r="A28" s="72">
        <v>41.0</v>
      </c>
      <c r="B28" s="72" t="s">
        <v>467</v>
      </c>
      <c r="C28" s="72" t="s">
        <v>807</v>
      </c>
      <c r="D28" s="72">
        <v>0.793</v>
      </c>
      <c r="E28" s="100" t="s">
        <v>351</v>
      </c>
      <c r="F28" s="101" t="s">
        <v>21</v>
      </c>
      <c r="I28" s="101"/>
      <c r="O28" s="101"/>
      <c r="P28" s="99">
        <f>random_key!A41</f>
        <v>0.2504741674</v>
      </c>
    </row>
    <row r="29">
      <c r="A29" s="72">
        <v>20.0</v>
      </c>
      <c r="B29" s="72" t="s">
        <v>402</v>
      </c>
      <c r="C29" s="72" t="s">
        <v>773</v>
      </c>
      <c r="D29" s="72">
        <v>0.81</v>
      </c>
      <c r="E29" s="100" t="s">
        <v>351</v>
      </c>
      <c r="F29" s="101" t="s">
        <v>21</v>
      </c>
      <c r="G29" s="72" t="s">
        <v>22</v>
      </c>
      <c r="I29" s="101"/>
      <c r="J29" s="72" t="s">
        <v>22</v>
      </c>
      <c r="O29" s="101"/>
      <c r="P29" s="99">
        <f>random_key!A20</f>
        <v>0.2628754448</v>
      </c>
    </row>
    <row r="30">
      <c r="A30" s="72">
        <v>85.0</v>
      </c>
      <c r="B30" s="72" t="s">
        <v>609</v>
      </c>
      <c r="C30" s="72" t="s">
        <v>839</v>
      </c>
      <c r="D30" s="72">
        <v>0.841</v>
      </c>
      <c r="E30" s="100" t="s">
        <v>351</v>
      </c>
      <c r="F30" s="101" t="s">
        <v>21</v>
      </c>
      <c r="G30" s="72" t="s">
        <v>22</v>
      </c>
      <c r="I30" s="101"/>
      <c r="J30" s="72" t="s">
        <v>22</v>
      </c>
      <c r="O30" s="101"/>
      <c r="P30" s="99">
        <f>random_key!A85</f>
        <v>0.2733204148</v>
      </c>
    </row>
    <row r="31">
      <c r="A31" s="72">
        <v>71.0</v>
      </c>
      <c r="B31" s="72" t="s">
        <v>562</v>
      </c>
      <c r="C31" s="72" t="s">
        <v>827</v>
      </c>
      <c r="D31" s="72">
        <v>0.928</v>
      </c>
      <c r="E31" s="100" t="s">
        <v>351</v>
      </c>
      <c r="F31" s="101" t="s">
        <v>21</v>
      </c>
      <c r="I31" s="101"/>
      <c r="O31" s="101"/>
      <c r="P31" s="99">
        <f>random_key!A71</f>
        <v>0.278433439</v>
      </c>
    </row>
    <row r="32">
      <c r="A32" s="72">
        <v>88.0</v>
      </c>
      <c r="B32" s="72" t="s">
        <v>621</v>
      </c>
      <c r="C32" s="72" t="s">
        <v>842</v>
      </c>
      <c r="D32" s="72">
        <v>0.986</v>
      </c>
      <c r="E32" s="100" t="s">
        <v>351</v>
      </c>
      <c r="F32" s="101" t="s">
        <v>21</v>
      </c>
      <c r="H32" s="72" t="s">
        <v>22</v>
      </c>
      <c r="I32" s="101"/>
      <c r="M32" s="72" t="s">
        <v>22</v>
      </c>
      <c r="O32" s="101"/>
      <c r="P32" s="99">
        <f>random_key!A88</f>
        <v>0.2798860334</v>
      </c>
    </row>
    <row r="33">
      <c r="A33" s="72">
        <v>37.0</v>
      </c>
      <c r="B33" s="72" t="s">
        <v>452</v>
      </c>
      <c r="C33" s="72" t="s">
        <v>769</v>
      </c>
      <c r="D33" s="72">
        <v>0.276</v>
      </c>
      <c r="E33" s="100" t="s">
        <v>21</v>
      </c>
      <c r="F33" s="101" t="s">
        <v>20</v>
      </c>
      <c r="I33" s="101"/>
      <c r="O33" s="101"/>
      <c r="P33" s="99">
        <f>random_key!A37</f>
        <v>0.2853436585</v>
      </c>
    </row>
    <row r="34">
      <c r="A34" s="72">
        <v>2.0</v>
      </c>
      <c r="B34" s="72" t="s">
        <v>348</v>
      </c>
      <c r="C34" s="72" t="s">
        <v>768</v>
      </c>
      <c r="D34" s="72">
        <v>0.838</v>
      </c>
      <c r="E34" s="100" t="s">
        <v>351</v>
      </c>
      <c r="F34" s="101" t="s">
        <v>21</v>
      </c>
      <c r="G34" s="72" t="s">
        <v>22</v>
      </c>
      <c r="I34" s="101"/>
      <c r="J34" s="72" t="s">
        <v>22</v>
      </c>
      <c r="O34" s="101"/>
      <c r="P34" s="99">
        <f>random_key!A2</f>
        <v>0.3018055165</v>
      </c>
    </row>
    <row r="35">
      <c r="A35" s="72">
        <v>98.0</v>
      </c>
      <c r="B35" s="72" t="s">
        <v>861</v>
      </c>
      <c r="C35" s="72" t="s">
        <v>822</v>
      </c>
      <c r="D35" s="72">
        <v>0.481</v>
      </c>
      <c r="E35" s="100" t="s">
        <v>21</v>
      </c>
      <c r="F35" s="101" t="s">
        <v>20</v>
      </c>
      <c r="G35" s="72" t="s">
        <v>22</v>
      </c>
      <c r="I35" s="101"/>
      <c r="M35" s="72" t="s">
        <v>22</v>
      </c>
      <c r="O35" s="101"/>
      <c r="P35" s="99">
        <f>random_key!A98</f>
        <v>0.340759892</v>
      </c>
    </row>
    <row r="36">
      <c r="A36" s="72">
        <v>25.0</v>
      </c>
      <c r="B36" s="72" t="s">
        <v>414</v>
      </c>
      <c r="C36" s="72" t="s">
        <v>790</v>
      </c>
      <c r="D36" s="72">
        <v>0.114</v>
      </c>
      <c r="E36" s="100" t="s">
        <v>21</v>
      </c>
      <c r="F36" s="101" t="s">
        <v>20</v>
      </c>
      <c r="I36" s="101"/>
      <c r="O36" s="101"/>
      <c r="P36" s="99">
        <f>random_key!A25</f>
        <v>0.3472535053</v>
      </c>
    </row>
    <row r="37">
      <c r="A37" s="72">
        <v>45.0</v>
      </c>
      <c r="B37" s="72" t="s">
        <v>481</v>
      </c>
      <c r="C37" s="72" t="s">
        <v>811</v>
      </c>
      <c r="D37" s="72">
        <v>0.934</v>
      </c>
      <c r="E37" s="100" t="s">
        <v>351</v>
      </c>
      <c r="F37" s="101" t="s">
        <v>21</v>
      </c>
      <c r="I37" s="101"/>
      <c r="O37" s="101"/>
      <c r="P37" s="99">
        <f>random_key!A45</f>
        <v>0.3495666817</v>
      </c>
    </row>
    <row r="38">
      <c r="A38" s="72">
        <v>6.0</v>
      </c>
      <c r="B38" s="72" t="s">
        <v>361</v>
      </c>
      <c r="C38" s="72" t="s">
        <v>772</v>
      </c>
      <c r="D38" s="72">
        <v>0.125</v>
      </c>
      <c r="E38" s="100" t="s">
        <v>21</v>
      </c>
      <c r="F38" s="101" t="s">
        <v>20</v>
      </c>
      <c r="G38" s="72" t="s">
        <v>22</v>
      </c>
      <c r="I38" s="101"/>
      <c r="J38" s="72" t="s">
        <v>22</v>
      </c>
      <c r="O38" s="101"/>
      <c r="P38" s="99">
        <f>random_key!A6</f>
        <v>0.3538941995</v>
      </c>
    </row>
    <row r="39">
      <c r="A39" s="72">
        <v>79.0</v>
      </c>
      <c r="B39" s="72" t="s">
        <v>588</v>
      </c>
      <c r="C39" s="72" t="s">
        <v>802</v>
      </c>
      <c r="D39" s="72">
        <v>0.425</v>
      </c>
      <c r="E39" s="100" t="s">
        <v>21</v>
      </c>
      <c r="F39" s="101" t="s">
        <v>20</v>
      </c>
      <c r="G39" s="72" t="s">
        <v>22</v>
      </c>
      <c r="I39" s="101"/>
      <c r="N39" s="72" t="s">
        <v>22</v>
      </c>
      <c r="O39" s="101"/>
      <c r="P39" s="99">
        <f>random_key!A79</f>
        <v>0.4195941883</v>
      </c>
    </row>
    <row r="40">
      <c r="A40" s="72">
        <v>5.0</v>
      </c>
      <c r="B40" s="72" t="s">
        <v>359</v>
      </c>
      <c r="C40" s="72" t="s">
        <v>771</v>
      </c>
      <c r="D40" s="72">
        <v>0.973</v>
      </c>
      <c r="E40" s="100" t="s">
        <v>351</v>
      </c>
      <c r="F40" s="101" t="s">
        <v>21</v>
      </c>
      <c r="G40" s="72" t="s">
        <v>22</v>
      </c>
      <c r="I40" s="101"/>
      <c r="N40" s="72" t="s">
        <v>22</v>
      </c>
      <c r="O40" s="101"/>
      <c r="P40" s="99">
        <f>random_key!A5</f>
        <v>0.4200862284</v>
      </c>
    </row>
    <row r="41">
      <c r="A41" s="72">
        <v>81.0</v>
      </c>
      <c r="B41" s="72" t="s">
        <v>595</v>
      </c>
      <c r="C41" s="72" t="s">
        <v>795</v>
      </c>
      <c r="D41" s="72">
        <v>0.915</v>
      </c>
      <c r="E41" s="100" t="s">
        <v>351</v>
      </c>
      <c r="F41" s="101" t="s">
        <v>21</v>
      </c>
      <c r="G41" s="72" t="s">
        <v>22</v>
      </c>
      <c r="I41" s="101"/>
      <c r="N41" s="72" t="s">
        <v>22</v>
      </c>
      <c r="O41" s="101"/>
      <c r="P41" s="99">
        <f>random_key!A81</f>
        <v>0.4456763806</v>
      </c>
    </row>
    <row r="42">
      <c r="A42" s="72">
        <v>76.0</v>
      </c>
      <c r="B42" s="72" t="s">
        <v>579</v>
      </c>
      <c r="C42" s="72" t="s">
        <v>832</v>
      </c>
      <c r="D42" s="72">
        <v>0.006</v>
      </c>
      <c r="E42" s="100" t="s">
        <v>21</v>
      </c>
      <c r="F42" s="101" t="s">
        <v>20</v>
      </c>
      <c r="I42" s="101" t="s">
        <v>22</v>
      </c>
      <c r="L42" s="72" t="s">
        <v>22</v>
      </c>
      <c r="O42" s="101"/>
      <c r="P42" s="99">
        <f>random_key!A76</f>
        <v>0.4472647815</v>
      </c>
    </row>
    <row r="43">
      <c r="A43" s="72">
        <v>21.0</v>
      </c>
      <c r="B43" s="72" t="s">
        <v>404</v>
      </c>
      <c r="C43" s="72" t="s">
        <v>785</v>
      </c>
      <c r="D43" s="72">
        <v>0.004</v>
      </c>
      <c r="E43" s="100" t="s">
        <v>21</v>
      </c>
      <c r="F43" s="101" t="s">
        <v>26</v>
      </c>
      <c r="I43" s="101"/>
      <c r="O43" s="101"/>
      <c r="P43" s="99">
        <f>random_key!A21</f>
        <v>0.4672776255</v>
      </c>
    </row>
    <row r="44">
      <c r="A44" s="72">
        <v>33.0</v>
      </c>
      <c r="B44" s="72" t="s">
        <v>439</v>
      </c>
      <c r="C44" s="72" t="s">
        <v>798</v>
      </c>
      <c r="D44" s="72">
        <v>0.047</v>
      </c>
      <c r="E44" s="100" t="s">
        <v>21</v>
      </c>
      <c r="F44" s="101" t="s">
        <v>20</v>
      </c>
      <c r="H44" s="72" t="s">
        <v>22</v>
      </c>
      <c r="I44" s="101"/>
      <c r="M44" s="72" t="s">
        <v>22</v>
      </c>
      <c r="O44" s="101"/>
      <c r="P44" s="99">
        <f>random_key!A33</f>
        <v>0.48600759</v>
      </c>
    </row>
    <row r="45">
      <c r="A45" s="72">
        <v>59.0</v>
      </c>
      <c r="B45" s="72" t="s">
        <v>526</v>
      </c>
      <c r="C45" s="72" t="s">
        <v>808</v>
      </c>
      <c r="D45" s="72">
        <v>0.946</v>
      </c>
      <c r="E45" s="100" t="s">
        <v>351</v>
      </c>
      <c r="F45" s="101" t="s">
        <v>21</v>
      </c>
      <c r="I45" s="101"/>
      <c r="O45" s="101"/>
      <c r="P45" s="99">
        <f>random_key!A59</f>
        <v>0.4909575479</v>
      </c>
    </row>
    <row r="46">
      <c r="A46" s="72">
        <v>42.0</v>
      </c>
      <c r="B46" s="72" t="s">
        <v>470</v>
      </c>
      <c r="C46" s="72" t="s">
        <v>808</v>
      </c>
      <c r="D46" s="72">
        <v>0.97</v>
      </c>
      <c r="E46" s="100" t="s">
        <v>351</v>
      </c>
      <c r="F46" s="101" t="s">
        <v>21</v>
      </c>
      <c r="I46" s="101"/>
      <c r="O46" s="101"/>
      <c r="P46" s="99">
        <f>random_key!A42</f>
        <v>0.5062348543</v>
      </c>
    </row>
    <row r="47">
      <c r="A47" s="72">
        <v>38.0</v>
      </c>
      <c r="B47" s="72" t="s">
        <v>456</v>
      </c>
      <c r="C47" s="72" t="s">
        <v>803</v>
      </c>
      <c r="D47" s="72">
        <v>0.456</v>
      </c>
      <c r="E47" s="100" t="s">
        <v>21</v>
      </c>
      <c r="F47" s="101" t="s">
        <v>20</v>
      </c>
      <c r="H47" s="72" t="s">
        <v>22</v>
      </c>
      <c r="I47" s="101"/>
      <c r="M47" s="72" t="s">
        <v>22</v>
      </c>
      <c r="O47" s="101"/>
      <c r="P47" s="99">
        <f>random_key!A38</f>
        <v>0.5320225834</v>
      </c>
    </row>
    <row r="48">
      <c r="A48" s="72">
        <v>57.0</v>
      </c>
      <c r="B48" s="72" t="s">
        <v>521</v>
      </c>
      <c r="C48" s="72" t="s">
        <v>819</v>
      </c>
      <c r="D48" s="72">
        <v>0.448</v>
      </c>
      <c r="E48" s="100" t="s">
        <v>351</v>
      </c>
      <c r="F48" s="101" t="s">
        <v>21</v>
      </c>
      <c r="H48" s="72" t="s">
        <v>22</v>
      </c>
      <c r="I48" s="101"/>
      <c r="N48" s="72" t="s">
        <v>22</v>
      </c>
      <c r="O48" s="101"/>
      <c r="P48" s="99">
        <f>random_key!A57</f>
        <v>0.5392406636</v>
      </c>
    </row>
    <row r="49">
      <c r="A49" s="72">
        <v>95.0</v>
      </c>
      <c r="B49" s="72" t="s">
        <v>645</v>
      </c>
      <c r="C49" s="72" t="s">
        <v>848</v>
      </c>
      <c r="D49" s="72">
        <v>0.173</v>
      </c>
      <c r="E49" s="100" t="s">
        <v>21</v>
      </c>
      <c r="F49" s="101" t="s">
        <v>31</v>
      </c>
      <c r="H49" s="72" t="s">
        <v>22</v>
      </c>
      <c r="I49" s="101"/>
      <c r="N49" s="72" t="s">
        <v>22</v>
      </c>
      <c r="O49" s="101"/>
      <c r="P49" s="99">
        <f>random_key!A95</f>
        <v>0.5528709074</v>
      </c>
    </row>
    <row r="50">
      <c r="A50" s="72">
        <v>8.0</v>
      </c>
      <c r="B50" s="72" t="s">
        <v>365</v>
      </c>
      <c r="C50" s="72" t="s">
        <v>773</v>
      </c>
      <c r="D50" s="72">
        <v>0.751</v>
      </c>
      <c r="E50" s="100" t="s">
        <v>351</v>
      </c>
      <c r="F50" s="101" t="s">
        <v>21</v>
      </c>
      <c r="G50" s="72" t="s">
        <v>22</v>
      </c>
      <c r="I50" s="101"/>
      <c r="N50" s="72" t="s">
        <v>22</v>
      </c>
      <c r="O50" s="101"/>
      <c r="P50" s="99">
        <f>random_key!A8</f>
        <v>0.554984421</v>
      </c>
    </row>
    <row r="51">
      <c r="A51" s="72">
        <v>11.0</v>
      </c>
      <c r="B51" s="72" t="s">
        <v>374</v>
      </c>
      <c r="C51" s="72" t="s">
        <v>776</v>
      </c>
      <c r="D51" s="72">
        <v>0.053</v>
      </c>
      <c r="E51" s="100" t="s">
        <v>21</v>
      </c>
      <c r="F51" s="101" t="s">
        <v>26</v>
      </c>
      <c r="H51" s="72" t="s">
        <v>22</v>
      </c>
      <c r="I51" s="101"/>
      <c r="N51" s="72" t="s">
        <v>22</v>
      </c>
      <c r="O51" s="101"/>
      <c r="P51" s="99">
        <f>random_key!A11</f>
        <v>0.5740921633</v>
      </c>
    </row>
    <row r="52">
      <c r="A52" s="72">
        <v>16.0</v>
      </c>
      <c r="B52" s="72" t="s">
        <v>387</v>
      </c>
      <c r="C52" s="72" t="s">
        <v>780</v>
      </c>
      <c r="D52" s="72">
        <v>0.007</v>
      </c>
      <c r="E52" s="100" t="s">
        <v>21</v>
      </c>
      <c r="F52" s="101" t="s">
        <v>20</v>
      </c>
      <c r="I52" s="101"/>
      <c r="O52" s="101"/>
      <c r="P52" s="99">
        <f>random_key!A16</f>
        <v>0.5758198613</v>
      </c>
    </row>
    <row r="53">
      <c r="A53" s="72">
        <v>13.0</v>
      </c>
      <c r="B53" s="72" t="s">
        <v>377</v>
      </c>
      <c r="C53" s="72" t="s">
        <v>777</v>
      </c>
      <c r="D53" s="72">
        <v>0.964</v>
      </c>
      <c r="E53" s="100" t="s">
        <v>351</v>
      </c>
      <c r="F53" s="101" t="s">
        <v>21</v>
      </c>
      <c r="G53" s="72" t="s">
        <v>22</v>
      </c>
      <c r="I53" s="101"/>
      <c r="M53" s="72" t="s">
        <v>22</v>
      </c>
      <c r="O53" s="101"/>
      <c r="P53" s="99">
        <f>random_key!A13</f>
        <v>0.5806079571</v>
      </c>
    </row>
    <row r="54">
      <c r="A54" s="72">
        <v>83.0</v>
      </c>
      <c r="B54" s="72" t="s">
        <v>602</v>
      </c>
      <c r="C54" s="72" t="s">
        <v>783</v>
      </c>
      <c r="D54" s="72">
        <v>0.167</v>
      </c>
      <c r="E54" s="100" t="s">
        <v>351</v>
      </c>
      <c r="F54" s="101" t="s">
        <v>20</v>
      </c>
      <c r="G54" s="72" t="s">
        <v>22</v>
      </c>
      <c r="I54" s="101"/>
      <c r="N54" s="72" t="s">
        <v>22</v>
      </c>
      <c r="O54" s="101"/>
      <c r="P54" s="99">
        <f>random_key!A83</f>
        <v>0.5810969474</v>
      </c>
    </row>
    <row r="55">
      <c r="A55" s="72">
        <v>100.0</v>
      </c>
      <c r="B55" s="72" t="s">
        <v>660</v>
      </c>
      <c r="C55" s="72" t="s">
        <v>813</v>
      </c>
      <c r="D55" s="72">
        <v>0.714</v>
      </c>
      <c r="E55" s="100" t="s">
        <v>351</v>
      </c>
      <c r="F55" s="101" t="s">
        <v>21</v>
      </c>
      <c r="G55" s="72" t="s">
        <v>22</v>
      </c>
      <c r="I55" s="101"/>
      <c r="J55" s="72" t="s">
        <v>22</v>
      </c>
      <c r="O55" s="101"/>
      <c r="P55" s="99">
        <f>random_key!A100</f>
        <v>0.5847508866</v>
      </c>
    </row>
    <row r="56">
      <c r="A56" s="72">
        <v>18.0</v>
      </c>
      <c r="B56" s="72" t="s">
        <v>394</v>
      </c>
      <c r="C56" s="72" t="s">
        <v>783</v>
      </c>
      <c r="D56" s="72">
        <v>0.14</v>
      </c>
      <c r="E56" s="100" t="s">
        <v>21</v>
      </c>
      <c r="F56" s="101" t="s">
        <v>20</v>
      </c>
      <c r="G56" s="72" t="s">
        <v>22</v>
      </c>
      <c r="I56" s="101"/>
      <c r="J56" s="72" t="s">
        <v>22</v>
      </c>
      <c r="O56" s="101"/>
      <c r="P56" s="99">
        <f>random_key!A18</f>
        <v>0.586809022</v>
      </c>
    </row>
    <row r="57">
      <c r="A57" s="72">
        <v>99.0</v>
      </c>
      <c r="B57" s="72" t="s">
        <v>656</v>
      </c>
      <c r="C57" s="72" t="s">
        <v>851</v>
      </c>
      <c r="D57" s="72">
        <v>0.161</v>
      </c>
      <c r="E57" s="100" t="s">
        <v>21</v>
      </c>
      <c r="F57" s="101" t="s">
        <v>20</v>
      </c>
      <c r="G57" s="72" t="s">
        <v>22</v>
      </c>
      <c r="I57" s="101"/>
      <c r="K57" s="72" t="s">
        <v>22</v>
      </c>
      <c r="O57" s="101"/>
      <c r="P57" s="99">
        <f>random_key!A99</f>
        <v>0.5960798585</v>
      </c>
    </row>
    <row r="58">
      <c r="A58" s="72">
        <v>1.0</v>
      </c>
      <c r="B58" s="72" t="s">
        <v>345</v>
      </c>
      <c r="C58" s="72" t="s">
        <v>767</v>
      </c>
      <c r="D58" s="72">
        <v>0.125</v>
      </c>
      <c r="E58" s="100" t="s">
        <v>21</v>
      </c>
      <c r="F58" s="101" t="s">
        <v>31</v>
      </c>
      <c r="G58" s="72" t="s">
        <v>22</v>
      </c>
      <c r="I58" s="101"/>
      <c r="M58" s="72" t="s">
        <v>22</v>
      </c>
      <c r="O58" s="101"/>
      <c r="P58" s="99">
        <f>random_key!A1</f>
        <v>0.6058113928</v>
      </c>
    </row>
    <row r="59">
      <c r="A59" s="72">
        <v>28.0</v>
      </c>
      <c r="B59" s="72" t="s">
        <v>424</v>
      </c>
      <c r="C59" s="72" t="s">
        <v>792</v>
      </c>
      <c r="D59" s="72">
        <v>0.229</v>
      </c>
      <c r="E59" s="100" t="s">
        <v>21</v>
      </c>
      <c r="F59" s="101" t="s">
        <v>31</v>
      </c>
      <c r="I59" s="101" t="s">
        <v>22</v>
      </c>
      <c r="L59" s="72" t="s">
        <v>22</v>
      </c>
      <c r="O59" s="101"/>
      <c r="P59" s="99">
        <f>random_key!A28</f>
        <v>0.6095717857</v>
      </c>
    </row>
    <row r="60">
      <c r="A60" s="72">
        <v>26.0</v>
      </c>
      <c r="B60" s="72" t="s">
        <v>417</v>
      </c>
      <c r="C60" s="72" t="s">
        <v>789</v>
      </c>
      <c r="D60" s="72">
        <v>0.07</v>
      </c>
      <c r="E60" s="100" t="s">
        <v>21</v>
      </c>
      <c r="F60" s="101" t="s">
        <v>20</v>
      </c>
      <c r="I60" s="101" t="s">
        <v>22</v>
      </c>
      <c r="L60" s="72" t="s">
        <v>22</v>
      </c>
      <c r="O60" s="101"/>
      <c r="P60" s="99">
        <f>random_key!A26</f>
        <v>0.6126845745</v>
      </c>
    </row>
    <row r="61">
      <c r="A61" s="72">
        <v>63.0</v>
      </c>
      <c r="B61" s="72" t="s">
        <v>539</v>
      </c>
      <c r="C61" s="72" t="s">
        <v>823</v>
      </c>
      <c r="D61" s="72">
        <v>0.413</v>
      </c>
      <c r="E61" s="100" t="s">
        <v>21</v>
      </c>
      <c r="F61" s="101" t="s">
        <v>31</v>
      </c>
      <c r="H61" s="72" t="s">
        <v>22</v>
      </c>
      <c r="I61" s="101"/>
      <c r="N61" s="72" t="s">
        <v>22</v>
      </c>
      <c r="O61" s="101"/>
      <c r="P61" s="99">
        <f>random_key!A63</f>
        <v>0.6156882262</v>
      </c>
    </row>
    <row r="62">
      <c r="A62" s="72">
        <v>65.0</v>
      </c>
      <c r="B62" s="72" t="s">
        <v>545</v>
      </c>
      <c r="C62" s="72" t="s">
        <v>824</v>
      </c>
      <c r="D62" s="72">
        <v>0.003</v>
      </c>
      <c r="E62" s="100" t="s">
        <v>21</v>
      </c>
      <c r="F62" s="101" t="s">
        <v>26</v>
      </c>
      <c r="H62" s="72" t="s">
        <v>22</v>
      </c>
      <c r="I62" s="101"/>
      <c r="N62" s="72" t="s">
        <v>22</v>
      </c>
      <c r="O62" s="101"/>
      <c r="P62" s="99">
        <f>random_key!A65</f>
        <v>0.6172641741</v>
      </c>
    </row>
    <row r="63">
      <c r="A63" s="72">
        <v>50.0</v>
      </c>
      <c r="B63" s="72" t="s">
        <v>497</v>
      </c>
      <c r="C63" s="72" t="s">
        <v>814</v>
      </c>
      <c r="D63" s="72">
        <v>0.317</v>
      </c>
      <c r="E63" s="100" t="s">
        <v>21</v>
      </c>
      <c r="F63" s="101" t="s">
        <v>20</v>
      </c>
      <c r="H63" s="72" t="s">
        <v>22</v>
      </c>
      <c r="I63" s="101"/>
      <c r="M63" s="72" t="s">
        <v>22</v>
      </c>
      <c r="O63" s="101"/>
      <c r="P63" s="99">
        <f>random_key!A50</f>
        <v>0.6196514827</v>
      </c>
    </row>
    <row r="64">
      <c r="A64" s="72">
        <v>35.0</v>
      </c>
      <c r="B64" s="72" t="s">
        <v>445</v>
      </c>
      <c r="C64" s="72" t="s">
        <v>801</v>
      </c>
      <c r="D64" s="72">
        <v>0.068</v>
      </c>
      <c r="E64" s="100" t="s">
        <v>21</v>
      </c>
      <c r="F64" s="101" t="s">
        <v>20</v>
      </c>
      <c r="I64" s="101" t="s">
        <v>22</v>
      </c>
      <c r="L64" s="72" t="s">
        <v>22</v>
      </c>
      <c r="O64" s="101"/>
      <c r="P64" s="99">
        <f>random_key!A35</f>
        <v>0.6326865327</v>
      </c>
    </row>
    <row r="65">
      <c r="A65" s="72">
        <v>53.0</v>
      </c>
      <c r="B65" s="72" t="s">
        <v>508</v>
      </c>
      <c r="C65" s="72" t="s">
        <v>816</v>
      </c>
      <c r="D65" s="72">
        <v>0.013</v>
      </c>
      <c r="E65" s="100" t="s">
        <v>21</v>
      </c>
      <c r="F65" s="101" t="s">
        <v>20</v>
      </c>
      <c r="H65" s="72" t="s">
        <v>22</v>
      </c>
      <c r="I65" s="101"/>
      <c r="N65" s="72" t="s">
        <v>22</v>
      </c>
      <c r="O65" s="101"/>
      <c r="P65" s="99">
        <f>random_key!A53</f>
        <v>0.6338566744</v>
      </c>
    </row>
    <row r="66">
      <c r="A66" s="72">
        <v>66.0</v>
      </c>
      <c r="B66" s="72" t="s">
        <v>547</v>
      </c>
      <c r="C66" s="72" t="s">
        <v>790</v>
      </c>
      <c r="D66" s="72">
        <v>0.271</v>
      </c>
      <c r="E66" s="100" t="s">
        <v>21</v>
      </c>
      <c r="F66" s="101" t="s">
        <v>20</v>
      </c>
      <c r="G66" s="72" t="s">
        <v>22</v>
      </c>
      <c r="I66" s="101"/>
      <c r="N66" s="72" t="s">
        <v>22</v>
      </c>
      <c r="O66" s="101"/>
      <c r="P66" s="99">
        <f>random_key!A66</f>
        <v>0.6338980481</v>
      </c>
    </row>
    <row r="67">
      <c r="A67" s="72">
        <v>69.0</v>
      </c>
      <c r="B67" s="72" t="s">
        <v>557</v>
      </c>
      <c r="C67" s="72" t="s">
        <v>814</v>
      </c>
      <c r="D67" s="72">
        <v>0.468</v>
      </c>
      <c r="E67" s="100" t="s">
        <v>21</v>
      </c>
      <c r="F67" s="101" t="s">
        <v>31</v>
      </c>
      <c r="G67" s="72" t="s">
        <v>22</v>
      </c>
      <c r="I67" s="101"/>
      <c r="J67" s="72" t="s">
        <v>22</v>
      </c>
      <c r="O67" s="101"/>
      <c r="P67" s="99">
        <f>random_key!A69</f>
        <v>0.6380938099</v>
      </c>
    </row>
    <row r="68">
      <c r="A68" s="72">
        <v>75.0</v>
      </c>
      <c r="B68" s="72" t="s">
        <v>575</v>
      </c>
      <c r="C68" s="72" t="s">
        <v>831</v>
      </c>
      <c r="D68" s="72">
        <v>0.825</v>
      </c>
      <c r="E68" s="100" t="s">
        <v>351</v>
      </c>
      <c r="F68" s="101" t="s">
        <v>21</v>
      </c>
      <c r="H68" s="72" t="s">
        <v>22</v>
      </c>
      <c r="I68" s="101"/>
      <c r="N68" s="72" t="s">
        <v>22</v>
      </c>
      <c r="O68" s="101"/>
      <c r="P68" s="99">
        <f>random_key!A75</f>
        <v>0.647923742</v>
      </c>
    </row>
    <row r="69">
      <c r="A69" s="72">
        <v>58.0</v>
      </c>
      <c r="B69" s="72" t="s">
        <v>525</v>
      </c>
      <c r="C69" s="72" t="s">
        <v>776</v>
      </c>
      <c r="D69" s="72">
        <v>0.524</v>
      </c>
      <c r="E69" s="100" t="s">
        <v>351</v>
      </c>
      <c r="F69" s="101" t="s">
        <v>21</v>
      </c>
      <c r="I69" s="101"/>
      <c r="O69" s="101"/>
      <c r="P69" s="99">
        <f>random_key!A58</f>
        <v>0.6700016504</v>
      </c>
    </row>
    <row r="70">
      <c r="A70" s="72">
        <v>12.0</v>
      </c>
      <c r="B70" s="72" t="s">
        <v>368</v>
      </c>
      <c r="C70" s="72" t="s">
        <v>774</v>
      </c>
      <c r="D70" s="72">
        <v>0.524</v>
      </c>
      <c r="E70" s="100" t="s">
        <v>351</v>
      </c>
      <c r="F70" s="101" t="s">
        <v>21</v>
      </c>
      <c r="I70" s="101"/>
      <c r="O70" s="101"/>
      <c r="P70" s="99">
        <f>random_key!A12</f>
        <v>0.6836740545</v>
      </c>
    </row>
    <row r="71">
      <c r="A71" s="72">
        <v>10.0</v>
      </c>
      <c r="B71" s="72" t="s">
        <v>371</v>
      </c>
      <c r="C71" s="72" t="s">
        <v>775</v>
      </c>
      <c r="D71" s="72">
        <v>0.961</v>
      </c>
      <c r="E71" s="100" t="s">
        <v>351</v>
      </c>
      <c r="F71" s="101" t="s">
        <v>21</v>
      </c>
      <c r="H71" s="72" t="s">
        <v>22</v>
      </c>
      <c r="I71" s="101"/>
      <c r="N71" s="72" t="s">
        <v>22</v>
      </c>
      <c r="O71" s="101"/>
      <c r="P71" s="99">
        <f>random_key!A10</f>
        <v>0.6919815096</v>
      </c>
    </row>
    <row r="72">
      <c r="A72" s="72">
        <v>39.0</v>
      </c>
      <c r="B72" s="72" t="s">
        <v>460</v>
      </c>
      <c r="C72" s="72" t="s">
        <v>805</v>
      </c>
      <c r="D72" s="72">
        <v>0.529</v>
      </c>
      <c r="E72" s="100" t="s">
        <v>351</v>
      </c>
      <c r="F72" s="101" t="s">
        <v>21</v>
      </c>
      <c r="G72" s="72" t="s">
        <v>22</v>
      </c>
      <c r="I72" s="101"/>
      <c r="M72" s="72" t="s">
        <v>22</v>
      </c>
      <c r="O72" s="101"/>
      <c r="P72" s="99">
        <f>random_key!A39</f>
        <v>0.695756292</v>
      </c>
    </row>
    <row r="73">
      <c r="A73" s="72">
        <v>70.0</v>
      </c>
      <c r="B73" s="72" t="s">
        <v>560</v>
      </c>
      <c r="C73" s="72" t="s">
        <v>786</v>
      </c>
      <c r="D73" s="72">
        <v>0.222</v>
      </c>
      <c r="E73" s="100" t="s">
        <v>21</v>
      </c>
      <c r="F73" s="101" t="s">
        <v>31</v>
      </c>
      <c r="I73" s="101" t="s">
        <v>22</v>
      </c>
      <c r="L73" s="72" t="s">
        <v>22</v>
      </c>
      <c r="O73" s="101"/>
      <c r="P73" s="99">
        <f>random_key!A70</f>
        <v>0.7004230169</v>
      </c>
    </row>
    <row r="74">
      <c r="A74" s="72">
        <v>30.0</v>
      </c>
      <c r="B74" s="72" t="s">
        <v>431</v>
      </c>
      <c r="C74" s="72" t="s">
        <v>795</v>
      </c>
      <c r="D74" s="72">
        <v>0.002</v>
      </c>
      <c r="E74" s="100" t="s">
        <v>21</v>
      </c>
      <c r="F74" s="101" t="s">
        <v>20</v>
      </c>
      <c r="I74" s="101"/>
      <c r="O74" s="101"/>
      <c r="P74" s="99">
        <f>random_key!A30</f>
        <v>0.723421083</v>
      </c>
    </row>
    <row r="75">
      <c r="A75" s="72">
        <v>90.0</v>
      </c>
      <c r="B75" s="72" t="s">
        <v>629</v>
      </c>
      <c r="C75" s="72" t="s">
        <v>844</v>
      </c>
      <c r="D75" s="72">
        <v>0.73</v>
      </c>
      <c r="E75" s="100" t="s">
        <v>351</v>
      </c>
      <c r="F75" s="101" t="s">
        <v>21</v>
      </c>
      <c r="G75" s="72" t="s">
        <v>22</v>
      </c>
      <c r="I75" s="101"/>
      <c r="M75" s="72" t="s">
        <v>22</v>
      </c>
      <c r="O75" s="101"/>
      <c r="P75" s="99">
        <f>random_key!A90</f>
        <v>0.727142934</v>
      </c>
    </row>
    <row r="76">
      <c r="A76" s="72">
        <v>74.0</v>
      </c>
      <c r="B76" s="72" t="s">
        <v>571</v>
      </c>
      <c r="C76" s="72" t="s">
        <v>830</v>
      </c>
      <c r="D76" s="72">
        <v>0.553</v>
      </c>
      <c r="E76" s="100" t="s">
        <v>351</v>
      </c>
      <c r="F76" s="101" t="s">
        <v>21</v>
      </c>
      <c r="I76" s="101"/>
      <c r="O76" s="101"/>
      <c r="P76" s="99">
        <f>random_key!A74</f>
        <v>0.7435089948</v>
      </c>
    </row>
    <row r="77">
      <c r="A77" s="72">
        <v>62.0</v>
      </c>
      <c r="B77" s="72" t="s">
        <v>536</v>
      </c>
      <c r="C77" s="72" t="s">
        <v>822</v>
      </c>
      <c r="D77" s="72">
        <v>0.921</v>
      </c>
      <c r="E77" s="100" t="s">
        <v>351</v>
      </c>
      <c r="F77" s="101" t="s">
        <v>21</v>
      </c>
      <c r="I77" s="101" t="s">
        <v>22</v>
      </c>
      <c r="O77" s="101" t="s">
        <v>860</v>
      </c>
      <c r="P77" s="99">
        <f>random_key!A62</f>
        <v>0.7471633311</v>
      </c>
    </row>
    <row r="78">
      <c r="A78" s="72">
        <v>23.0</v>
      </c>
      <c r="B78" s="72" t="s">
        <v>408</v>
      </c>
      <c r="C78" s="72" t="s">
        <v>788</v>
      </c>
      <c r="D78" s="72">
        <v>0.417</v>
      </c>
      <c r="E78" s="100" t="s">
        <v>21</v>
      </c>
      <c r="F78" s="101" t="s">
        <v>31</v>
      </c>
      <c r="H78" s="72" t="s">
        <v>22</v>
      </c>
      <c r="I78" s="101"/>
      <c r="L78" s="72" t="s">
        <v>22</v>
      </c>
      <c r="O78" s="101"/>
      <c r="P78" s="99">
        <f>random_key!A23</f>
        <v>0.7541920884</v>
      </c>
    </row>
    <row r="79">
      <c r="A79" s="72">
        <v>55.0</v>
      </c>
      <c r="B79" s="72" t="s">
        <v>513</v>
      </c>
      <c r="C79" s="72" t="s">
        <v>789</v>
      </c>
      <c r="D79" s="72">
        <v>0.692</v>
      </c>
      <c r="E79" s="100" t="s">
        <v>351</v>
      </c>
      <c r="F79" s="101" t="s">
        <v>21</v>
      </c>
      <c r="G79" s="72" t="s">
        <v>22</v>
      </c>
      <c r="I79" s="101"/>
      <c r="J79" s="72" t="s">
        <v>22</v>
      </c>
      <c r="O79" s="101"/>
      <c r="P79" s="99">
        <f>random_key!A55</f>
        <v>0.7605468318</v>
      </c>
    </row>
    <row r="80">
      <c r="A80" s="72">
        <v>4.0</v>
      </c>
      <c r="B80" s="72" t="s">
        <v>356</v>
      </c>
      <c r="C80" s="72" t="s">
        <v>770</v>
      </c>
      <c r="D80" s="72">
        <v>0.5</v>
      </c>
      <c r="E80" s="100" t="s">
        <v>351</v>
      </c>
      <c r="F80" s="101" t="s">
        <v>21</v>
      </c>
      <c r="H80" s="72" t="s">
        <v>22</v>
      </c>
      <c r="I80" s="101"/>
      <c r="N80" s="72" t="s">
        <v>22</v>
      </c>
      <c r="O80" s="101"/>
      <c r="P80" s="99">
        <f>random_key!A4</f>
        <v>0.7622668932</v>
      </c>
    </row>
    <row r="81">
      <c r="A81" s="72">
        <v>22.0</v>
      </c>
      <c r="B81" s="72" t="s">
        <v>406</v>
      </c>
      <c r="C81" s="72" t="s">
        <v>786</v>
      </c>
      <c r="D81" s="72">
        <v>0.122</v>
      </c>
      <c r="E81" s="100" t="s">
        <v>21</v>
      </c>
      <c r="F81" s="101" t="s">
        <v>31</v>
      </c>
      <c r="G81" s="72" t="s">
        <v>22</v>
      </c>
      <c r="I81" s="101"/>
      <c r="J81" s="72" t="s">
        <v>22</v>
      </c>
      <c r="O81" s="101"/>
      <c r="P81" s="99">
        <f>random_key!A22</f>
        <v>0.7884075586</v>
      </c>
    </row>
    <row r="82">
      <c r="A82" s="72">
        <v>84.0</v>
      </c>
      <c r="B82" s="72" t="s">
        <v>605</v>
      </c>
      <c r="C82" s="72" t="s">
        <v>838</v>
      </c>
      <c r="D82" s="72">
        <v>0.911</v>
      </c>
      <c r="E82" s="100" t="s">
        <v>351</v>
      </c>
      <c r="F82" s="101" t="s">
        <v>21</v>
      </c>
      <c r="G82" s="72" t="s">
        <v>22</v>
      </c>
      <c r="I82" s="101"/>
      <c r="M82" s="72" t="s">
        <v>22</v>
      </c>
      <c r="O82" s="101"/>
      <c r="P82" s="99">
        <f>random_key!A84</f>
        <v>0.7958894172</v>
      </c>
    </row>
    <row r="83">
      <c r="A83" s="72">
        <v>51.0</v>
      </c>
      <c r="B83" s="72" t="s">
        <v>501</v>
      </c>
      <c r="C83" s="72" t="s">
        <v>815</v>
      </c>
      <c r="D83" s="72">
        <v>0.166</v>
      </c>
      <c r="E83" s="100" t="s">
        <v>21</v>
      </c>
      <c r="F83" s="101" t="s">
        <v>31</v>
      </c>
      <c r="H83" s="72" t="s">
        <v>22</v>
      </c>
      <c r="I83" s="101"/>
      <c r="M83" s="72" t="s">
        <v>22</v>
      </c>
      <c r="O83" s="101"/>
      <c r="P83" s="99">
        <f>random_key!A51</f>
        <v>0.799996192</v>
      </c>
    </row>
    <row r="84">
      <c r="A84" s="72">
        <v>68.0</v>
      </c>
      <c r="B84" s="72" t="s">
        <v>554</v>
      </c>
      <c r="C84" s="72" t="s">
        <v>826</v>
      </c>
      <c r="D84" s="72">
        <v>0.91</v>
      </c>
      <c r="E84" s="100" t="s">
        <v>351</v>
      </c>
      <c r="F84" s="101" t="s">
        <v>21</v>
      </c>
      <c r="I84" s="101" t="s">
        <v>22</v>
      </c>
      <c r="L84" s="72" t="s">
        <v>22</v>
      </c>
      <c r="O84" s="101"/>
      <c r="P84" s="99">
        <f>random_key!A68</f>
        <v>0.8182745013</v>
      </c>
    </row>
    <row r="85">
      <c r="A85" s="72">
        <v>43.0</v>
      </c>
      <c r="B85" s="72" t="s">
        <v>473</v>
      </c>
      <c r="C85" s="72" t="s">
        <v>809</v>
      </c>
      <c r="D85" s="72">
        <v>0.107</v>
      </c>
      <c r="E85" s="100" t="s">
        <v>21</v>
      </c>
      <c r="F85" s="101" t="s">
        <v>20</v>
      </c>
      <c r="G85" s="72" t="s">
        <v>22</v>
      </c>
      <c r="I85" s="101"/>
      <c r="M85" s="72" t="s">
        <v>22</v>
      </c>
      <c r="O85" s="101"/>
      <c r="P85" s="99">
        <f>random_key!A43</f>
        <v>0.8376744095</v>
      </c>
    </row>
    <row r="86">
      <c r="A86" s="72">
        <v>89.0</v>
      </c>
      <c r="B86" s="72" t="s">
        <v>625</v>
      </c>
      <c r="C86" s="72" t="s">
        <v>843</v>
      </c>
      <c r="D86" s="72">
        <v>0.559</v>
      </c>
      <c r="E86" s="100" t="s">
        <v>351</v>
      </c>
      <c r="F86" s="101" t="s">
        <v>21</v>
      </c>
      <c r="I86" s="101"/>
      <c r="O86" s="101"/>
      <c r="P86" s="99">
        <f>random_key!A89</f>
        <v>0.8543904858</v>
      </c>
    </row>
    <row r="87">
      <c r="A87" s="72">
        <v>40.0</v>
      </c>
      <c r="B87" s="72" t="s">
        <v>464</v>
      </c>
      <c r="C87" s="72" t="s">
        <v>806</v>
      </c>
      <c r="D87" s="72">
        <v>0.459</v>
      </c>
      <c r="E87" s="100" t="s">
        <v>21</v>
      </c>
      <c r="F87" s="101" t="s">
        <v>31</v>
      </c>
      <c r="H87" s="72" t="s">
        <v>22</v>
      </c>
      <c r="I87" s="101"/>
      <c r="N87" s="72" t="s">
        <v>22</v>
      </c>
      <c r="O87" s="101"/>
      <c r="P87" s="99">
        <f>random_key!A40</f>
        <v>0.8587903714</v>
      </c>
    </row>
    <row r="88">
      <c r="A88" s="72">
        <v>67.0</v>
      </c>
      <c r="B88" s="72" t="s">
        <v>550</v>
      </c>
      <c r="C88" s="72" t="s">
        <v>825</v>
      </c>
      <c r="D88" s="72">
        <v>0.908</v>
      </c>
      <c r="E88" s="100" t="s">
        <v>351</v>
      </c>
      <c r="F88" s="101" t="s">
        <v>21</v>
      </c>
      <c r="H88" s="72" t="s">
        <v>22</v>
      </c>
      <c r="I88" s="101"/>
      <c r="N88" s="72" t="s">
        <v>22</v>
      </c>
      <c r="O88" s="101"/>
      <c r="P88" s="99">
        <f>random_key!A67</f>
        <v>0.8642436393</v>
      </c>
    </row>
    <row r="89">
      <c r="A89" s="72">
        <v>86.0</v>
      </c>
      <c r="B89" s="72" t="s">
        <v>613</v>
      </c>
      <c r="C89" s="72" t="s">
        <v>840</v>
      </c>
      <c r="D89" s="72">
        <v>0.579</v>
      </c>
      <c r="E89" s="100" t="s">
        <v>351</v>
      </c>
      <c r="F89" s="101" t="s">
        <v>21</v>
      </c>
      <c r="I89" s="101" t="s">
        <v>22</v>
      </c>
      <c r="K89" s="72" t="s">
        <v>22</v>
      </c>
      <c r="O89" s="101"/>
      <c r="P89" s="99">
        <f>random_key!A86</f>
        <v>0.8755905375</v>
      </c>
    </row>
    <row r="90">
      <c r="A90" s="72">
        <v>72.0</v>
      </c>
      <c r="B90" s="72" t="s">
        <v>565</v>
      </c>
      <c r="C90" s="72" t="s">
        <v>828</v>
      </c>
      <c r="D90" s="72">
        <v>0.012</v>
      </c>
      <c r="E90" s="100" t="s">
        <v>21</v>
      </c>
      <c r="F90" s="101" t="s">
        <v>31</v>
      </c>
      <c r="H90" s="72" t="s">
        <v>22</v>
      </c>
      <c r="I90" s="101"/>
      <c r="N90" s="72" t="s">
        <v>22</v>
      </c>
      <c r="O90" s="101"/>
      <c r="P90" s="99">
        <f>random_key!A72</f>
        <v>0.8871378581</v>
      </c>
    </row>
    <row r="91">
      <c r="A91" s="72">
        <v>80.0</v>
      </c>
      <c r="B91" s="72" t="s">
        <v>592</v>
      </c>
      <c r="C91" s="72" t="s">
        <v>819</v>
      </c>
      <c r="D91" s="72">
        <v>0.982</v>
      </c>
      <c r="E91" s="100" t="s">
        <v>351</v>
      </c>
      <c r="F91" s="101" t="s">
        <v>21</v>
      </c>
      <c r="G91" s="72" t="s">
        <v>22</v>
      </c>
      <c r="I91" s="101"/>
      <c r="N91" s="72" t="s">
        <v>22</v>
      </c>
      <c r="O91" s="101"/>
      <c r="P91" s="99">
        <f>random_key!A80</f>
        <v>0.89023684</v>
      </c>
    </row>
    <row r="92">
      <c r="A92" s="72">
        <v>61.0</v>
      </c>
      <c r="B92" s="72" t="s">
        <v>532</v>
      </c>
      <c r="C92" s="72" t="s">
        <v>821</v>
      </c>
      <c r="D92" s="72">
        <v>0.307</v>
      </c>
      <c r="E92" s="100" t="s">
        <v>21</v>
      </c>
      <c r="F92" s="101" t="s">
        <v>26</v>
      </c>
      <c r="I92" s="101" t="s">
        <v>22</v>
      </c>
      <c r="K92" s="72" t="s">
        <v>22</v>
      </c>
      <c r="L92" s="72" t="s">
        <v>22</v>
      </c>
      <c r="O92" s="101"/>
      <c r="P92" s="99">
        <f>random_key!A61</f>
        <v>0.8920769635</v>
      </c>
    </row>
    <row r="93">
      <c r="A93" s="72">
        <v>48.0</v>
      </c>
      <c r="B93" s="72" t="s">
        <v>491</v>
      </c>
      <c r="C93" s="72" t="s">
        <v>767</v>
      </c>
      <c r="D93" s="72">
        <v>0.8</v>
      </c>
      <c r="E93" s="100" t="s">
        <v>351</v>
      </c>
      <c r="F93" s="101" t="s">
        <v>21</v>
      </c>
      <c r="H93" s="72" t="s">
        <v>22</v>
      </c>
      <c r="I93" s="101"/>
      <c r="L93" s="72" t="s">
        <v>22</v>
      </c>
      <c r="O93" s="101"/>
      <c r="P93" s="99">
        <f>random_key!A48</f>
        <v>0.9080452284</v>
      </c>
    </row>
    <row r="94">
      <c r="A94" s="72">
        <v>77.0</v>
      </c>
      <c r="B94" s="72" t="s">
        <v>581</v>
      </c>
      <c r="C94" s="72" t="s">
        <v>772</v>
      </c>
      <c r="D94" s="72">
        <v>0.475</v>
      </c>
      <c r="E94" s="100" t="s">
        <v>21</v>
      </c>
      <c r="F94" s="101" t="s">
        <v>20</v>
      </c>
      <c r="I94" s="101"/>
      <c r="O94" s="101"/>
      <c r="P94" s="99">
        <f>random_key!A77</f>
        <v>0.9113679883</v>
      </c>
    </row>
    <row r="95">
      <c r="A95" s="72">
        <v>64.0</v>
      </c>
      <c r="B95" s="72" t="s">
        <v>542</v>
      </c>
      <c r="C95" s="72" t="s">
        <v>781</v>
      </c>
      <c r="D95" s="72">
        <v>0.824</v>
      </c>
      <c r="E95" s="100" t="s">
        <v>351</v>
      </c>
      <c r="F95" s="101" t="s">
        <v>21</v>
      </c>
      <c r="I95" s="101"/>
      <c r="O95" s="101"/>
      <c r="P95" s="99">
        <f>random_key!A64</f>
        <v>0.9147453114</v>
      </c>
    </row>
    <row r="96">
      <c r="A96" s="72">
        <v>97.0</v>
      </c>
      <c r="B96" s="72" t="s">
        <v>650</v>
      </c>
      <c r="C96" s="72" t="s">
        <v>849</v>
      </c>
      <c r="D96" s="72">
        <v>0.978</v>
      </c>
      <c r="E96" s="100" t="s">
        <v>351</v>
      </c>
      <c r="F96" s="101" t="s">
        <v>21</v>
      </c>
      <c r="G96" s="72" t="s">
        <v>22</v>
      </c>
      <c r="I96" s="101"/>
      <c r="N96" s="72" t="s">
        <v>22</v>
      </c>
      <c r="O96" s="101"/>
      <c r="P96" s="99">
        <f>random_key!A97</f>
        <v>0.9230041158</v>
      </c>
    </row>
    <row r="97">
      <c r="A97" s="72">
        <v>96.0</v>
      </c>
      <c r="B97" s="72" t="s">
        <v>649</v>
      </c>
      <c r="C97" s="72" t="s">
        <v>783</v>
      </c>
      <c r="D97" s="72">
        <v>0.137</v>
      </c>
      <c r="E97" s="100" t="s">
        <v>21</v>
      </c>
      <c r="F97" s="101" t="s">
        <v>20</v>
      </c>
      <c r="H97" s="72" t="s">
        <v>22</v>
      </c>
      <c r="I97" s="101"/>
      <c r="L97" s="72" t="s">
        <v>22</v>
      </c>
      <c r="O97" s="101"/>
      <c r="P97" s="99">
        <f>random_key!A96</f>
        <v>0.92778417</v>
      </c>
    </row>
    <row r="98">
      <c r="A98" s="72">
        <v>94.0</v>
      </c>
      <c r="B98" s="72" t="s">
        <v>641</v>
      </c>
      <c r="C98" s="72" t="s">
        <v>846</v>
      </c>
      <c r="D98" s="72">
        <v>0.331</v>
      </c>
      <c r="E98" s="100" t="s">
        <v>21</v>
      </c>
      <c r="F98" s="101" t="s">
        <v>20</v>
      </c>
      <c r="I98" s="101" t="s">
        <v>22</v>
      </c>
      <c r="L98" s="72" t="s">
        <v>22</v>
      </c>
      <c r="O98" s="101"/>
      <c r="P98" s="99">
        <f>random_key!A94</f>
        <v>0.9413106865</v>
      </c>
    </row>
    <row r="99">
      <c r="A99" s="72">
        <v>93.0</v>
      </c>
      <c r="B99" s="72" t="s">
        <v>638</v>
      </c>
      <c r="C99" s="72" t="s">
        <v>845</v>
      </c>
      <c r="D99" s="72">
        <v>0.955</v>
      </c>
      <c r="E99" s="100" t="s">
        <v>351</v>
      </c>
      <c r="F99" s="101" t="s">
        <v>21</v>
      </c>
      <c r="H99" s="72" t="s">
        <v>22</v>
      </c>
      <c r="I99" s="101"/>
      <c r="N99" s="72" t="s">
        <v>22</v>
      </c>
      <c r="O99" s="101"/>
      <c r="P99" s="99">
        <f>random_key!A93</f>
        <v>0.9602527706</v>
      </c>
    </row>
    <row r="100">
      <c r="A100" s="72">
        <v>46.0</v>
      </c>
      <c r="B100" s="72" t="s">
        <v>485</v>
      </c>
      <c r="C100" s="72" t="s">
        <v>772</v>
      </c>
      <c r="D100" s="72">
        <v>0.414</v>
      </c>
      <c r="E100" s="100" t="s">
        <v>21</v>
      </c>
      <c r="F100" s="101" t="s">
        <v>20</v>
      </c>
      <c r="G100" s="72" t="s">
        <v>22</v>
      </c>
      <c r="I100" s="101"/>
      <c r="J100" s="72" t="s">
        <v>22</v>
      </c>
      <c r="O100" s="101"/>
      <c r="P100" s="99">
        <f>random_key!A46</f>
        <v>0.9629101769</v>
      </c>
    </row>
    <row r="101">
      <c r="A101" s="72">
        <v>27.0</v>
      </c>
      <c r="C101" s="72" t="s">
        <v>791</v>
      </c>
      <c r="D101" s="72">
        <v>0.599</v>
      </c>
      <c r="E101" s="100" t="s">
        <v>351</v>
      </c>
      <c r="F101" s="101" t="s">
        <v>21</v>
      </c>
      <c r="H101" s="72" t="s">
        <v>22</v>
      </c>
      <c r="I101" s="101"/>
      <c r="N101" s="72" t="s">
        <v>22</v>
      </c>
      <c r="O101" s="101"/>
      <c r="P101" s="99">
        <f>random_key!A27</f>
        <v>0.9854616735</v>
      </c>
    </row>
    <row r="102">
      <c r="A102" s="72">
        <v>3.0</v>
      </c>
      <c r="B102" s="72" t="s">
        <v>352</v>
      </c>
      <c r="C102" s="72" t="s">
        <v>769</v>
      </c>
      <c r="D102" s="72">
        <v>0.769</v>
      </c>
      <c r="E102" s="100" t="s">
        <v>351</v>
      </c>
      <c r="F102" s="101" t="s">
        <v>21</v>
      </c>
      <c r="G102" s="72" t="s">
        <v>22</v>
      </c>
      <c r="I102" s="101"/>
      <c r="M102" s="72" t="s">
        <v>22</v>
      </c>
      <c r="O102" s="101"/>
      <c r="P102" s="99">
        <f>random_key!A3</f>
        <v>0.9970902728</v>
      </c>
    </row>
    <row r="103">
      <c r="A103" s="69">
        <v>54.0</v>
      </c>
      <c r="B103" s="69" t="s">
        <v>511</v>
      </c>
      <c r="C103" s="69" t="s">
        <v>817</v>
      </c>
      <c r="D103" s="69">
        <v>0.977</v>
      </c>
      <c r="E103" s="102" t="s">
        <v>351</v>
      </c>
      <c r="F103" s="103" t="s">
        <v>21</v>
      </c>
      <c r="G103" s="72" t="s">
        <v>22</v>
      </c>
      <c r="I103" s="101"/>
      <c r="J103" s="72" t="s">
        <v>22</v>
      </c>
      <c r="O103" s="103"/>
      <c r="P103" s="99">
        <f>random_key!A54</f>
        <v>0.9973993648</v>
      </c>
    </row>
    <row r="104">
      <c r="G104" s="104">
        <f t="shared" ref="G104:N104" si="1">COUNTIF(G4:G103,"x")</f>
        <v>34</v>
      </c>
      <c r="H104" s="104">
        <f t="shared" si="1"/>
        <v>30</v>
      </c>
      <c r="I104" s="104">
        <f t="shared" si="1"/>
        <v>13</v>
      </c>
      <c r="J104" s="105">
        <f t="shared" si="1"/>
        <v>16</v>
      </c>
      <c r="K104" s="105">
        <f t="shared" si="1"/>
        <v>3</v>
      </c>
      <c r="L104" s="105">
        <f t="shared" si="1"/>
        <v>15</v>
      </c>
      <c r="M104" s="105">
        <f t="shared" si="1"/>
        <v>17</v>
      </c>
      <c r="N104" s="105">
        <f t="shared" si="1"/>
        <v>25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sheetData>
    <row r="1">
      <c r="A1" s="39"/>
      <c r="B1" s="39"/>
      <c r="C1" s="39"/>
      <c r="D1" s="39"/>
      <c r="E1" s="79"/>
      <c r="F1" s="80"/>
      <c r="G1" s="39"/>
      <c r="H1" s="39"/>
      <c r="I1" s="80"/>
      <c r="J1" s="39"/>
      <c r="K1" s="39"/>
      <c r="L1" s="39"/>
      <c r="M1" s="39"/>
      <c r="N1" s="39"/>
      <c r="O1" s="39"/>
      <c r="P1" s="80"/>
      <c r="Q1" s="39"/>
      <c r="R1" s="80"/>
    </row>
    <row r="2">
      <c r="A2" s="39"/>
      <c r="B2" s="106" t="s">
        <v>0</v>
      </c>
      <c r="C2" s="106" t="s">
        <v>1</v>
      </c>
      <c r="D2" s="81" t="s">
        <v>2</v>
      </c>
      <c r="E2" s="82" t="s">
        <v>3</v>
      </c>
      <c r="F2" s="8"/>
      <c r="G2" s="83" t="s">
        <v>4</v>
      </c>
      <c r="I2" s="8"/>
      <c r="J2" s="83" t="s">
        <v>5</v>
      </c>
      <c r="P2" s="80"/>
      <c r="Q2" s="39"/>
      <c r="R2" s="80"/>
    </row>
    <row r="3">
      <c r="A3" s="84" t="s">
        <v>6</v>
      </c>
      <c r="B3" s="85"/>
      <c r="C3" s="85"/>
      <c r="D3" s="85"/>
      <c r="E3" s="107" t="s">
        <v>7</v>
      </c>
      <c r="F3" s="87" t="s">
        <v>8</v>
      </c>
      <c r="G3" s="108" t="s">
        <v>7</v>
      </c>
      <c r="H3" s="108" t="s">
        <v>8</v>
      </c>
      <c r="I3" s="87" t="s">
        <v>9</v>
      </c>
      <c r="J3" s="108" t="s">
        <v>10</v>
      </c>
      <c r="K3" s="108" t="s">
        <v>11</v>
      </c>
      <c r="L3" s="108" t="s">
        <v>12</v>
      </c>
      <c r="M3" s="108" t="s">
        <v>13</v>
      </c>
      <c r="N3" s="108" t="s">
        <v>14</v>
      </c>
      <c r="O3" s="108" t="s">
        <v>15</v>
      </c>
      <c r="P3" s="87" t="s">
        <v>16</v>
      </c>
      <c r="Q3" s="108"/>
      <c r="R3" s="109" t="s">
        <v>862</v>
      </c>
    </row>
    <row r="4">
      <c r="A4" s="39">
        <v>2.0</v>
      </c>
      <c r="B4" s="39" t="s">
        <v>17</v>
      </c>
      <c r="C4" s="39" t="s">
        <v>662</v>
      </c>
      <c r="D4" s="60" t="s">
        <v>19</v>
      </c>
      <c r="E4" s="110" t="s">
        <v>20</v>
      </c>
      <c r="F4" s="91" t="s">
        <v>21</v>
      </c>
      <c r="G4" s="39"/>
      <c r="H4" s="60" t="s">
        <v>22</v>
      </c>
      <c r="I4" s="92"/>
      <c r="J4" s="39"/>
      <c r="K4" s="39"/>
      <c r="L4" s="39"/>
      <c r="M4" s="39"/>
      <c r="N4" s="60" t="s">
        <v>22</v>
      </c>
      <c r="O4" s="39"/>
      <c r="P4" s="91" t="s">
        <v>863</v>
      </c>
      <c r="Q4" s="39"/>
      <c r="R4" s="80" t="b">
        <f>IFERROR(__xludf.DUMMYFUNCTION("or(and(regexmatch(E4,""omission""),regexmatch(F4,""omission"")),and(regexmatch(E4,""hallucination""),regexmatch(F4,""hallucination"")))"),FALSE)</f>
        <v>0</v>
      </c>
      <c r="S4" s="60"/>
    </row>
    <row r="5">
      <c r="A5" s="39">
        <v>3.0</v>
      </c>
      <c r="B5" s="39" t="s">
        <v>23</v>
      </c>
      <c r="C5" s="39" t="s">
        <v>663</v>
      </c>
      <c r="D5" s="60" t="s">
        <v>25</v>
      </c>
      <c r="E5" s="110" t="s">
        <v>20</v>
      </c>
      <c r="F5" s="91" t="s">
        <v>26</v>
      </c>
      <c r="G5" s="39"/>
      <c r="H5" s="60" t="s">
        <v>22</v>
      </c>
      <c r="I5" s="92"/>
      <c r="J5" s="39"/>
      <c r="K5" s="39"/>
      <c r="L5" s="39"/>
      <c r="M5" s="60" t="s">
        <v>22</v>
      </c>
      <c r="N5" s="39"/>
      <c r="O5" s="39"/>
      <c r="P5" s="91" t="s">
        <v>864</v>
      </c>
      <c r="Q5" s="39"/>
      <c r="R5" s="80" t="b">
        <f>IFERROR(__xludf.DUMMYFUNCTION("or(and(regexmatch(E5,""omission""),regexmatch(F5,""omission"")),and(regexmatch(E5,""hallucination""),regexmatch(F5,""hallucination"")))"),TRUE)</f>
        <v>1</v>
      </c>
      <c r="S5" s="60"/>
    </row>
    <row r="6">
      <c r="A6" s="39">
        <v>4.0</v>
      </c>
      <c r="B6" s="39" t="s">
        <v>28</v>
      </c>
      <c r="C6" s="39" t="s">
        <v>664</v>
      </c>
      <c r="D6" s="60" t="s">
        <v>30</v>
      </c>
      <c r="E6" s="110" t="s">
        <v>31</v>
      </c>
      <c r="F6" s="91" t="s">
        <v>21</v>
      </c>
      <c r="G6" s="39"/>
      <c r="H6" s="60" t="s">
        <v>22</v>
      </c>
      <c r="I6" s="92"/>
      <c r="J6" s="39"/>
      <c r="K6" s="39"/>
      <c r="L6" s="39"/>
      <c r="M6" s="39"/>
      <c r="N6" s="39"/>
      <c r="O6" s="60" t="s">
        <v>22</v>
      </c>
      <c r="P6" s="91" t="s">
        <v>865</v>
      </c>
      <c r="Q6" s="39"/>
      <c r="R6" s="80" t="b">
        <f>IFERROR(__xludf.DUMMYFUNCTION("or(and(regexmatch(E6,""omission""),regexmatch(F6,""omission"")),and(regexmatch(E6,""hallucination""),regexmatch(F6,""hallucination"")))"),FALSE)</f>
        <v>0</v>
      </c>
      <c r="S6" s="60"/>
    </row>
    <row r="7">
      <c r="A7" s="39">
        <v>5.0</v>
      </c>
      <c r="B7" s="39" t="s">
        <v>32</v>
      </c>
      <c r="C7" s="39" t="s">
        <v>665</v>
      </c>
      <c r="D7" s="60" t="s">
        <v>34</v>
      </c>
      <c r="E7" s="79" t="s">
        <v>20</v>
      </c>
      <c r="F7" s="111" t="s">
        <v>21</v>
      </c>
      <c r="G7" s="60" t="s">
        <v>22</v>
      </c>
      <c r="H7" s="39"/>
      <c r="I7" s="92"/>
      <c r="J7" s="39"/>
      <c r="K7" s="60" t="s">
        <v>22</v>
      </c>
      <c r="L7" s="39"/>
      <c r="M7" s="39"/>
      <c r="N7" s="39"/>
      <c r="O7" s="39"/>
      <c r="P7" s="91" t="s">
        <v>866</v>
      </c>
      <c r="Q7" s="39"/>
      <c r="R7" s="80" t="b">
        <f>IFERROR(__xludf.DUMMYFUNCTION("or(and(regexmatch(E7,""omission""),regexmatch(F7,""omission"")),and(regexmatch(E7,""hallucination""),regexmatch(F7,""hallucination"")))"),FALSE)</f>
        <v>0</v>
      </c>
      <c r="S7" s="60"/>
    </row>
    <row r="8">
      <c r="A8" s="39">
        <v>6.0</v>
      </c>
      <c r="B8" s="39" t="s">
        <v>36</v>
      </c>
      <c r="C8" s="39" t="s">
        <v>666</v>
      </c>
      <c r="D8" s="60" t="s">
        <v>38</v>
      </c>
      <c r="E8" s="110" t="s">
        <v>20</v>
      </c>
      <c r="F8" s="111" t="s">
        <v>21</v>
      </c>
      <c r="G8" s="39"/>
      <c r="H8" s="39"/>
      <c r="I8" s="92" t="s">
        <v>22</v>
      </c>
      <c r="J8" s="39"/>
      <c r="K8" s="60" t="s">
        <v>22</v>
      </c>
      <c r="L8" s="39"/>
      <c r="M8" s="60" t="s">
        <v>22</v>
      </c>
      <c r="N8" s="60" t="s">
        <v>862</v>
      </c>
      <c r="O8" s="39"/>
      <c r="P8" s="91" t="s">
        <v>867</v>
      </c>
      <c r="Q8" s="39"/>
      <c r="R8" s="80" t="b">
        <f>IFERROR(__xludf.DUMMYFUNCTION("or(and(regexmatch(E8,""omission""),regexmatch(F8,""omission"")),and(regexmatch(E8,""hallucination""),regexmatch(F8,""hallucination"")))"),FALSE)</f>
        <v>0</v>
      </c>
      <c r="S8" s="60"/>
    </row>
    <row r="9">
      <c r="A9" s="39">
        <v>7.0</v>
      </c>
      <c r="B9" s="39" t="s">
        <v>40</v>
      </c>
      <c r="C9" s="39" t="s">
        <v>668</v>
      </c>
      <c r="D9" s="60" t="s">
        <v>42</v>
      </c>
      <c r="E9" s="79" t="s">
        <v>21</v>
      </c>
      <c r="F9" s="111" t="s">
        <v>20</v>
      </c>
      <c r="G9" s="60" t="s">
        <v>22</v>
      </c>
      <c r="H9" s="39"/>
      <c r="I9" s="92"/>
      <c r="J9" s="39"/>
      <c r="K9" s="60" t="s">
        <v>22</v>
      </c>
      <c r="L9" s="39"/>
      <c r="M9" s="39"/>
      <c r="N9" s="60" t="s">
        <v>22</v>
      </c>
      <c r="O9" s="39"/>
      <c r="P9" s="91" t="s">
        <v>868</v>
      </c>
      <c r="Q9" s="39"/>
      <c r="R9" s="80" t="b">
        <f>IFERROR(__xludf.DUMMYFUNCTION("or(and(regexmatch(E9,""omission""),regexmatch(F9,""omission"")),and(regexmatch(E9,""hallucination""),regexmatch(F9,""hallucination"")))"),FALSE)</f>
        <v>0</v>
      </c>
      <c r="S9" s="60"/>
    </row>
    <row r="10">
      <c r="A10" s="39">
        <v>8.0</v>
      </c>
      <c r="B10" s="39" t="s">
        <v>43</v>
      </c>
      <c r="C10" s="39" t="s">
        <v>669</v>
      </c>
      <c r="D10" s="60" t="s">
        <v>45</v>
      </c>
      <c r="E10" s="79" t="s">
        <v>21</v>
      </c>
      <c r="F10" s="111" t="s">
        <v>20</v>
      </c>
      <c r="G10" s="60" t="s">
        <v>22</v>
      </c>
      <c r="H10" s="39"/>
      <c r="I10" s="92"/>
      <c r="J10" s="39"/>
      <c r="K10" s="60" t="s">
        <v>22</v>
      </c>
      <c r="L10" s="39"/>
      <c r="M10" s="39"/>
      <c r="N10" s="60" t="s">
        <v>22</v>
      </c>
      <c r="O10" s="39"/>
      <c r="P10" s="91" t="s">
        <v>868</v>
      </c>
      <c r="Q10" s="39"/>
      <c r="R10" s="80" t="b">
        <f>IFERROR(__xludf.DUMMYFUNCTION("or(and(regexmatch(E10,""omission""),regexmatch(F10,""omission"")),and(regexmatch(E10,""hallucination""),regexmatch(F10,""hallucination"")))"),FALSE)</f>
        <v>0</v>
      </c>
      <c r="S10" s="60"/>
    </row>
    <row r="11">
      <c r="A11" s="39">
        <v>9.0</v>
      </c>
      <c r="B11" s="39" t="s">
        <v>46</v>
      </c>
      <c r="C11" s="39" t="s">
        <v>670</v>
      </c>
      <c r="D11" s="60" t="s">
        <v>48</v>
      </c>
      <c r="E11" s="79" t="s">
        <v>31</v>
      </c>
      <c r="F11" s="111" t="s">
        <v>21</v>
      </c>
      <c r="G11" s="60" t="s">
        <v>22</v>
      </c>
      <c r="H11" s="39"/>
      <c r="I11" s="92"/>
      <c r="J11" s="39"/>
      <c r="K11" s="39"/>
      <c r="L11" s="39"/>
      <c r="M11" s="60" t="s">
        <v>22</v>
      </c>
      <c r="N11" s="39"/>
      <c r="O11" s="39"/>
      <c r="P11" s="91" t="s">
        <v>869</v>
      </c>
      <c r="Q11" s="39"/>
      <c r="R11" s="80" t="b">
        <f>IFERROR(__xludf.DUMMYFUNCTION("or(and(regexmatch(E11,""omission""),regexmatch(F11,""omission"")),and(regexmatch(E11,""hallucination""),regexmatch(F11,""hallucination"")))"),FALSE)</f>
        <v>0</v>
      </c>
      <c r="S11" s="60"/>
    </row>
    <row r="12">
      <c r="A12" s="39">
        <v>10.0</v>
      </c>
      <c r="B12" s="39" t="s">
        <v>49</v>
      </c>
      <c r="C12" s="39" t="s">
        <v>671</v>
      </c>
      <c r="D12" s="60" t="s">
        <v>51</v>
      </c>
      <c r="E12" s="79" t="s">
        <v>21</v>
      </c>
      <c r="F12" s="111" t="s">
        <v>20</v>
      </c>
      <c r="G12" s="60" t="s">
        <v>22</v>
      </c>
      <c r="H12" s="39"/>
      <c r="I12" s="92"/>
      <c r="J12" s="39"/>
      <c r="K12" s="60" t="s">
        <v>22</v>
      </c>
      <c r="L12" s="39"/>
      <c r="M12" s="39"/>
      <c r="N12" s="60" t="s">
        <v>22</v>
      </c>
      <c r="O12" s="39"/>
      <c r="P12" s="91" t="s">
        <v>868</v>
      </c>
      <c r="Q12" s="39"/>
      <c r="R12" s="80" t="b">
        <f>IFERROR(__xludf.DUMMYFUNCTION("or(and(regexmatch(E12,""omission""),regexmatch(F12,""omission"")),and(regexmatch(E12,""hallucination""),regexmatch(F12,""hallucination"")))"),FALSE)</f>
        <v>0</v>
      </c>
      <c r="S12" s="60"/>
    </row>
    <row r="13">
      <c r="A13" s="39">
        <v>11.0</v>
      </c>
      <c r="B13" s="39" t="s">
        <v>52</v>
      </c>
      <c r="C13" s="39" t="s">
        <v>672</v>
      </c>
      <c r="D13" s="60" t="s">
        <v>54</v>
      </c>
      <c r="E13" s="110" t="s">
        <v>20</v>
      </c>
      <c r="F13" s="111" t="s">
        <v>21</v>
      </c>
      <c r="G13" s="39"/>
      <c r="H13" s="39"/>
      <c r="I13" s="92" t="s">
        <v>22</v>
      </c>
      <c r="J13" s="39"/>
      <c r="K13" s="39"/>
      <c r="L13" s="39"/>
      <c r="M13" s="60" t="s">
        <v>22</v>
      </c>
      <c r="N13" s="39"/>
      <c r="O13" s="39"/>
      <c r="P13" s="91" t="s">
        <v>870</v>
      </c>
      <c r="Q13" s="39"/>
      <c r="R13" s="80" t="b">
        <f>IFERROR(__xludf.DUMMYFUNCTION("or(and(regexmatch(E13,""omission""),regexmatch(F13,""omission"")),and(regexmatch(E13,""hallucination""),regexmatch(F13,""hallucination"")))"),FALSE)</f>
        <v>0</v>
      </c>
      <c r="S13" s="60"/>
    </row>
    <row r="14">
      <c r="A14" s="39">
        <v>12.0</v>
      </c>
      <c r="B14" s="39" t="s">
        <v>55</v>
      </c>
      <c r="C14" s="39" t="s">
        <v>673</v>
      </c>
      <c r="D14" s="60" t="s">
        <v>57</v>
      </c>
      <c r="E14" s="110" t="s">
        <v>31</v>
      </c>
      <c r="F14" s="91" t="s">
        <v>21</v>
      </c>
      <c r="G14" s="39"/>
      <c r="H14" s="60" t="s">
        <v>22</v>
      </c>
      <c r="I14" s="92"/>
      <c r="J14" s="39"/>
      <c r="K14" s="39"/>
      <c r="L14" s="39"/>
      <c r="M14" s="39"/>
      <c r="N14" s="39"/>
      <c r="O14" s="60" t="s">
        <v>22</v>
      </c>
      <c r="P14" s="91" t="s">
        <v>865</v>
      </c>
      <c r="Q14" s="39"/>
      <c r="R14" s="80" t="b">
        <f>IFERROR(__xludf.DUMMYFUNCTION("or(and(regexmatch(E14,""omission""),regexmatch(F14,""omission"")),and(regexmatch(E14,""hallucination""),regexmatch(F14,""hallucination"")))"),FALSE)</f>
        <v>0</v>
      </c>
      <c r="S14" s="60"/>
    </row>
    <row r="15">
      <c r="A15" s="39">
        <v>13.0</v>
      </c>
      <c r="B15" s="39" t="s">
        <v>58</v>
      </c>
      <c r="C15" s="39" t="s">
        <v>674</v>
      </c>
      <c r="D15" s="60" t="s">
        <v>60</v>
      </c>
      <c r="E15" s="110" t="s">
        <v>20</v>
      </c>
      <c r="F15" s="111" t="s">
        <v>21</v>
      </c>
      <c r="G15" s="39"/>
      <c r="H15" s="39"/>
      <c r="I15" s="92" t="s">
        <v>22</v>
      </c>
      <c r="J15" s="39"/>
      <c r="K15" s="39"/>
      <c r="L15" s="60" t="s">
        <v>22</v>
      </c>
      <c r="M15" s="60" t="s">
        <v>22</v>
      </c>
      <c r="N15" s="39"/>
      <c r="O15" s="39"/>
      <c r="P15" s="91" t="s">
        <v>871</v>
      </c>
      <c r="Q15" s="39"/>
      <c r="R15" s="80" t="b">
        <f>IFERROR(__xludf.DUMMYFUNCTION("or(and(regexmatch(E15,""omission""),regexmatch(F15,""omission"")),and(regexmatch(E15,""hallucination""),regexmatch(F15,""hallucination"")))"),FALSE)</f>
        <v>0</v>
      </c>
      <c r="S15" s="60"/>
    </row>
    <row r="16">
      <c r="A16" s="39">
        <v>14.0</v>
      </c>
      <c r="B16" s="39" t="s">
        <v>62</v>
      </c>
      <c r="C16" s="39" t="s">
        <v>676</v>
      </c>
      <c r="D16" s="60" t="s">
        <v>64</v>
      </c>
      <c r="E16" s="110" t="s">
        <v>20</v>
      </c>
      <c r="F16" s="91" t="s">
        <v>26</v>
      </c>
      <c r="G16" s="39"/>
      <c r="H16" s="60" t="s">
        <v>22</v>
      </c>
      <c r="I16" s="92"/>
      <c r="J16" s="39"/>
      <c r="K16" s="39"/>
      <c r="L16" s="39"/>
      <c r="M16" s="60" t="s">
        <v>22</v>
      </c>
      <c r="N16" s="39"/>
      <c r="O16" s="39"/>
      <c r="P16" s="91" t="s">
        <v>872</v>
      </c>
      <c r="Q16" s="39"/>
      <c r="R16" s="80" t="b">
        <f>IFERROR(__xludf.DUMMYFUNCTION("or(and(regexmatch(E16,""omission""),regexmatch(F16,""omission"")),and(regexmatch(E16,""hallucination""),regexmatch(F16,""hallucination"")))"),TRUE)</f>
        <v>1</v>
      </c>
      <c r="S16" s="60"/>
    </row>
    <row r="17">
      <c r="A17" s="39">
        <v>15.0</v>
      </c>
      <c r="B17" s="39" t="s">
        <v>66</v>
      </c>
      <c r="C17" s="39" t="s">
        <v>677</v>
      </c>
      <c r="D17" s="60" t="s">
        <v>42</v>
      </c>
      <c r="E17" s="79" t="s">
        <v>21</v>
      </c>
      <c r="F17" s="111" t="s">
        <v>20</v>
      </c>
      <c r="G17" s="60" t="s">
        <v>22</v>
      </c>
      <c r="H17" s="39"/>
      <c r="I17" s="92"/>
      <c r="J17" s="39"/>
      <c r="K17" s="60" t="s">
        <v>22</v>
      </c>
      <c r="L17" s="39"/>
      <c r="M17" s="39"/>
      <c r="N17" s="60" t="s">
        <v>22</v>
      </c>
      <c r="O17" s="39"/>
      <c r="P17" s="91" t="s">
        <v>868</v>
      </c>
      <c r="Q17" s="39"/>
      <c r="R17" s="80" t="b">
        <f>IFERROR(__xludf.DUMMYFUNCTION("or(and(regexmatch(E17,""omission""),regexmatch(F17,""omission"")),and(regexmatch(E17,""hallucination""),regexmatch(F17,""hallucination"")))"),FALSE)</f>
        <v>0</v>
      </c>
      <c r="S17" s="60"/>
    </row>
    <row r="18">
      <c r="A18" s="39">
        <v>16.0</v>
      </c>
      <c r="B18" s="39" t="s">
        <v>68</v>
      </c>
      <c r="C18" s="39" t="s">
        <v>678</v>
      </c>
      <c r="D18" s="60" t="s">
        <v>70</v>
      </c>
      <c r="E18" s="79" t="s">
        <v>20</v>
      </c>
      <c r="F18" s="111" t="s">
        <v>21</v>
      </c>
      <c r="G18" s="60" t="s">
        <v>22</v>
      </c>
      <c r="H18" s="39"/>
      <c r="I18" s="92"/>
      <c r="J18" s="39"/>
      <c r="K18" s="60" t="s">
        <v>22</v>
      </c>
      <c r="L18" s="39"/>
      <c r="M18" s="39"/>
      <c r="N18" s="39"/>
      <c r="O18" s="39"/>
      <c r="P18" s="91" t="s">
        <v>866</v>
      </c>
      <c r="Q18" s="39"/>
      <c r="R18" s="80" t="b">
        <f>IFERROR(__xludf.DUMMYFUNCTION("or(and(regexmatch(E18,""omission""),regexmatch(F18,""omission"")),and(regexmatch(E18,""hallucination""),regexmatch(F18,""hallucination"")))"),FALSE)</f>
        <v>0</v>
      </c>
      <c r="S18" s="60"/>
    </row>
    <row r="19">
      <c r="A19" s="39">
        <v>17.0</v>
      </c>
      <c r="B19" s="39" t="s">
        <v>72</v>
      </c>
      <c r="C19" s="39" t="s">
        <v>679</v>
      </c>
      <c r="D19" s="60" t="s">
        <v>74</v>
      </c>
      <c r="E19" s="110" t="s">
        <v>20</v>
      </c>
      <c r="F19" s="91" t="s">
        <v>21</v>
      </c>
      <c r="G19" s="39"/>
      <c r="H19" s="60" t="s">
        <v>22</v>
      </c>
      <c r="I19" s="92"/>
      <c r="J19" s="39"/>
      <c r="K19" s="39"/>
      <c r="L19" s="39"/>
      <c r="M19" s="39"/>
      <c r="N19" s="60" t="s">
        <v>22</v>
      </c>
      <c r="O19" s="39"/>
      <c r="P19" s="91" t="s">
        <v>873</v>
      </c>
      <c r="Q19" s="39"/>
      <c r="R19" s="80" t="b">
        <f>IFERROR(__xludf.DUMMYFUNCTION("or(and(regexmatch(E19,""omission""),regexmatch(F19,""omission"")),and(regexmatch(E19,""hallucination""),regexmatch(F19,""hallucination"")))"),FALSE)</f>
        <v>0</v>
      </c>
      <c r="S19" s="60"/>
    </row>
    <row r="20">
      <c r="A20" s="39">
        <v>18.0</v>
      </c>
      <c r="B20" s="112" t="s">
        <v>75</v>
      </c>
      <c r="C20" s="39" t="s">
        <v>680</v>
      </c>
      <c r="D20" s="60" t="s">
        <v>77</v>
      </c>
      <c r="E20" s="79" t="s">
        <v>21</v>
      </c>
      <c r="F20" s="111" t="s">
        <v>20</v>
      </c>
      <c r="G20" s="60" t="s">
        <v>22</v>
      </c>
      <c r="H20" s="39"/>
      <c r="I20" s="92"/>
      <c r="J20" s="39"/>
      <c r="K20" s="60" t="s">
        <v>22</v>
      </c>
      <c r="L20" s="39"/>
      <c r="M20" s="39"/>
      <c r="N20" s="60" t="s">
        <v>22</v>
      </c>
      <c r="O20" s="39"/>
      <c r="P20" s="91" t="s">
        <v>874</v>
      </c>
      <c r="Q20" s="39"/>
      <c r="R20" s="80" t="b">
        <f>IFERROR(__xludf.DUMMYFUNCTION("or(and(regexmatch(E20,""omission""),regexmatch(F20,""omission"")),and(regexmatch(E20,""hallucination""),regexmatch(F20,""hallucination"")))"),FALSE)</f>
        <v>0</v>
      </c>
      <c r="S20" s="60"/>
    </row>
    <row r="21">
      <c r="A21" s="39">
        <v>19.0</v>
      </c>
      <c r="B21" s="39" t="s">
        <v>78</v>
      </c>
      <c r="C21" s="39" t="s">
        <v>681</v>
      </c>
      <c r="D21" s="60" t="s">
        <v>80</v>
      </c>
      <c r="E21" s="110" t="s">
        <v>20</v>
      </c>
      <c r="F21" s="111" t="s">
        <v>21</v>
      </c>
      <c r="G21" s="39"/>
      <c r="H21" s="39"/>
      <c r="I21" s="92" t="s">
        <v>22</v>
      </c>
      <c r="J21" s="39"/>
      <c r="K21" s="39"/>
      <c r="L21" s="39"/>
      <c r="M21" s="60" t="s">
        <v>22</v>
      </c>
      <c r="N21" s="39"/>
      <c r="O21" s="39"/>
      <c r="P21" s="91" t="s">
        <v>875</v>
      </c>
      <c r="Q21" s="39"/>
      <c r="R21" s="80" t="b">
        <f>IFERROR(__xludf.DUMMYFUNCTION("or(and(regexmatch(E21,""omission""),regexmatch(F21,""omission"")),and(regexmatch(E21,""hallucination""),regexmatch(F21,""hallucination"")))"),FALSE)</f>
        <v>0</v>
      </c>
      <c r="S21" s="60"/>
    </row>
    <row r="22">
      <c r="A22" s="39">
        <v>20.0</v>
      </c>
      <c r="B22" s="39" t="s">
        <v>81</v>
      </c>
      <c r="C22" s="39" t="s">
        <v>673</v>
      </c>
      <c r="D22" s="60" t="s">
        <v>80</v>
      </c>
      <c r="E22" s="110" t="s">
        <v>31</v>
      </c>
      <c r="F22" s="91" t="s">
        <v>21</v>
      </c>
      <c r="G22" s="39"/>
      <c r="H22" s="60" t="s">
        <v>22</v>
      </c>
      <c r="I22" s="92"/>
      <c r="J22" s="39"/>
      <c r="K22" s="39"/>
      <c r="L22" s="39"/>
      <c r="M22" s="39"/>
      <c r="N22" s="39"/>
      <c r="O22" s="60" t="s">
        <v>22</v>
      </c>
      <c r="P22" s="91" t="s">
        <v>865</v>
      </c>
      <c r="Q22" s="39"/>
      <c r="R22" s="80" t="b">
        <f>IFERROR(__xludf.DUMMYFUNCTION("or(and(regexmatch(E22,""omission""),regexmatch(F22,""omission"")),and(regexmatch(E22,""hallucination""),regexmatch(F22,""hallucination"")))"),FALSE)</f>
        <v>0</v>
      </c>
      <c r="S22" s="60"/>
    </row>
    <row r="23">
      <c r="A23" s="39">
        <v>21.0</v>
      </c>
      <c r="B23" s="39" t="s">
        <v>83</v>
      </c>
      <c r="C23" s="39" t="s">
        <v>682</v>
      </c>
      <c r="D23" s="60" t="s">
        <v>85</v>
      </c>
      <c r="E23" s="110" t="s">
        <v>20</v>
      </c>
      <c r="F23" s="91" t="s">
        <v>21</v>
      </c>
      <c r="G23" s="39"/>
      <c r="H23" s="60" t="s">
        <v>22</v>
      </c>
      <c r="I23" s="92"/>
      <c r="J23" s="39"/>
      <c r="K23" s="39"/>
      <c r="L23" s="39"/>
      <c r="M23" s="39"/>
      <c r="N23" s="60" t="s">
        <v>22</v>
      </c>
      <c r="O23" s="39"/>
      <c r="P23" s="91" t="s">
        <v>863</v>
      </c>
      <c r="Q23" s="39"/>
      <c r="R23" s="80" t="b">
        <f>IFERROR(__xludf.DUMMYFUNCTION("or(and(regexmatch(E23,""omission""),regexmatch(F23,""omission"")),and(regexmatch(E23,""hallucination""),regexmatch(F23,""hallucination"")))"),FALSE)</f>
        <v>0</v>
      </c>
      <c r="S23" s="60"/>
    </row>
    <row r="24">
      <c r="A24" s="39">
        <v>22.0</v>
      </c>
      <c r="B24" s="39" t="s">
        <v>86</v>
      </c>
      <c r="C24" s="39" t="s">
        <v>683</v>
      </c>
      <c r="D24" s="60" t="s">
        <v>88</v>
      </c>
      <c r="E24" s="79" t="s">
        <v>21</v>
      </c>
      <c r="F24" s="111" t="s">
        <v>31</v>
      </c>
      <c r="G24" s="60" t="s">
        <v>22</v>
      </c>
      <c r="H24" s="39"/>
      <c r="I24" s="92"/>
      <c r="J24" s="39"/>
      <c r="K24" s="39"/>
      <c r="L24" s="39"/>
      <c r="M24" s="39"/>
      <c r="N24" s="39"/>
      <c r="O24" s="60" t="s">
        <v>22</v>
      </c>
      <c r="P24" s="91" t="s">
        <v>876</v>
      </c>
      <c r="Q24" s="39"/>
      <c r="R24" s="80" t="b">
        <f>IFERROR(__xludf.DUMMYFUNCTION("or(and(regexmatch(E24,""omission""),regexmatch(F24,""omission"")),and(regexmatch(E24,""hallucination""),regexmatch(F24,""hallucination"")))"),FALSE)</f>
        <v>0</v>
      </c>
      <c r="S24" s="60"/>
    </row>
    <row r="25">
      <c r="A25" s="39">
        <v>23.0</v>
      </c>
      <c r="B25" s="39" t="s">
        <v>90</v>
      </c>
      <c r="C25" s="39" t="s">
        <v>685</v>
      </c>
      <c r="D25" s="60" t="s">
        <v>92</v>
      </c>
      <c r="E25" s="110" t="s">
        <v>31</v>
      </c>
      <c r="F25" s="91" t="s">
        <v>21</v>
      </c>
      <c r="G25" s="39"/>
      <c r="H25" s="60" t="s">
        <v>22</v>
      </c>
      <c r="I25" s="92"/>
      <c r="J25" s="39"/>
      <c r="K25" s="39"/>
      <c r="L25" s="39"/>
      <c r="M25" s="39"/>
      <c r="N25" s="39"/>
      <c r="O25" s="60" t="s">
        <v>22</v>
      </c>
      <c r="P25" s="91" t="s">
        <v>865</v>
      </c>
      <c r="Q25" s="39"/>
      <c r="R25" s="80" t="b">
        <f>IFERROR(__xludf.DUMMYFUNCTION("or(and(regexmatch(E25,""omission""),regexmatch(F25,""omission"")),and(regexmatch(E25,""hallucination""),regexmatch(F25,""hallucination"")))"),FALSE)</f>
        <v>0</v>
      </c>
      <c r="S25" s="60"/>
    </row>
    <row r="26">
      <c r="A26" s="39">
        <v>24.0</v>
      </c>
      <c r="B26" s="39" t="s">
        <v>93</v>
      </c>
      <c r="C26" s="39" t="s">
        <v>686</v>
      </c>
      <c r="D26" s="60" t="s">
        <v>95</v>
      </c>
      <c r="E26" s="110" t="s">
        <v>21</v>
      </c>
      <c r="F26" s="111" t="s">
        <v>20</v>
      </c>
      <c r="G26" s="39"/>
      <c r="H26" s="39"/>
      <c r="I26" s="92" t="s">
        <v>22</v>
      </c>
      <c r="J26" s="39"/>
      <c r="K26" s="39"/>
      <c r="L26" s="39"/>
      <c r="M26" s="60" t="s">
        <v>22</v>
      </c>
      <c r="N26" s="39"/>
      <c r="O26" s="39"/>
      <c r="P26" s="91" t="s">
        <v>877</v>
      </c>
      <c r="Q26" s="39"/>
      <c r="R26" s="80" t="b">
        <f>IFERROR(__xludf.DUMMYFUNCTION("or(and(regexmatch(E26,""omission""),regexmatch(F26,""omission"")),and(regexmatch(E26,""hallucination""),regexmatch(F26,""hallucination"")))"),FALSE)</f>
        <v>0</v>
      </c>
      <c r="S26" s="60"/>
    </row>
    <row r="27">
      <c r="A27" s="39">
        <v>25.0</v>
      </c>
      <c r="B27" s="39" t="s">
        <v>97</v>
      </c>
      <c r="C27" s="39" t="s">
        <v>688</v>
      </c>
      <c r="D27" s="60" t="s">
        <v>99</v>
      </c>
      <c r="E27" s="110" t="s">
        <v>20</v>
      </c>
      <c r="F27" s="111" t="s">
        <v>21</v>
      </c>
      <c r="G27" s="39"/>
      <c r="H27" s="39"/>
      <c r="I27" s="92" t="s">
        <v>22</v>
      </c>
      <c r="J27" s="39"/>
      <c r="K27" s="60" t="s">
        <v>22</v>
      </c>
      <c r="L27" s="39"/>
      <c r="M27" s="60" t="s">
        <v>22</v>
      </c>
      <c r="N27" s="39"/>
      <c r="O27" s="39"/>
      <c r="P27" s="91" t="s">
        <v>867</v>
      </c>
      <c r="Q27" s="39"/>
      <c r="R27" s="80" t="b">
        <f>IFERROR(__xludf.DUMMYFUNCTION("or(and(regexmatch(E27,""omission""),regexmatch(F27,""omission"")),and(regexmatch(E27,""hallucination""),regexmatch(F27,""hallucination"")))"),FALSE)</f>
        <v>0</v>
      </c>
      <c r="S27" s="60"/>
    </row>
    <row r="28">
      <c r="A28" s="39">
        <v>27.0</v>
      </c>
      <c r="B28" s="39" t="s">
        <v>101</v>
      </c>
      <c r="C28" s="39" t="s">
        <v>690</v>
      </c>
      <c r="D28" s="60" t="s">
        <v>103</v>
      </c>
      <c r="E28" s="110" t="s">
        <v>20</v>
      </c>
      <c r="F28" s="91" t="s">
        <v>21</v>
      </c>
      <c r="G28" s="39"/>
      <c r="H28" s="60" t="s">
        <v>22</v>
      </c>
      <c r="I28" s="92"/>
      <c r="J28" s="39"/>
      <c r="K28" s="39"/>
      <c r="L28" s="39"/>
      <c r="M28" s="39"/>
      <c r="N28" s="60" t="s">
        <v>22</v>
      </c>
      <c r="O28" s="39"/>
      <c r="P28" s="91" t="s">
        <v>863</v>
      </c>
      <c r="Q28" s="39"/>
      <c r="R28" s="80" t="b">
        <f>IFERROR(__xludf.DUMMYFUNCTION("or(and(regexmatch(E28,""omission""),regexmatch(F28,""omission"")),and(regexmatch(E28,""hallucination""),regexmatch(F28,""hallucination"")))"),FALSE)</f>
        <v>0</v>
      </c>
      <c r="S28" s="60"/>
    </row>
    <row r="29">
      <c r="A29" s="39">
        <v>28.0</v>
      </c>
      <c r="B29" s="39" t="s">
        <v>105</v>
      </c>
      <c r="C29" s="39" t="s">
        <v>692</v>
      </c>
      <c r="D29" s="60" t="s">
        <v>107</v>
      </c>
      <c r="E29" s="110" t="s">
        <v>31</v>
      </c>
      <c r="F29" s="91" t="s">
        <v>21</v>
      </c>
      <c r="G29" s="39"/>
      <c r="H29" s="60" t="s">
        <v>22</v>
      </c>
      <c r="I29" s="92"/>
      <c r="J29" s="39"/>
      <c r="K29" s="39"/>
      <c r="L29" s="39"/>
      <c r="M29" s="39"/>
      <c r="N29" s="39"/>
      <c r="O29" s="60" t="s">
        <v>22</v>
      </c>
      <c r="P29" s="91" t="s">
        <v>865</v>
      </c>
      <c r="Q29" s="39"/>
      <c r="R29" s="80" t="b">
        <f>IFERROR(__xludf.DUMMYFUNCTION("or(and(regexmatch(E29,""omission""),regexmatch(F29,""omission"")),and(regexmatch(E29,""hallucination""),regexmatch(F29,""hallucination"")))"),FALSE)</f>
        <v>0</v>
      </c>
      <c r="S29" s="60"/>
    </row>
    <row r="30">
      <c r="A30" s="39">
        <v>29.0</v>
      </c>
      <c r="B30" s="39" t="s">
        <v>108</v>
      </c>
      <c r="C30" s="39" t="s">
        <v>693</v>
      </c>
      <c r="D30" s="60" t="s">
        <v>110</v>
      </c>
      <c r="E30" s="110" t="s">
        <v>20</v>
      </c>
      <c r="F30" s="91" t="s">
        <v>26</v>
      </c>
      <c r="G30" s="39"/>
      <c r="H30" s="60" t="s">
        <v>22</v>
      </c>
      <c r="I30" s="92"/>
      <c r="J30" s="39"/>
      <c r="K30" s="39"/>
      <c r="L30" s="39"/>
      <c r="M30" s="60" t="s">
        <v>22</v>
      </c>
      <c r="N30" s="39"/>
      <c r="O30" s="39"/>
      <c r="P30" s="91" t="s">
        <v>878</v>
      </c>
      <c r="Q30" s="39"/>
      <c r="R30" s="80" t="b">
        <f>IFERROR(__xludf.DUMMYFUNCTION("or(and(regexmatch(E30,""omission""),regexmatch(F30,""omission"")),and(regexmatch(E30,""hallucination""),regexmatch(F30,""hallucination"")))"),TRUE)</f>
        <v>1</v>
      </c>
      <c r="S30" s="60"/>
    </row>
    <row r="31">
      <c r="A31" s="39">
        <v>30.0</v>
      </c>
      <c r="B31" s="39" t="s">
        <v>112</v>
      </c>
      <c r="C31" s="39" t="s">
        <v>694</v>
      </c>
      <c r="D31" s="60" t="s">
        <v>114</v>
      </c>
      <c r="E31" s="79" t="s">
        <v>21</v>
      </c>
      <c r="F31" s="111" t="s">
        <v>20</v>
      </c>
      <c r="G31" s="60" t="s">
        <v>22</v>
      </c>
      <c r="H31" s="39"/>
      <c r="I31" s="92"/>
      <c r="J31" s="39"/>
      <c r="K31" s="60" t="s">
        <v>22</v>
      </c>
      <c r="L31" s="39"/>
      <c r="M31" s="39"/>
      <c r="N31" s="60" t="s">
        <v>22</v>
      </c>
      <c r="O31" s="39"/>
      <c r="P31" s="91" t="s">
        <v>868</v>
      </c>
      <c r="Q31" s="39"/>
      <c r="R31" s="80" t="b">
        <f>IFERROR(__xludf.DUMMYFUNCTION("or(and(regexmatch(E31,""omission""),regexmatch(F31,""omission"")),and(regexmatch(E31,""hallucination""),regexmatch(F31,""hallucination"")))"),FALSE)</f>
        <v>0</v>
      </c>
      <c r="S31" s="60"/>
    </row>
    <row r="32">
      <c r="A32" s="39">
        <v>31.0</v>
      </c>
      <c r="B32" s="39" t="s">
        <v>115</v>
      </c>
      <c r="C32" s="39" t="s">
        <v>695</v>
      </c>
      <c r="D32" s="60" t="s">
        <v>117</v>
      </c>
      <c r="E32" s="110" t="s">
        <v>31</v>
      </c>
      <c r="F32" s="91" t="s">
        <v>21</v>
      </c>
      <c r="G32" s="39"/>
      <c r="H32" s="60" t="s">
        <v>22</v>
      </c>
      <c r="I32" s="92"/>
      <c r="J32" s="39"/>
      <c r="K32" s="39"/>
      <c r="L32" s="39"/>
      <c r="M32" s="39"/>
      <c r="N32" s="39"/>
      <c r="O32" s="60" t="s">
        <v>22</v>
      </c>
      <c r="P32" s="91" t="s">
        <v>865</v>
      </c>
      <c r="Q32" s="39"/>
      <c r="R32" s="80" t="b">
        <f>IFERROR(__xludf.DUMMYFUNCTION("or(and(regexmatch(E32,""omission""),regexmatch(F32,""omission"")),and(regexmatch(E32,""hallucination""),regexmatch(F32,""hallucination"")))"),FALSE)</f>
        <v>0</v>
      </c>
      <c r="S32" s="60"/>
    </row>
    <row r="33">
      <c r="A33" s="39">
        <v>33.0</v>
      </c>
      <c r="B33" s="39" t="s">
        <v>118</v>
      </c>
      <c r="C33" s="39" t="s">
        <v>696</v>
      </c>
      <c r="D33" s="60" t="s">
        <v>120</v>
      </c>
      <c r="E33" s="79" t="s">
        <v>21</v>
      </c>
      <c r="F33" s="111" t="s">
        <v>20</v>
      </c>
      <c r="G33" s="60" t="s">
        <v>22</v>
      </c>
      <c r="H33" s="39"/>
      <c r="I33" s="92"/>
      <c r="J33" s="39"/>
      <c r="K33" s="60" t="s">
        <v>22</v>
      </c>
      <c r="L33" s="39"/>
      <c r="M33" s="39"/>
      <c r="N33" s="60" t="s">
        <v>22</v>
      </c>
      <c r="O33" s="39"/>
      <c r="P33" s="91" t="s">
        <v>879</v>
      </c>
      <c r="Q33" s="39"/>
      <c r="R33" s="80" t="b">
        <f>IFERROR(__xludf.DUMMYFUNCTION("or(and(regexmatch(E33,""omission""),regexmatch(F33,""omission"")),and(regexmatch(E33,""hallucination""),regexmatch(F33,""hallucination"")))"),FALSE)</f>
        <v>0</v>
      </c>
      <c r="S33" s="60"/>
    </row>
    <row r="34">
      <c r="A34" s="39">
        <v>34.0</v>
      </c>
      <c r="B34" s="39" t="s">
        <v>121</v>
      </c>
      <c r="C34" s="39" t="s">
        <v>697</v>
      </c>
      <c r="D34" s="60" t="s">
        <v>123</v>
      </c>
      <c r="E34" s="110" t="s">
        <v>20</v>
      </c>
      <c r="F34" s="111" t="s">
        <v>21</v>
      </c>
      <c r="G34" s="39"/>
      <c r="H34" s="39"/>
      <c r="I34" s="92" t="s">
        <v>22</v>
      </c>
      <c r="J34" s="39"/>
      <c r="K34" s="60" t="s">
        <v>22</v>
      </c>
      <c r="L34" s="39"/>
      <c r="M34" s="60" t="s">
        <v>22</v>
      </c>
      <c r="N34" s="39"/>
      <c r="O34" s="39"/>
      <c r="P34" s="91" t="s">
        <v>880</v>
      </c>
      <c r="Q34" s="39"/>
      <c r="R34" s="80" t="b">
        <f>IFERROR(__xludf.DUMMYFUNCTION("or(and(regexmatch(E34,""omission""),regexmatch(F34,""omission"")),and(regexmatch(E34,""hallucination""),regexmatch(F34,""hallucination"")))"),FALSE)</f>
        <v>0</v>
      </c>
      <c r="S34" s="60"/>
    </row>
    <row r="35">
      <c r="A35" s="39">
        <v>36.0</v>
      </c>
      <c r="B35" s="39" t="s">
        <v>125</v>
      </c>
      <c r="C35" s="39" t="s">
        <v>699</v>
      </c>
      <c r="D35" s="60" t="s">
        <v>127</v>
      </c>
      <c r="E35" s="79" t="s">
        <v>21</v>
      </c>
      <c r="F35" s="111" t="s">
        <v>20</v>
      </c>
      <c r="G35" s="60" t="s">
        <v>22</v>
      </c>
      <c r="H35" s="39"/>
      <c r="I35" s="92"/>
      <c r="J35" s="39"/>
      <c r="K35" s="60" t="s">
        <v>22</v>
      </c>
      <c r="L35" s="39"/>
      <c r="M35" s="39"/>
      <c r="N35" s="60" t="s">
        <v>22</v>
      </c>
      <c r="O35" s="39"/>
      <c r="P35" s="91" t="s">
        <v>868</v>
      </c>
      <c r="Q35" s="39"/>
      <c r="R35" s="80" t="b">
        <f>IFERROR(__xludf.DUMMYFUNCTION("or(and(regexmatch(E35,""omission""),regexmatch(F35,""omission"")),and(regexmatch(E35,""hallucination""),regexmatch(F35,""hallucination"")))"),FALSE)</f>
        <v>0</v>
      </c>
      <c r="S35" s="60"/>
    </row>
    <row r="36">
      <c r="A36" s="39">
        <v>37.0</v>
      </c>
      <c r="B36" s="39" t="s">
        <v>128</v>
      </c>
      <c r="C36" s="39" t="s">
        <v>700</v>
      </c>
      <c r="D36" s="60" t="s">
        <v>64</v>
      </c>
      <c r="E36" s="79" t="s">
        <v>21</v>
      </c>
      <c r="F36" s="111" t="s">
        <v>20</v>
      </c>
      <c r="G36" s="60" t="s">
        <v>22</v>
      </c>
      <c r="H36" s="39"/>
      <c r="I36" s="92"/>
      <c r="J36" s="39"/>
      <c r="K36" s="60" t="s">
        <v>22</v>
      </c>
      <c r="L36" s="39"/>
      <c r="M36" s="39"/>
      <c r="N36" s="60" t="s">
        <v>22</v>
      </c>
      <c r="O36" s="39"/>
      <c r="P36" s="91" t="s">
        <v>881</v>
      </c>
      <c r="Q36" s="39"/>
      <c r="R36" s="80" t="b">
        <f>IFERROR(__xludf.DUMMYFUNCTION("or(and(regexmatch(E36,""omission""),regexmatch(F36,""omission"")),and(regexmatch(E36,""hallucination""),regexmatch(F36,""hallucination"")))"),FALSE)</f>
        <v>0</v>
      </c>
      <c r="S36" s="60"/>
    </row>
    <row r="37">
      <c r="A37" s="39">
        <v>38.0</v>
      </c>
      <c r="B37" s="39" t="s">
        <v>130</v>
      </c>
      <c r="C37" s="39" t="s">
        <v>701</v>
      </c>
      <c r="D37" s="60" t="s">
        <v>132</v>
      </c>
      <c r="E37" s="79" t="s">
        <v>21</v>
      </c>
      <c r="F37" s="111" t="s">
        <v>20</v>
      </c>
      <c r="G37" s="60" t="s">
        <v>22</v>
      </c>
      <c r="H37" s="39"/>
      <c r="I37" s="92"/>
      <c r="J37" s="39"/>
      <c r="K37" s="60" t="s">
        <v>22</v>
      </c>
      <c r="L37" s="39"/>
      <c r="M37" s="39"/>
      <c r="N37" s="60" t="s">
        <v>22</v>
      </c>
      <c r="O37" s="39"/>
      <c r="P37" s="91" t="s">
        <v>868</v>
      </c>
      <c r="Q37" s="39"/>
      <c r="R37" s="80" t="b">
        <f>IFERROR(__xludf.DUMMYFUNCTION("or(and(regexmatch(E37,""omission""),regexmatch(F37,""omission"")),and(regexmatch(E37,""hallucination""),regexmatch(F37,""hallucination"")))"),FALSE)</f>
        <v>0</v>
      </c>
      <c r="S37" s="60"/>
    </row>
    <row r="38">
      <c r="A38" s="39">
        <v>40.0</v>
      </c>
      <c r="B38" s="39" t="s">
        <v>133</v>
      </c>
      <c r="C38" s="39" t="s">
        <v>688</v>
      </c>
      <c r="D38" s="60" t="s">
        <v>134</v>
      </c>
      <c r="E38" s="110" t="s">
        <v>31</v>
      </c>
      <c r="F38" s="91" t="s">
        <v>21</v>
      </c>
      <c r="G38" s="39"/>
      <c r="H38" s="60" t="s">
        <v>22</v>
      </c>
      <c r="I38" s="92"/>
      <c r="J38" s="39"/>
      <c r="K38" s="39"/>
      <c r="L38" s="39"/>
      <c r="M38" s="39"/>
      <c r="N38" s="39"/>
      <c r="O38" s="60" t="s">
        <v>22</v>
      </c>
      <c r="P38" s="91" t="s">
        <v>865</v>
      </c>
      <c r="Q38" s="39"/>
      <c r="R38" s="80" t="b">
        <f>IFERROR(__xludf.DUMMYFUNCTION("or(and(regexmatch(E38,""omission""),regexmatch(F38,""omission"")),and(regexmatch(E38,""hallucination""),regexmatch(F38,""hallucination"")))"),FALSE)</f>
        <v>0</v>
      </c>
      <c r="S38" s="60"/>
    </row>
    <row r="39">
      <c r="A39" s="39">
        <v>41.0</v>
      </c>
      <c r="B39" s="39" t="s">
        <v>135</v>
      </c>
      <c r="C39" s="39" t="s">
        <v>702</v>
      </c>
      <c r="D39" s="60" t="s">
        <v>137</v>
      </c>
      <c r="E39" s="110" t="s">
        <v>21</v>
      </c>
      <c r="F39" s="111" t="s">
        <v>31</v>
      </c>
      <c r="G39" s="39"/>
      <c r="H39" s="39"/>
      <c r="I39" s="92" t="s">
        <v>22</v>
      </c>
      <c r="J39" s="39"/>
      <c r="K39" s="39"/>
      <c r="L39" s="60" t="s">
        <v>22</v>
      </c>
      <c r="M39" s="60" t="s">
        <v>22</v>
      </c>
      <c r="N39" s="39"/>
      <c r="O39" s="39"/>
      <c r="P39" s="91" t="s">
        <v>882</v>
      </c>
      <c r="Q39" s="39"/>
      <c r="R39" s="80" t="b">
        <f>IFERROR(__xludf.DUMMYFUNCTION("or(and(regexmatch(E39,""omission""),regexmatch(F39,""omission"")),and(regexmatch(E39,""hallucination""),regexmatch(F39,""hallucination"")))"),FALSE)</f>
        <v>0</v>
      </c>
      <c r="S39" s="60"/>
    </row>
    <row r="40">
      <c r="A40" s="39">
        <v>42.0</v>
      </c>
      <c r="B40" s="39" t="s">
        <v>139</v>
      </c>
      <c r="C40" s="39" t="s">
        <v>703</v>
      </c>
      <c r="D40" s="60" t="s">
        <v>141</v>
      </c>
      <c r="E40" s="110" t="s">
        <v>31</v>
      </c>
      <c r="F40" s="111" t="s">
        <v>21</v>
      </c>
      <c r="G40" s="39"/>
      <c r="H40" s="39"/>
      <c r="I40" s="92" t="s">
        <v>22</v>
      </c>
      <c r="J40" s="39"/>
      <c r="K40" s="39"/>
      <c r="L40" s="39"/>
      <c r="M40" s="60" t="s">
        <v>22</v>
      </c>
      <c r="N40" s="39"/>
      <c r="O40" s="39"/>
      <c r="P40" s="91" t="s">
        <v>883</v>
      </c>
      <c r="Q40" s="39"/>
      <c r="R40" s="80" t="b">
        <f>IFERROR(__xludf.DUMMYFUNCTION("or(and(regexmatch(E40,""omission""),regexmatch(F40,""omission"")),and(regexmatch(E40,""hallucination""),regexmatch(F40,""hallucination"")))"),FALSE)</f>
        <v>0</v>
      </c>
      <c r="S40" s="60"/>
    </row>
    <row r="41">
      <c r="A41" s="39">
        <v>43.0</v>
      </c>
      <c r="B41" s="39" t="s">
        <v>143</v>
      </c>
      <c r="C41" s="39" t="s">
        <v>705</v>
      </c>
      <c r="D41" s="60" t="s">
        <v>145</v>
      </c>
      <c r="E41" s="110" t="s">
        <v>20</v>
      </c>
      <c r="F41" s="91" t="s">
        <v>21</v>
      </c>
      <c r="G41" s="39"/>
      <c r="H41" s="60" t="s">
        <v>22</v>
      </c>
      <c r="I41" s="92"/>
      <c r="J41" s="39"/>
      <c r="K41" s="39"/>
      <c r="L41" s="39"/>
      <c r="M41" s="39"/>
      <c r="N41" s="60" t="s">
        <v>22</v>
      </c>
      <c r="O41" s="39"/>
      <c r="P41" s="91" t="s">
        <v>863</v>
      </c>
      <c r="Q41" s="39"/>
      <c r="R41" s="80" t="b">
        <f>IFERROR(__xludf.DUMMYFUNCTION("or(and(regexmatch(E41,""omission""),regexmatch(F41,""omission"")),and(regexmatch(E41,""hallucination""),regexmatch(F41,""hallucination"")))"),FALSE)</f>
        <v>0</v>
      </c>
      <c r="S41" s="60"/>
    </row>
    <row r="42">
      <c r="A42" s="39">
        <v>44.0</v>
      </c>
      <c r="B42" s="39" t="s">
        <v>146</v>
      </c>
      <c r="C42" s="39" t="s">
        <v>706</v>
      </c>
      <c r="D42" s="60" t="s">
        <v>148</v>
      </c>
      <c r="E42" s="79" t="s">
        <v>21</v>
      </c>
      <c r="F42" s="111" t="s">
        <v>20</v>
      </c>
      <c r="G42" s="60" t="s">
        <v>22</v>
      </c>
      <c r="H42" s="39"/>
      <c r="I42" s="92"/>
      <c r="J42" s="39"/>
      <c r="K42" s="60" t="s">
        <v>22</v>
      </c>
      <c r="L42" s="39"/>
      <c r="M42" s="39"/>
      <c r="N42" s="60" t="s">
        <v>22</v>
      </c>
      <c r="O42" s="39"/>
      <c r="P42" s="91" t="s">
        <v>868</v>
      </c>
      <c r="Q42" s="39"/>
      <c r="R42" s="80" t="b">
        <f>IFERROR(__xludf.DUMMYFUNCTION("or(and(regexmatch(E42,""omission""),regexmatch(F42,""omission"")),and(regexmatch(E42,""hallucination""),regexmatch(F42,""hallucination"")))"),FALSE)</f>
        <v>0</v>
      </c>
      <c r="S42" s="60"/>
    </row>
    <row r="43">
      <c r="A43" s="39">
        <v>45.0</v>
      </c>
      <c r="B43" s="39" t="s">
        <v>149</v>
      </c>
      <c r="C43" s="39" t="s">
        <v>707</v>
      </c>
      <c r="D43" s="60" t="s">
        <v>151</v>
      </c>
      <c r="E43" s="110" t="s">
        <v>20</v>
      </c>
      <c r="F43" s="111" t="s">
        <v>21</v>
      </c>
      <c r="G43" s="39"/>
      <c r="H43" s="39"/>
      <c r="I43" s="92" t="s">
        <v>22</v>
      </c>
      <c r="J43" s="39"/>
      <c r="K43" s="60" t="s">
        <v>22</v>
      </c>
      <c r="L43" s="39"/>
      <c r="M43" s="60" t="s">
        <v>22</v>
      </c>
      <c r="N43" s="39"/>
      <c r="O43" s="39"/>
      <c r="P43" s="91" t="s">
        <v>884</v>
      </c>
      <c r="Q43" s="39"/>
      <c r="R43" s="80" t="b">
        <f>IFERROR(__xludf.DUMMYFUNCTION("or(and(regexmatch(E43,""omission""),regexmatch(F43,""omission"")),and(regexmatch(E43,""hallucination""),regexmatch(F43,""hallucination"")))"),FALSE)</f>
        <v>0</v>
      </c>
      <c r="S43" s="60"/>
    </row>
    <row r="44">
      <c r="A44" s="39">
        <v>46.0</v>
      </c>
      <c r="B44" s="39" t="s">
        <v>153</v>
      </c>
      <c r="C44" s="39" t="s">
        <v>708</v>
      </c>
      <c r="D44" s="60" t="s">
        <v>42</v>
      </c>
      <c r="E44" s="79" t="s">
        <v>21</v>
      </c>
      <c r="F44" s="111" t="s">
        <v>20</v>
      </c>
      <c r="G44" s="60" t="s">
        <v>22</v>
      </c>
      <c r="H44" s="39"/>
      <c r="I44" s="92"/>
      <c r="J44" s="39"/>
      <c r="K44" s="60" t="s">
        <v>22</v>
      </c>
      <c r="L44" s="39"/>
      <c r="M44" s="39"/>
      <c r="N44" s="60" t="s">
        <v>22</v>
      </c>
      <c r="O44" s="39"/>
      <c r="P44" s="91" t="s">
        <v>879</v>
      </c>
      <c r="Q44" s="39"/>
      <c r="R44" s="80" t="b">
        <f>IFERROR(__xludf.DUMMYFUNCTION("or(and(regexmatch(E44,""omission""),regexmatch(F44,""omission"")),and(regexmatch(E44,""hallucination""),regexmatch(F44,""hallucination"")))"),FALSE)</f>
        <v>0</v>
      </c>
      <c r="S44" s="60"/>
    </row>
    <row r="45">
      <c r="A45" s="39">
        <v>47.0</v>
      </c>
      <c r="B45" s="39" t="s">
        <v>155</v>
      </c>
      <c r="C45" s="39" t="s">
        <v>709</v>
      </c>
      <c r="D45" s="60" t="s">
        <v>157</v>
      </c>
      <c r="E45" s="79" t="s">
        <v>21</v>
      </c>
      <c r="F45" s="111" t="s">
        <v>20</v>
      </c>
      <c r="G45" s="60" t="s">
        <v>22</v>
      </c>
      <c r="H45" s="39"/>
      <c r="I45" s="92"/>
      <c r="J45" s="39"/>
      <c r="K45" s="60" t="s">
        <v>22</v>
      </c>
      <c r="L45" s="39"/>
      <c r="M45" s="39"/>
      <c r="N45" s="60" t="s">
        <v>22</v>
      </c>
      <c r="O45" s="39"/>
      <c r="P45" s="91" t="s">
        <v>868</v>
      </c>
      <c r="Q45" s="39"/>
      <c r="R45" s="80" t="b">
        <f>IFERROR(__xludf.DUMMYFUNCTION("or(and(regexmatch(E45,""omission""),regexmatch(F45,""omission"")),and(regexmatch(E45,""hallucination""),regexmatch(F45,""hallucination"")))"),FALSE)</f>
        <v>0</v>
      </c>
      <c r="S45" s="60"/>
    </row>
    <row r="46">
      <c r="A46" s="39">
        <v>48.0</v>
      </c>
      <c r="B46" s="39" t="s">
        <v>158</v>
      </c>
      <c r="C46" s="39" t="s">
        <v>710</v>
      </c>
      <c r="D46" s="60" t="s">
        <v>160</v>
      </c>
      <c r="E46" s="110" t="s">
        <v>20</v>
      </c>
      <c r="F46" s="111" t="s">
        <v>21</v>
      </c>
      <c r="G46" s="39"/>
      <c r="H46" s="39"/>
      <c r="I46" s="92" t="s">
        <v>22</v>
      </c>
      <c r="J46" s="60" t="s">
        <v>22</v>
      </c>
      <c r="K46" s="39"/>
      <c r="L46" s="39"/>
      <c r="M46" s="60" t="s">
        <v>22</v>
      </c>
      <c r="N46" s="39"/>
      <c r="O46" s="39"/>
      <c r="P46" s="91" t="s">
        <v>885</v>
      </c>
      <c r="Q46" s="39"/>
      <c r="R46" s="80" t="b">
        <f>IFERROR(__xludf.DUMMYFUNCTION("or(and(regexmatch(E46,""omission""),regexmatch(F46,""omission"")),and(regexmatch(E46,""hallucination""),regexmatch(F46,""hallucination"")))"),FALSE)</f>
        <v>0</v>
      </c>
      <c r="S46" s="60"/>
    </row>
    <row r="47">
      <c r="A47" s="39">
        <v>49.0</v>
      </c>
      <c r="B47" s="39" t="s">
        <v>162</v>
      </c>
      <c r="C47" s="39" t="s">
        <v>711</v>
      </c>
      <c r="D47" s="60" t="s">
        <v>164</v>
      </c>
      <c r="E47" s="110" t="s">
        <v>20</v>
      </c>
      <c r="F47" s="111" t="s">
        <v>21</v>
      </c>
      <c r="G47" s="39"/>
      <c r="H47" s="39"/>
      <c r="I47" s="92" t="s">
        <v>22</v>
      </c>
      <c r="J47" s="39"/>
      <c r="K47" s="60" t="s">
        <v>22</v>
      </c>
      <c r="L47" s="39"/>
      <c r="M47" s="60" t="s">
        <v>22</v>
      </c>
      <c r="N47" s="39"/>
      <c r="O47" s="39"/>
      <c r="P47" s="91" t="s">
        <v>886</v>
      </c>
      <c r="Q47" s="39"/>
      <c r="R47" s="80" t="b">
        <f>IFERROR(__xludf.DUMMYFUNCTION("or(and(regexmatch(E47,""omission""),regexmatch(F47,""omission"")),and(regexmatch(E47,""hallucination""),regexmatch(F47,""hallucination"")))"),FALSE)</f>
        <v>0</v>
      </c>
      <c r="S47" s="60"/>
    </row>
    <row r="48">
      <c r="A48" s="39">
        <v>51.0</v>
      </c>
      <c r="B48" s="39" t="s">
        <v>166</v>
      </c>
      <c r="C48" s="39" t="s">
        <v>713</v>
      </c>
      <c r="D48" s="60" t="s">
        <v>168</v>
      </c>
      <c r="E48" s="110" t="s">
        <v>21</v>
      </c>
      <c r="F48" s="111" t="s">
        <v>31</v>
      </c>
      <c r="G48" s="39"/>
      <c r="H48" s="39"/>
      <c r="I48" s="92" t="s">
        <v>22</v>
      </c>
      <c r="J48" s="39"/>
      <c r="K48" s="39"/>
      <c r="L48" s="60" t="s">
        <v>22</v>
      </c>
      <c r="M48" s="60" t="s">
        <v>22</v>
      </c>
      <c r="N48" s="39"/>
      <c r="O48" s="39"/>
      <c r="P48" s="91" t="s">
        <v>887</v>
      </c>
      <c r="Q48" s="39"/>
      <c r="R48" s="80" t="b">
        <f>IFERROR(__xludf.DUMMYFUNCTION("or(and(regexmatch(E48,""omission""),regexmatch(F48,""omission"")),and(regexmatch(E48,""hallucination""),regexmatch(F48,""hallucination"")))"),FALSE)</f>
        <v>0</v>
      </c>
      <c r="S48" s="60"/>
    </row>
    <row r="49">
      <c r="A49" s="39">
        <v>52.0</v>
      </c>
      <c r="B49" s="39" t="s">
        <v>170</v>
      </c>
      <c r="C49" s="39" t="s">
        <v>714</v>
      </c>
      <c r="D49" s="60" t="s">
        <v>172</v>
      </c>
      <c r="E49" s="110" t="s">
        <v>20</v>
      </c>
      <c r="F49" s="91" t="s">
        <v>21</v>
      </c>
      <c r="G49" s="39"/>
      <c r="H49" s="60" t="s">
        <v>22</v>
      </c>
      <c r="I49" s="92"/>
      <c r="J49" s="39"/>
      <c r="K49" s="39"/>
      <c r="L49" s="39"/>
      <c r="M49" s="39"/>
      <c r="N49" s="60" t="s">
        <v>22</v>
      </c>
      <c r="O49" s="39"/>
      <c r="P49" s="91" t="s">
        <v>863</v>
      </c>
      <c r="Q49" s="39"/>
      <c r="R49" s="80" t="b">
        <f>IFERROR(__xludf.DUMMYFUNCTION("or(and(regexmatch(E49,""omission""),regexmatch(F49,""omission"")),and(regexmatch(E49,""hallucination""),regexmatch(F49,""hallucination"")))"),FALSE)</f>
        <v>0</v>
      </c>
      <c r="S49" s="60"/>
    </row>
    <row r="50">
      <c r="A50" s="39">
        <v>54.0</v>
      </c>
      <c r="B50" s="39" t="s">
        <v>173</v>
      </c>
      <c r="C50" s="39" t="s">
        <v>715</v>
      </c>
      <c r="D50" s="60" t="s">
        <v>175</v>
      </c>
      <c r="E50" s="110" t="s">
        <v>20</v>
      </c>
      <c r="F50" s="91" t="s">
        <v>21</v>
      </c>
      <c r="G50" s="39"/>
      <c r="H50" s="60" t="s">
        <v>22</v>
      </c>
      <c r="I50" s="92"/>
      <c r="J50" s="39"/>
      <c r="K50" s="39"/>
      <c r="L50" s="39"/>
      <c r="M50" s="39"/>
      <c r="N50" s="60" t="s">
        <v>22</v>
      </c>
      <c r="O50" s="39"/>
      <c r="P50" s="91" t="s">
        <v>863</v>
      </c>
      <c r="Q50" s="39"/>
      <c r="R50" s="80" t="b">
        <f>IFERROR(__xludf.DUMMYFUNCTION("or(and(regexmatch(E50,""omission""),regexmatch(F50,""omission"")),and(regexmatch(E50,""hallucination""),regexmatch(F50,""hallucination"")))"),FALSE)</f>
        <v>0</v>
      </c>
      <c r="S50" s="60"/>
    </row>
    <row r="51">
      <c r="A51" s="39">
        <v>55.0</v>
      </c>
      <c r="B51" s="39" t="s">
        <v>176</v>
      </c>
      <c r="C51" s="39" t="s">
        <v>716</v>
      </c>
      <c r="D51" s="60" t="s">
        <v>120</v>
      </c>
      <c r="E51" s="79" t="s">
        <v>21</v>
      </c>
      <c r="F51" s="111" t="s">
        <v>20</v>
      </c>
      <c r="G51" s="60" t="s">
        <v>22</v>
      </c>
      <c r="H51" s="39"/>
      <c r="I51" s="92"/>
      <c r="J51" s="39"/>
      <c r="K51" s="60" t="s">
        <v>22</v>
      </c>
      <c r="L51" s="39"/>
      <c r="M51" s="39"/>
      <c r="N51" s="60" t="s">
        <v>22</v>
      </c>
      <c r="O51" s="39"/>
      <c r="P51" s="91" t="s">
        <v>868</v>
      </c>
      <c r="Q51" s="39"/>
      <c r="R51" s="80" t="b">
        <f>IFERROR(__xludf.DUMMYFUNCTION("or(and(regexmatch(E51,""omission""),regexmatch(F51,""omission"")),and(regexmatch(E51,""hallucination""),regexmatch(F51,""hallucination"")))"),FALSE)</f>
        <v>0</v>
      </c>
      <c r="S51" s="60"/>
    </row>
    <row r="52">
      <c r="A52" s="39">
        <v>56.0</v>
      </c>
      <c r="B52" s="39" t="s">
        <v>178</v>
      </c>
      <c r="C52" s="39" t="s">
        <v>717</v>
      </c>
      <c r="D52" s="60" t="s">
        <v>180</v>
      </c>
      <c r="E52" s="110" t="s">
        <v>20</v>
      </c>
      <c r="F52" s="91" t="s">
        <v>26</v>
      </c>
      <c r="G52" s="39"/>
      <c r="H52" s="60" t="s">
        <v>22</v>
      </c>
      <c r="I52" s="92"/>
      <c r="J52" s="39"/>
      <c r="K52" s="39"/>
      <c r="L52" s="39"/>
      <c r="M52" s="60" t="s">
        <v>22</v>
      </c>
      <c r="N52" s="39"/>
      <c r="O52" s="39"/>
      <c r="P52" s="91" t="s">
        <v>888</v>
      </c>
      <c r="Q52" s="39"/>
      <c r="R52" s="80" t="b">
        <f>IFERROR(__xludf.DUMMYFUNCTION("or(and(regexmatch(E52,""omission""),regexmatch(F52,""omission"")),and(regexmatch(E52,""hallucination""),regexmatch(F52,""hallucination"")))"),TRUE)</f>
        <v>1</v>
      </c>
      <c r="S52" s="60"/>
    </row>
    <row r="53">
      <c r="A53" s="39">
        <v>57.0</v>
      </c>
      <c r="B53" s="39" t="s">
        <v>182</v>
      </c>
      <c r="C53" s="39" t="s">
        <v>718</v>
      </c>
      <c r="D53" s="60" t="s">
        <v>184</v>
      </c>
      <c r="E53" s="79" t="s">
        <v>21</v>
      </c>
      <c r="F53" s="111" t="s">
        <v>20</v>
      </c>
      <c r="G53" s="60" t="s">
        <v>22</v>
      </c>
      <c r="H53" s="39"/>
      <c r="I53" s="92"/>
      <c r="J53" s="39"/>
      <c r="K53" s="60" t="s">
        <v>22</v>
      </c>
      <c r="L53" s="39"/>
      <c r="M53" s="39"/>
      <c r="N53" s="60" t="s">
        <v>22</v>
      </c>
      <c r="O53" s="39"/>
      <c r="P53" s="91" t="s">
        <v>889</v>
      </c>
      <c r="Q53" s="39"/>
      <c r="R53" s="80" t="b">
        <f>IFERROR(__xludf.DUMMYFUNCTION("or(and(regexmatch(E53,""omission""),regexmatch(F53,""omission"")),and(regexmatch(E53,""hallucination""),regexmatch(F53,""hallucination"")))"),FALSE)</f>
        <v>0</v>
      </c>
      <c r="S53" s="60"/>
    </row>
    <row r="54">
      <c r="A54" s="39">
        <v>58.0</v>
      </c>
      <c r="B54" s="39" t="s">
        <v>185</v>
      </c>
      <c r="C54" s="39" t="s">
        <v>719</v>
      </c>
      <c r="D54" s="60" t="s">
        <v>187</v>
      </c>
      <c r="E54" s="110" t="s">
        <v>31</v>
      </c>
      <c r="F54" s="91" t="s">
        <v>21</v>
      </c>
      <c r="G54" s="39"/>
      <c r="H54" s="60" t="s">
        <v>22</v>
      </c>
      <c r="I54" s="92"/>
      <c r="J54" s="39"/>
      <c r="K54" s="39"/>
      <c r="L54" s="39"/>
      <c r="M54" s="39"/>
      <c r="N54" s="60" t="s">
        <v>862</v>
      </c>
      <c r="O54" s="60" t="s">
        <v>22</v>
      </c>
      <c r="P54" s="91" t="s">
        <v>890</v>
      </c>
      <c r="Q54" s="39"/>
      <c r="R54" s="80" t="b">
        <f>IFERROR(__xludf.DUMMYFUNCTION("or(and(regexmatch(E54,""omission""),regexmatch(F54,""omission"")),and(regexmatch(E54,""hallucination""),regexmatch(F54,""hallucination"")))"),FALSE)</f>
        <v>0</v>
      </c>
      <c r="S54" s="60"/>
    </row>
    <row r="55">
      <c r="A55" s="39">
        <v>59.0</v>
      </c>
      <c r="B55" s="39" t="s">
        <v>188</v>
      </c>
      <c r="C55" s="39" t="s">
        <v>720</v>
      </c>
      <c r="D55" s="60" t="s">
        <v>190</v>
      </c>
      <c r="E55" s="110" t="s">
        <v>20</v>
      </c>
      <c r="F55" s="111" t="s">
        <v>21</v>
      </c>
      <c r="G55" s="39"/>
      <c r="H55" s="39"/>
      <c r="I55" s="92" t="s">
        <v>22</v>
      </c>
      <c r="J55" s="39"/>
      <c r="K55" s="39"/>
      <c r="L55" s="60" t="s">
        <v>22</v>
      </c>
      <c r="M55" s="60" t="s">
        <v>22</v>
      </c>
      <c r="N55" s="39"/>
      <c r="O55" s="39"/>
      <c r="P55" s="91" t="s">
        <v>887</v>
      </c>
      <c r="Q55" s="39"/>
      <c r="R55" s="80" t="b">
        <f>IFERROR(__xludf.DUMMYFUNCTION("or(and(regexmatch(E55,""omission""),regexmatch(F55,""omission"")),and(regexmatch(E55,""hallucination""),regexmatch(F55,""hallucination"")))"),FALSE)</f>
        <v>0</v>
      </c>
      <c r="S55" s="60"/>
    </row>
    <row r="56">
      <c r="A56" s="39">
        <v>61.0</v>
      </c>
      <c r="B56" s="39" t="s">
        <v>191</v>
      </c>
      <c r="C56" s="39" t="s">
        <v>721</v>
      </c>
      <c r="D56" s="60" t="s">
        <v>64</v>
      </c>
      <c r="E56" s="110" t="s">
        <v>20</v>
      </c>
      <c r="F56" s="91" t="s">
        <v>26</v>
      </c>
      <c r="G56" s="39"/>
      <c r="H56" s="60" t="s">
        <v>22</v>
      </c>
      <c r="I56" s="92"/>
      <c r="J56" s="39"/>
      <c r="K56" s="39"/>
      <c r="L56" s="39"/>
      <c r="M56" s="60" t="s">
        <v>22</v>
      </c>
      <c r="N56" s="39"/>
      <c r="O56" s="39"/>
      <c r="P56" s="91" t="s">
        <v>891</v>
      </c>
      <c r="Q56" s="39"/>
      <c r="R56" s="80" t="b">
        <f>IFERROR(__xludf.DUMMYFUNCTION("or(and(regexmatch(E56,""omission""),regexmatch(F56,""omission"")),and(regexmatch(E56,""hallucination""),regexmatch(F56,""hallucination"")))"),TRUE)</f>
        <v>1</v>
      </c>
      <c r="S56" s="60"/>
    </row>
    <row r="57">
      <c r="A57" s="39">
        <v>62.0</v>
      </c>
      <c r="B57" s="39" t="s">
        <v>194</v>
      </c>
      <c r="C57" s="39" t="s">
        <v>722</v>
      </c>
      <c r="D57" s="60" t="s">
        <v>42</v>
      </c>
      <c r="E57" s="79" t="s">
        <v>21</v>
      </c>
      <c r="F57" s="111" t="s">
        <v>20</v>
      </c>
      <c r="G57" s="60" t="s">
        <v>22</v>
      </c>
      <c r="H57" s="39"/>
      <c r="I57" s="92"/>
      <c r="J57" s="39"/>
      <c r="K57" s="60" t="s">
        <v>22</v>
      </c>
      <c r="L57" s="39"/>
      <c r="M57" s="39"/>
      <c r="N57" s="60" t="s">
        <v>22</v>
      </c>
      <c r="O57" s="39"/>
      <c r="P57" s="91" t="s">
        <v>892</v>
      </c>
      <c r="Q57" s="39"/>
      <c r="R57" s="80" t="b">
        <f>IFERROR(__xludf.DUMMYFUNCTION("or(and(regexmatch(E57,""omission""),regexmatch(F57,""omission"")),and(regexmatch(E57,""hallucination""),regexmatch(F57,""hallucination"")))"),FALSE)</f>
        <v>0</v>
      </c>
      <c r="S57" s="60"/>
    </row>
    <row r="58">
      <c r="A58" s="39">
        <v>63.0</v>
      </c>
      <c r="B58" s="39" t="s">
        <v>196</v>
      </c>
      <c r="C58" s="39" t="s">
        <v>723</v>
      </c>
      <c r="D58" s="60" t="s">
        <v>198</v>
      </c>
      <c r="E58" s="79" t="s">
        <v>21</v>
      </c>
      <c r="F58" s="111" t="s">
        <v>20</v>
      </c>
      <c r="G58" s="60" t="s">
        <v>22</v>
      </c>
      <c r="H58" s="39"/>
      <c r="I58" s="92"/>
      <c r="J58" s="39"/>
      <c r="K58" s="60" t="s">
        <v>22</v>
      </c>
      <c r="L58" s="39"/>
      <c r="M58" s="39"/>
      <c r="N58" s="60" t="s">
        <v>22</v>
      </c>
      <c r="O58" s="39"/>
      <c r="P58" s="91" t="s">
        <v>892</v>
      </c>
      <c r="Q58" s="39"/>
      <c r="R58" s="80" t="b">
        <f>IFERROR(__xludf.DUMMYFUNCTION("or(and(regexmatch(E58,""omission""),regexmatch(F58,""omission"")),and(regexmatch(E58,""hallucination""),regexmatch(F58,""hallucination"")))"),FALSE)</f>
        <v>0</v>
      </c>
      <c r="S58" s="60"/>
    </row>
    <row r="59">
      <c r="A59" s="39">
        <v>64.0</v>
      </c>
      <c r="B59" s="39" t="s">
        <v>199</v>
      </c>
      <c r="C59" s="39" t="s">
        <v>724</v>
      </c>
      <c r="D59" s="60" t="s">
        <v>201</v>
      </c>
      <c r="E59" s="110" t="s">
        <v>20</v>
      </c>
      <c r="F59" s="91" t="s">
        <v>21</v>
      </c>
      <c r="G59" s="39"/>
      <c r="H59" s="60" t="s">
        <v>22</v>
      </c>
      <c r="I59" s="92"/>
      <c r="J59" s="39"/>
      <c r="K59" s="39"/>
      <c r="L59" s="60" t="s">
        <v>22</v>
      </c>
      <c r="M59" s="60" t="s">
        <v>22</v>
      </c>
      <c r="N59" s="39"/>
      <c r="O59" s="39"/>
      <c r="P59" s="91" t="s">
        <v>893</v>
      </c>
      <c r="Q59" s="39"/>
      <c r="R59" s="80" t="b">
        <f>IFERROR(__xludf.DUMMYFUNCTION("or(and(regexmatch(E59,""omission""),regexmatch(F59,""omission"")),and(regexmatch(E59,""hallucination""),regexmatch(F59,""hallucination"")))"),FALSE)</f>
        <v>0</v>
      </c>
      <c r="S59" s="60"/>
    </row>
    <row r="60">
      <c r="A60" s="39">
        <v>66.0</v>
      </c>
      <c r="B60" s="39" t="s">
        <v>202</v>
      </c>
      <c r="C60" s="39" t="s">
        <v>725</v>
      </c>
      <c r="D60" s="60" t="s">
        <v>204</v>
      </c>
      <c r="E60" s="79" t="s">
        <v>21</v>
      </c>
      <c r="F60" s="111" t="s">
        <v>20</v>
      </c>
      <c r="G60" s="60" t="s">
        <v>22</v>
      </c>
      <c r="H60" s="39"/>
      <c r="I60" s="92"/>
      <c r="J60" s="39"/>
      <c r="K60" s="60" t="s">
        <v>22</v>
      </c>
      <c r="L60" s="39"/>
      <c r="M60" s="39"/>
      <c r="N60" s="60" t="s">
        <v>22</v>
      </c>
      <c r="O60" s="39"/>
      <c r="P60" s="91" t="s">
        <v>894</v>
      </c>
      <c r="Q60" s="39"/>
      <c r="R60" s="80" t="b">
        <f>IFERROR(__xludf.DUMMYFUNCTION("or(and(regexmatch(E60,""omission""),regexmatch(F60,""omission"")),and(regexmatch(E60,""hallucination""),regexmatch(F60,""hallucination"")))"),FALSE)</f>
        <v>0</v>
      </c>
      <c r="S60" s="60"/>
    </row>
    <row r="61">
      <c r="A61" s="39">
        <v>67.0</v>
      </c>
      <c r="B61" s="39" t="s">
        <v>205</v>
      </c>
      <c r="C61" s="39" t="s">
        <v>726</v>
      </c>
      <c r="D61" s="60" t="s">
        <v>64</v>
      </c>
      <c r="E61" s="110" t="s">
        <v>26</v>
      </c>
      <c r="F61" s="91" t="s">
        <v>20</v>
      </c>
      <c r="G61" s="39"/>
      <c r="H61" s="60" t="s">
        <v>22</v>
      </c>
      <c r="I61" s="92"/>
      <c r="J61" s="39"/>
      <c r="K61" s="39"/>
      <c r="L61" s="39"/>
      <c r="M61" s="39"/>
      <c r="N61" s="39"/>
      <c r="O61" s="60" t="s">
        <v>22</v>
      </c>
      <c r="P61" s="91" t="s">
        <v>865</v>
      </c>
      <c r="Q61" s="39"/>
      <c r="R61" s="80" t="b">
        <f>IFERROR(__xludf.DUMMYFUNCTION("or(and(regexmatch(E61,""omission""),regexmatch(F61,""omission"")),and(regexmatch(E61,""hallucination""),regexmatch(F61,""hallucination"")))"),TRUE)</f>
        <v>1</v>
      </c>
      <c r="S61" s="60"/>
    </row>
    <row r="62">
      <c r="A62" s="39">
        <v>69.0</v>
      </c>
      <c r="B62" s="39" t="s">
        <v>207</v>
      </c>
      <c r="C62" s="39" t="s">
        <v>727</v>
      </c>
      <c r="D62" s="60" t="s">
        <v>209</v>
      </c>
      <c r="E62" s="110" t="s">
        <v>21</v>
      </c>
      <c r="F62" s="111" t="s">
        <v>31</v>
      </c>
      <c r="G62" s="39"/>
      <c r="H62" s="39"/>
      <c r="I62" s="92" t="s">
        <v>22</v>
      </c>
      <c r="J62" s="39"/>
      <c r="K62" s="39"/>
      <c r="L62" s="60" t="s">
        <v>22</v>
      </c>
      <c r="M62" s="60" t="s">
        <v>22</v>
      </c>
      <c r="N62" s="39"/>
      <c r="O62" s="39"/>
      <c r="P62" s="91" t="s">
        <v>895</v>
      </c>
      <c r="Q62" s="39"/>
      <c r="R62" s="80" t="b">
        <f>IFERROR(__xludf.DUMMYFUNCTION("or(and(regexmatch(E62,""omission""),regexmatch(F62,""omission"")),and(regexmatch(E62,""hallucination""),regexmatch(F62,""hallucination"")))"),FALSE)</f>
        <v>0</v>
      </c>
      <c r="S62" s="60"/>
    </row>
    <row r="63">
      <c r="A63" s="39">
        <v>70.0</v>
      </c>
      <c r="B63" s="39" t="s">
        <v>210</v>
      </c>
      <c r="C63" s="39" t="s">
        <v>728</v>
      </c>
      <c r="D63" s="60" t="s">
        <v>212</v>
      </c>
      <c r="E63" s="110" t="s">
        <v>31</v>
      </c>
      <c r="F63" s="91" t="s">
        <v>21</v>
      </c>
      <c r="G63" s="39"/>
      <c r="H63" s="60" t="s">
        <v>22</v>
      </c>
      <c r="I63" s="92"/>
      <c r="J63" s="39"/>
      <c r="K63" s="39"/>
      <c r="L63" s="39"/>
      <c r="M63" s="39"/>
      <c r="N63" s="39"/>
      <c r="O63" s="60" t="s">
        <v>22</v>
      </c>
      <c r="P63" s="91" t="s">
        <v>865</v>
      </c>
      <c r="Q63" s="39"/>
      <c r="R63" s="80" t="b">
        <f>IFERROR(__xludf.DUMMYFUNCTION("or(and(regexmatch(E63,""omission""),regexmatch(F63,""omission"")),and(regexmatch(E63,""hallucination""),regexmatch(F63,""hallucination"")))"),FALSE)</f>
        <v>0</v>
      </c>
      <c r="S63" s="60"/>
    </row>
    <row r="64">
      <c r="A64" s="39">
        <v>71.0</v>
      </c>
      <c r="B64" s="39" t="s">
        <v>213</v>
      </c>
      <c r="C64" s="39" t="s">
        <v>682</v>
      </c>
      <c r="D64" s="60" t="s">
        <v>107</v>
      </c>
      <c r="E64" s="110" t="s">
        <v>31</v>
      </c>
      <c r="F64" s="91" t="s">
        <v>21</v>
      </c>
      <c r="G64" s="39"/>
      <c r="H64" s="60" t="s">
        <v>22</v>
      </c>
      <c r="I64" s="92"/>
      <c r="J64" s="39"/>
      <c r="K64" s="39"/>
      <c r="L64" s="39"/>
      <c r="M64" s="39"/>
      <c r="N64" s="39"/>
      <c r="O64" s="60" t="s">
        <v>22</v>
      </c>
      <c r="P64" s="91" t="s">
        <v>865</v>
      </c>
      <c r="Q64" s="39"/>
      <c r="R64" s="80" t="b">
        <f>IFERROR(__xludf.DUMMYFUNCTION("or(and(regexmatch(E64,""omission""),regexmatch(F64,""omission"")),and(regexmatch(E64,""hallucination""),regexmatch(F64,""hallucination"")))"),FALSE)</f>
        <v>0</v>
      </c>
      <c r="S64" s="60"/>
    </row>
    <row r="65">
      <c r="A65" s="39">
        <v>72.0</v>
      </c>
      <c r="B65" s="39" t="s">
        <v>214</v>
      </c>
      <c r="C65" s="39" t="s">
        <v>729</v>
      </c>
      <c r="D65" s="60" t="s">
        <v>216</v>
      </c>
      <c r="E65" s="110" t="s">
        <v>20</v>
      </c>
      <c r="F65" s="91" t="s">
        <v>26</v>
      </c>
      <c r="G65" s="39"/>
      <c r="H65" s="60" t="s">
        <v>22</v>
      </c>
      <c r="I65" s="92"/>
      <c r="J65" s="39"/>
      <c r="K65" s="39"/>
      <c r="L65" s="39"/>
      <c r="M65" s="60" t="s">
        <v>22</v>
      </c>
      <c r="N65" s="39"/>
      <c r="O65" s="39"/>
      <c r="P65" s="91" t="s">
        <v>896</v>
      </c>
      <c r="Q65" s="39"/>
      <c r="R65" s="80" t="b">
        <f>IFERROR(__xludf.DUMMYFUNCTION("or(and(regexmatch(E65,""omission""),regexmatch(F65,""omission"")),and(regexmatch(E65,""hallucination""),regexmatch(F65,""hallucination"")))"),TRUE)</f>
        <v>1</v>
      </c>
      <c r="S65" s="60"/>
    </row>
    <row r="66">
      <c r="A66" s="39">
        <v>73.0</v>
      </c>
      <c r="B66" s="39" t="s">
        <v>218</v>
      </c>
      <c r="C66" s="39" t="s">
        <v>730</v>
      </c>
      <c r="D66" s="60" t="s">
        <v>220</v>
      </c>
      <c r="E66" s="110" t="s">
        <v>20</v>
      </c>
      <c r="F66" s="91" t="s">
        <v>21</v>
      </c>
      <c r="G66" s="39"/>
      <c r="H66" s="60" t="s">
        <v>22</v>
      </c>
      <c r="I66" s="92"/>
      <c r="J66" s="39"/>
      <c r="K66" s="39"/>
      <c r="L66" s="39"/>
      <c r="M66" s="39"/>
      <c r="N66" s="60" t="s">
        <v>22</v>
      </c>
      <c r="O66" s="39"/>
      <c r="P66" s="91" t="s">
        <v>863</v>
      </c>
      <c r="Q66" s="39"/>
      <c r="R66" s="80" t="b">
        <f>IFERROR(__xludf.DUMMYFUNCTION("or(and(regexmatch(E66,""omission""),regexmatch(F66,""omission"")),and(regexmatch(E66,""hallucination""),regexmatch(F66,""hallucination"")))"),FALSE)</f>
        <v>0</v>
      </c>
      <c r="S66" s="60"/>
    </row>
    <row r="67">
      <c r="A67" s="39">
        <v>74.0</v>
      </c>
      <c r="B67" s="39" t="s">
        <v>221</v>
      </c>
      <c r="C67" s="39" t="s">
        <v>731</v>
      </c>
      <c r="D67" s="60" t="s">
        <v>223</v>
      </c>
      <c r="E67" s="110" t="s">
        <v>20</v>
      </c>
      <c r="F67" s="111" t="s">
        <v>21</v>
      </c>
      <c r="G67" s="39"/>
      <c r="H67" s="39"/>
      <c r="I67" s="92" t="s">
        <v>22</v>
      </c>
      <c r="J67" s="39"/>
      <c r="K67" s="39"/>
      <c r="L67" s="39"/>
      <c r="M67" s="60" t="s">
        <v>22</v>
      </c>
      <c r="N67" s="39"/>
      <c r="O67" s="39"/>
      <c r="P67" s="91" t="s">
        <v>897</v>
      </c>
      <c r="Q67" s="39"/>
      <c r="R67" s="80" t="b">
        <f>IFERROR(__xludf.DUMMYFUNCTION("or(and(regexmatch(E67,""omission""),regexmatch(F67,""omission"")),and(regexmatch(E67,""hallucination""),regexmatch(F67,""hallucination"")))"),FALSE)</f>
        <v>0</v>
      </c>
      <c r="S67" s="60"/>
    </row>
    <row r="68">
      <c r="A68" s="39">
        <v>75.0</v>
      </c>
      <c r="B68" s="39" t="s">
        <v>225</v>
      </c>
      <c r="C68" s="39" t="s">
        <v>733</v>
      </c>
      <c r="D68" s="60" t="s">
        <v>227</v>
      </c>
      <c r="E68" s="79" t="s">
        <v>21</v>
      </c>
      <c r="F68" s="111" t="s">
        <v>20</v>
      </c>
      <c r="G68" s="60" t="s">
        <v>22</v>
      </c>
      <c r="H68" s="39"/>
      <c r="I68" s="92"/>
      <c r="J68" s="39"/>
      <c r="K68" s="60" t="s">
        <v>22</v>
      </c>
      <c r="L68" s="39"/>
      <c r="M68" s="39"/>
      <c r="N68" s="60" t="s">
        <v>22</v>
      </c>
      <c r="O68" s="39"/>
      <c r="P68" s="91" t="s">
        <v>894</v>
      </c>
      <c r="Q68" s="39"/>
      <c r="R68" s="80" t="b">
        <f>IFERROR(__xludf.DUMMYFUNCTION("or(and(regexmatch(E68,""omission""),regexmatch(F68,""omission"")),and(regexmatch(E68,""hallucination""),regexmatch(F68,""hallucination"")))"),FALSE)</f>
        <v>0</v>
      </c>
      <c r="S68" s="60"/>
    </row>
    <row r="69">
      <c r="A69" s="39">
        <v>76.0</v>
      </c>
      <c r="B69" s="39" t="s">
        <v>228</v>
      </c>
      <c r="C69" s="39" t="s">
        <v>734</v>
      </c>
      <c r="D69" s="60" t="s">
        <v>212</v>
      </c>
      <c r="E69" s="110" t="s">
        <v>20</v>
      </c>
      <c r="F69" s="91" t="s">
        <v>21</v>
      </c>
      <c r="G69" s="39"/>
      <c r="H69" s="60" t="s">
        <v>22</v>
      </c>
      <c r="I69" s="92"/>
      <c r="J69" s="39"/>
      <c r="K69" s="39"/>
      <c r="L69" s="39"/>
      <c r="M69" s="39"/>
      <c r="N69" s="60" t="s">
        <v>22</v>
      </c>
      <c r="O69" s="39"/>
      <c r="P69" s="91" t="s">
        <v>863</v>
      </c>
      <c r="Q69" s="39"/>
      <c r="R69" s="80" t="b">
        <f>IFERROR(__xludf.DUMMYFUNCTION("or(and(regexmatch(E69,""omission""),regexmatch(F69,""omission"")),and(regexmatch(E69,""hallucination""),regexmatch(F69,""hallucination"")))"),FALSE)</f>
        <v>0</v>
      </c>
      <c r="S69" s="60"/>
    </row>
    <row r="70">
      <c r="A70" s="39">
        <v>77.0</v>
      </c>
      <c r="B70" s="39" t="s">
        <v>230</v>
      </c>
      <c r="C70" s="39" t="s">
        <v>735</v>
      </c>
      <c r="D70" s="60" t="s">
        <v>232</v>
      </c>
      <c r="E70" s="79" t="s">
        <v>21</v>
      </c>
      <c r="F70" s="111" t="s">
        <v>20</v>
      </c>
      <c r="G70" s="60" t="s">
        <v>22</v>
      </c>
      <c r="H70" s="39"/>
      <c r="I70" s="92"/>
      <c r="J70" s="39"/>
      <c r="K70" s="60" t="s">
        <v>22</v>
      </c>
      <c r="L70" s="39"/>
      <c r="M70" s="39"/>
      <c r="N70" s="60" t="s">
        <v>22</v>
      </c>
      <c r="O70" s="39"/>
      <c r="P70" s="91" t="s">
        <v>892</v>
      </c>
      <c r="Q70" s="39"/>
      <c r="R70" s="80" t="b">
        <f>IFERROR(__xludf.DUMMYFUNCTION("or(and(regexmatch(E70,""omission""),regexmatch(F70,""omission"")),and(regexmatch(E70,""hallucination""),regexmatch(F70,""hallucination"")))"),FALSE)</f>
        <v>0</v>
      </c>
      <c r="S70" s="60"/>
    </row>
    <row r="71">
      <c r="A71" s="39">
        <v>78.0</v>
      </c>
      <c r="B71" s="39" t="s">
        <v>233</v>
      </c>
      <c r="C71" s="39" t="s">
        <v>736</v>
      </c>
      <c r="D71" s="60" t="s">
        <v>110</v>
      </c>
      <c r="E71" s="79" t="s">
        <v>21</v>
      </c>
      <c r="F71" s="111" t="s">
        <v>31</v>
      </c>
      <c r="G71" s="60" t="s">
        <v>22</v>
      </c>
      <c r="H71" s="39"/>
      <c r="I71" s="92"/>
      <c r="J71" s="39"/>
      <c r="K71" s="60" t="s">
        <v>22</v>
      </c>
      <c r="L71" s="39"/>
      <c r="M71" s="39"/>
      <c r="N71" s="60" t="s">
        <v>22</v>
      </c>
      <c r="O71" s="39"/>
      <c r="P71" s="91" t="s">
        <v>898</v>
      </c>
      <c r="Q71" s="39"/>
      <c r="R71" s="80" t="b">
        <f>IFERROR(__xludf.DUMMYFUNCTION("or(and(regexmatch(E71,""omission""),regexmatch(F71,""omission"")),and(regexmatch(E71,""hallucination""),regexmatch(F71,""hallucination"")))"),FALSE)</f>
        <v>0</v>
      </c>
      <c r="S71" s="60"/>
    </row>
    <row r="72">
      <c r="A72" s="39">
        <v>79.0</v>
      </c>
      <c r="B72" s="39" t="s">
        <v>236</v>
      </c>
      <c r="C72" s="39" t="s">
        <v>715</v>
      </c>
      <c r="D72" s="60" t="s">
        <v>25</v>
      </c>
      <c r="E72" s="79" t="s">
        <v>21</v>
      </c>
      <c r="F72" s="111" t="s">
        <v>20</v>
      </c>
      <c r="G72" s="60" t="s">
        <v>22</v>
      </c>
      <c r="H72" s="39"/>
      <c r="I72" s="92"/>
      <c r="J72" s="39"/>
      <c r="K72" s="60" t="s">
        <v>22</v>
      </c>
      <c r="L72" s="39"/>
      <c r="M72" s="39"/>
      <c r="N72" s="60" t="s">
        <v>22</v>
      </c>
      <c r="O72" s="39"/>
      <c r="P72" s="91" t="s">
        <v>899</v>
      </c>
      <c r="Q72" s="39"/>
      <c r="R72" s="80" t="b">
        <f>IFERROR(__xludf.DUMMYFUNCTION("or(and(regexmatch(E72,""omission""),regexmatch(F72,""omission"")),and(regexmatch(E72,""hallucination""),regexmatch(F72,""hallucination"")))"),FALSE)</f>
        <v>0</v>
      </c>
      <c r="S72" s="60"/>
    </row>
    <row r="73">
      <c r="A73" s="39">
        <v>80.0</v>
      </c>
      <c r="B73" s="39" t="s">
        <v>237</v>
      </c>
      <c r="C73" s="39" t="s">
        <v>673</v>
      </c>
      <c r="D73" s="60" t="s">
        <v>238</v>
      </c>
      <c r="E73" s="110" t="s">
        <v>31</v>
      </c>
      <c r="F73" s="91" t="s">
        <v>21</v>
      </c>
      <c r="G73" s="39"/>
      <c r="H73" s="60" t="s">
        <v>22</v>
      </c>
      <c r="I73" s="92"/>
      <c r="J73" s="39"/>
      <c r="K73" s="39"/>
      <c r="L73" s="39"/>
      <c r="M73" s="39"/>
      <c r="N73" s="39"/>
      <c r="O73" s="60" t="s">
        <v>22</v>
      </c>
      <c r="P73" s="91" t="s">
        <v>865</v>
      </c>
      <c r="Q73" s="39"/>
      <c r="R73" s="80" t="b">
        <f>IFERROR(__xludf.DUMMYFUNCTION("or(and(regexmatch(E73,""omission""),regexmatch(F73,""omission"")),and(regexmatch(E73,""hallucination""),regexmatch(F73,""hallucination"")))"),FALSE)</f>
        <v>0</v>
      </c>
      <c r="S73" s="60"/>
    </row>
    <row r="74">
      <c r="A74" s="39">
        <v>81.0</v>
      </c>
      <c r="B74" s="39" t="s">
        <v>240</v>
      </c>
      <c r="C74" s="39" t="s">
        <v>737</v>
      </c>
      <c r="D74" s="60" t="s">
        <v>242</v>
      </c>
      <c r="E74" s="110" t="s">
        <v>20</v>
      </c>
      <c r="F74" s="91" t="s">
        <v>21</v>
      </c>
      <c r="G74" s="39"/>
      <c r="H74" s="60" t="s">
        <v>22</v>
      </c>
      <c r="I74" s="92"/>
      <c r="J74" s="39"/>
      <c r="K74" s="39"/>
      <c r="L74" s="60" t="s">
        <v>22</v>
      </c>
      <c r="M74" s="39"/>
      <c r="N74" s="39"/>
      <c r="O74" s="39"/>
      <c r="P74" s="91" t="s">
        <v>900</v>
      </c>
      <c r="Q74" s="39"/>
      <c r="R74" s="80" t="b">
        <f>IFERROR(__xludf.DUMMYFUNCTION("or(and(regexmatch(E74,""omission""),regexmatch(F74,""omission"")),and(regexmatch(E74,""hallucination""),regexmatch(F74,""hallucination"")))"),FALSE)</f>
        <v>0</v>
      </c>
      <c r="S74" s="60"/>
    </row>
    <row r="75">
      <c r="A75" s="39">
        <v>82.0</v>
      </c>
      <c r="B75" s="39" t="s">
        <v>244</v>
      </c>
      <c r="C75" s="39" t="s">
        <v>738</v>
      </c>
      <c r="D75" s="60" t="s">
        <v>246</v>
      </c>
      <c r="E75" s="110" t="s">
        <v>20</v>
      </c>
      <c r="F75" s="91" t="s">
        <v>21</v>
      </c>
      <c r="G75" s="39"/>
      <c r="H75" s="60" t="s">
        <v>22</v>
      </c>
      <c r="I75" s="92"/>
      <c r="J75" s="39"/>
      <c r="K75" s="39"/>
      <c r="L75" s="39"/>
      <c r="M75" s="39"/>
      <c r="N75" s="60" t="s">
        <v>22</v>
      </c>
      <c r="O75" s="39"/>
      <c r="P75" s="91" t="s">
        <v>863</v>
      </c>
      <c r="Q75" s="39"/>
      <c r="R75" s="80" t="b">
        <f>IFERROR(__xludf.DUMMYFUNCTION("or(and(regexmatch(E75,""omission""),regexmatch(F75,""omission"")),and(regexmatch(E75,""hallucination""),regexmatch(F75,""hallucination"")))"),FALSE)</f>
        <v>0</v>
      </c>
      <c r="S75" s="60"/>
    </row>
    <row r="76">
      <c r="A76" s="39">
        <v>83.0</v>
      </c>
      <c r="B76" s="39" t="s">
        <v>248</v>
      </c>
      <c r="C76" s="39" t="s">
        <v>739</v>
      </c>
      <c r="D76" s="60" t="s">
        <v>250</v>
      </c>
      <c r="E76" s="110" t="s">
        <v>20</v>
      </c>
      <c r="F76" s="111" t="s">
        <v>21</v>
      </c>
      <c r="G76" s="39"/>
      <c r="H76" s="39"/>
      <c r="I76" s="92" t="s">
        <v>22</v>
      </c>
      <c r="J76" s="39"/>
      <c r="K76" s="60" t="s">
        <v>22</v>
      </c>
      <c r="L76" s="39"/>
      <c r="M76" s="60" t="s">
        <v>22</v>
      </c>
      <c r="N76" s="39"/>
      <c r="O76" s="39"/>
      <c r="P76" s="91" t="s">
        <v>901</v>
      </c>
      <c r="Q76" s="39"/>
      <c r="R76" s="80" t="b">
        <f>IFERROR(__xludf.DUMMYFUNCTION("or(and(regexmatch(E76,""omission""),regexmatch(F76,""omission"")),and(regexmatch(E76,""hallucination""),regexmatch(F76,""hallucination"")))"),FALSE)</f>
        <v>0</v>
      </c>
      <c r="S76" s="60"/>
    </row>
    <row r="77">
      <c r="A77" s="39">
        <v>86.0</v>
      </c>
      <c r="B77" s="39" t="s">
        <v>252</v>
      </c>
      <c r="C77" s="39" t="s">
        <v>740</v>
      </c>
      <c r="D77" s="60" t="s">
        <v>254</v>
      </c>
      <c r="E77" s="110" t="s">
        <v>20</v>
      </c>
      <c r="F77" s="111" t="s">
        <v>21</v>
      </c>
      <c r="G77" s="39"/>
      <c r="H77" s="39"/>
      <c r="I77" s="92" t="s">
        <v>22</v>
      </c>
      <c r="J77" s="39"/>
      <c r="K77" s="60" t="s">
        <v>22</v>
      </c>
      <c r="L77" s="39"/>
      <c r="M77" s="60" t="s">
        <v>22</v>
      </c>
      <c r="N77" s="39"/>
      <c r="O77" s="39"/>
      <c r="P77" s="91" t="s">
        <v>902</v>
      </c>
      <c r="Q77" s="39"/>
      <c r="R77" s="80" t="b">
        <f>IFERROR(__xludf.DUMMYFUNCTION("or(and(regexmatch(E77,""omission""),regexmatch(F77,""omission"")),and(regexmatch(E77,""hallucination""),regexmatch(F77,""hallucination"")))"),FALSE)</f>
        <v>0</v>
      </c>
      <c r="S77" s="60"/>
    </row>
    <row r="78">
      <c r="A78" s="39">
        <v>89.0</v>
      </c>
      <c r="B78" s="39" t="s">
        <v>256</v>
      </c>
      <c r="C78" s="39" t="s">
        <v>688</v>
      </c>
      <c r="D78" s="60" t="s">
        <v>220</v>
      </c>
      <c r="E78" s="110" t="s">
        <v>31</v>
      </c>
      <c r="F78" s="91" t="s">
        <v>21</v>
      </c>
      <c r="G78" s="39"/>
      <c r="H78" s="60" t="s">
        <v>22</v>
      </c>
      <c r="I78" s="92"/>
      <c r="J78" s="39"/>
      <c r="K78" s="39"/>
      <c r="L78" s="39"/>
      <c r="M78" s="39"/>
      <c r="N78" s="39"/>
      <c r="O78" s="60" t="s">
        <v>22</v>
      </c>
      <c r="P78" s="91" t="s">
        <v>865</v>
      </c>
      <c r="Q78" s="39"/>
      <c r="R78" s="80" t="b">
        <f>IFERROR(__xludf.DUMMYFUNCTION("or(and(regexmatch(E78,""omission""),regexmatch(F78,""omission"")),and(regexmatch(E78,""hallucination""),regexmatch(F78,""hallucination"")))"),FALSE)</f>
        <v>0</v>
      </c>
      <c r="S78" s="60"/>
    </row>
    <row r="79">
      <c r="A79" s="39">
        <v>90.0</v>
      </c>
      <c r="B79" s="39" t="s">
        <v>257</v>
      </c>
      <c r="C79" s="39" t="s">
        <v>741</v>
      </c>
      <c r="D79" s="60" t="s">
        <v>259</v>
      </c>
      <c r="E79" s="110" t="s">
        <v>20</v>
      </c>
      <c r="F79" s="91" t="s">
        <v>26</v>
      </c>
      <c r="G79" s="39"/>
      <c r="H79" s="60" t="s">
        <v>22</v>
      </c>
      <c r="I79" s="92"/>
      <c r="J79" s="39"/>
      <c r="K79" s="39"/>
      <c r="L79" s="39"/>
      <c r="M79" s="60" t="s">
        <v>22</v>
      </c>
      <c r="N79" s="39"/>
      <c r="O79" s="39"/>
      <c r="P79" s="91" t="s">
        <v>903</v>
      </c>
      <c r="Q79" s="39"/>
      <c r="R79" s="80" t="b">
        <f>IFERROR(__xludf.DUMMYFUNCTION("or(and(regexmatch(E79,""omission""),regexmatch(F79,""omission"")),and(regexmatch(E79,""hallucination""),regexmatch(F79,""hallucination"")))"),TRUE)</f>
        <v>1</v>
      </c>
      <c r="S79" s="60"/>
    </row>
    <row r="80">
      <c r="A80" s="39">
        <v>91.0</v>
      </c>
      <c r="B80" s="39" t="s">
        <v>261</v>
      </c>
      <c r="C80" s="39" t="s">
        <v>742</v>
      </c>
      <c r="D80" s="60" t="s">
        <v>250</v>
      </c>
      <c r="E80" s="110" t="s">
        <v>20</v>
      </c>
      <c r="F80" s="91" t="s">
        <v>21</v>
      </c>
      <c r="G80" s="39"/>
      <c r="H80" s="60" t="s">
        <v>22</v>
      </c>
      <c r="I80" s="92"/>
      <c r="J80" s="39"/>
      <c r="K80" s="39"/>
      <c r="L80" s="39"/>
      <c r="M80" s="39"/>
      <c r="N80" s="60" t="s">
        <v>22</v>
      </c>
      <c r="O80" s="39"/>
      <c r="P80" s="91" t="s">
        <v>863</v>
      </c>
      <c r="Q80" s="39"/>
      <c r="R80" s="80" t="b">
        <f>IFERROR(__xludf.DUMMYFUNCTION("or(and(regexmatch(E80,""omission""),regexmatch(F80,""omission"")),and(regexmatch(E80,""hallucination""),regexmatch(F80,""hallucination"")))"),FALSE)</f>
        <v>0</v>
      </c>
      <c r="S80" s="60"/>
    </row>
    <row r="81">
      <c r="A81" s="39">
        <v>92.0</v>
      </c>
      <c r="B81" s="39" t="s">
        <v>264</v>
      </c>
      <c r="C81" s="39" t="s">
        <v>743</v>
      </c>
      <c r="D81" s="60" t="s">
        <v>266</v>
      </c>
      <c r="E81" s="110" t="s">
        <v>20</v>
      </c>
      <c r="F81" s="111" t="s">
        <v>31</v>
      </c>
      <c r="G81" s="39"/>
      <c r="H81" s="39"/>
      <c r="I81" s="92" t="s">
        <v>22</v>
      </c>
      <c r="J81" s="39"/>
      <c r="K81" s="60" t="s">
        <v>22</v>
      </c>
      <c r="L81" s="39"/>
      <c r="M81" s="60" t="s">
        <v>22</v>
      </c>
      <c r="N81" s="39"/>
      <c r="O81" s="39"/>
      <c r="P81" s="91" t="s">
        <v>904</v>
      </c>
      <c r="Q81" s="39"/>
      <c r="R81" s="80" t="b">
        <f>IFERROR(__xludf.DUMMYFUNCTION("or(and(regexmatch(E81,""omission""),regexmatch(F81,""omission"")),and(regexmatch(E81,""hallucination""),regexmatch(F81,""hallucination"")))"),FALSE)</f>
        <v>0</v>
      </c>
      <c r="S81" s="60"/>
    </row>
    <row r="82">
      <c r="A82" s="39">
        <v>94.0</v>
      </c>
      <c r="B82" s="39" t="s">
        <v>268</v>
      </c>
      <c r="C82" s="39" t="s">
        <v>744</v>
      </c>
      <c r="D82" s="60" t="s">
        <v>270</v>
      </c>
      <c r="E82" s="110" t="s">
        <v>20</v>
      </c>
      <c r="F82" s="111" t="s">
        <v>21</v>
      </c>
      <c r="G82" s="39"/>
      <c r="H82" s="39"/>
      <c r="I82" s="92" t="s">
        <v>22</v>
      </c>
      <c r="J82" s="39"/>
      <c r="K82" s="60" t="s">
        <v>22</v>
      </c>
      <c r="L82" s="39"/>
      <c r="M82" s="60" t="s">
        <v>22</v>
      </c>
      <c r="N82" s="39"/>
      <c r="O82" s="39"/>
      <c r="P82" s="91" t="s">
        <v>901</v>
      </c>
      <c r="Q82" s="39"/>
      <c r="R82" s="80" t="b">
        <f>IFERROR(__xludf.DUMMYFUNCTION("or(and(regexmatch(E82,""omission""),regexmatch(F82,""omission"")),and(regexmatch(E82,""hallucination""),regexmatch(F82,""hallucination"")))"),FALSE)</f>
        <v>0</v>
      </c>
      <c r="S82" s="60"/>
    </row>
    <row r="83">
      <c r="A83" s="39">
        <v>95.0</v>
      </c>
      <c r="B83" s="39" t="s">
        <v>271</v>
      </c>
      <c r="C83" s="39" t="s">
        <v>726</v>
      </c>
      <c r="D83" s="60" t="s">
        <v>272</v>
      </c>
      <c r="E83" s="110" t="s">
        <v>31</v>
      </c>
      <c r="F83" s="91" t="s">
        <v>21</v>
      </c>
      <c r="G83" s="39"/>
      <c r="H83" s="60" t="s">
        <v>22</v>
      </c>
      <c r="I83" s="92"/>
      <c r="J83" s="39"/>
      <c r="K83" s="39"/>
      <c r="L83" s="39"/>
      <c r="M83" s="39"/>
      <c r="N83" s="39"/>
      <c r="O83" s="60" t="s">
        <v>22</v>
      </c>
      <c r="P83" s="91" t="s">
        <v>865</v>
      </c>
      <c r="Q83" s="39"/>
      <c r="R83" s="80" t="b">
        <f>IFERROR(__xludf.DUMMYFUNCTION("or(and(regexmatch(E83,""omission""),regexmatch(F83,""omission"")),and(regexmatch(E83,""hallucination""),regexmatch(F83,""hallucination"")))"),FALSE)</f>
        <v>0</v>
      </c>
      <c r="S83" s="60"/>
    </row>
    <row r="84">
      <c r="A84" s="39">
        <v>96.0</v>
      </c>
      <c r="B84" s="112" t="s">
        <v>273</v>
      </c>
      <c r="C84" s="39" t="s">
        <v>745</v>
      </c>
      <c r="D84" s="60" t="s">
        <v>275</v>
      </c>
      <c r="E84" s="79" t="s">
        <v>21</v>
      </c>
      <c r="F84" s="111" t="s">
        <v>20</v>
      </c>
      <c r="G84" s="60" t="s">
        <v>22</v>
      </c>
      <c r="H84" s="39"/>
      <c r="I84" s="92"/>
      <c r="J84" s="39"/>
      <c r="K84" s="60" t="s">
        <v>22</v>
      </c>
      <c r="L84" s="39"/>
      <c r="M84" s="39"/>
      <c r="N84" s="60" t="s">
        <v>22</v>
      </c>
      <c r="O84" s="39"/>
      <c r="P84" s="91" t="s">
        <v>905</v>
      </c>
      <c r="Q84" s="39"/>
      <c r="R84" s="80" t="b">
        <f>IFERROR(__xludf.DUMMYFUNCTION("or(and(regexmatch(E84,""omission""),regexmatch(F84,""omission"")),and(regexmatch(E84,""hallucination""),regexmatch(F84,""hallucination"")))"),FALSE)</f>
        <v>0</v>
      </c>
      <c r="S84" s="60"/>
    </row>
    <row r="85">
      <c r="A85" s="39">
        <v>98.0</v>
      </c>
      <c r="B85" s="39" t="s">
        <v>277</v>
      </c>
      <c r="C85" s="39" t="s">
        <v>746</v>
      </c>
      <c r="D85" s="60" t="s">
        <v>279</v>
      </c>
      <c r="E85" s="79" t="s">
        <v>21</v>
      </c>
      <c r="F85" s="111" t="s">
        <v>20</v>
      </c>
      <c r="G85" s="60" t="s">
        <v>22</v>
      </c>
      <c r="H85" s="39"/>
      <c r="I85" s="92"/>
      <c r="J85" s="39"/>
      <c r="K85" s="60" t="s">
        <v>22</v>
      </c>
      <c r="L85" s="39"/>
      <c r="M85" s="39"/>
      <c r="N85" s="60" t="s">
        <v>22</v>
      </c>
      <c r="O85" s="39"/>
      <c r="P85" s="91" t="s">
        <v>892</v>
      </c>
      <c r="Q85" s="39"/>
      <c r="R85" s="80" t="b">
        <f>IFERROR(__xludf.DUMMYFUNCTION("or(and(regexmatch(E85,""omission""),regexmatch(F85,""omission"")),and(regexmatch(E85,""hallucination""),regexmatch(F85,""hallucination"")))"),FALSE)</f>
        <v>0</v>
      </c>
      <c r="S85" s="60"/>
    </row>
    <row r="86">
      <c r="A86" s="39">
        <v>99.0</v>
      </c>
      <c r="B86" s="39" t="s">
        <v>281</v>
      </c>
      <c r="C86" s="39" t="s">
        <v>747</v>
      </c>
      <c r="D86" s="60" t="s">
        <v>57</v>
      </c>
      <c r="E86" s="110" t="s">
        <v>31</v>
      </c>
      <c r="F86" s="91" t="s">
        <v>21</v>
      </c>
      <c r="G86" s="39"/>
      <c r="H86" s="60" t="s">
        <v>22</v>
      </c>
      <c r="I86" s="92"/>
      <c r="J86" s="39"/>
      <c r="K86" s="39"/>
      <c r="L86" s="39"/>
      <c r="M86" s="39"/>
      <c r="N86" s="39"/>
      <c r="O86" s="60" t="s">
        <v>22</v>
      </c>
      <c r="P86" s="91" t="s">
        <v>865</v>
      </c>
      <c r="Q86" s="39"/>
      <c r="R86" s="80" t="b">
        <f>IFERROR(__xludf.DUMMYFUNCTION("or(and(regexmatch(E86,""omission""),regexmatch(F86,""omission"")),and(regexmatch(E86,""hallucination""),regexmatch(F86,""hallucination"")))"),FALSE)</f>
        <v>0</v>
      </c>
      <c r="S86" s="60"/>
    </row>
    <row r="87">
      <c r="A87" s="113">
        <v>100.0</v>
      </c>
      <c r="B87" s="39" t="s">
        <v>283</v>
      </c>
      <c r="C87" s="39" t="s">
        <v>748</v>
      </c>
      <c r="D87" s="60" t="s">
        <v>285</v>
      </c>
      <c r="E87" s="79" t="s">
        <v>21</v>
      </c>
      <c r="F87" s="111" t="s">
        <v>20</v>
      </c>
      <c r="G87" s="60" t="s">
        <v>22</v>
      </c>
      <c r="H87" s="39"/>
      <c r="I87" s="92"/>
      <c r="J87" s="39"/>
      <c r="K87" s="60" t="s">
        <v>22</v>
      </c>
      <c r="L87" s="39"/>
      <c r="M87" s="39"/>
      <c r="N87" s="60" t="s">
        <v>22</v>
      </c>
      <c r="O87" s="39"/>
      <c r="P87" s="91" t="s">
        <v>879</v>
      </c>
      <c r="Q87" s="39"/>
      <c r="R87" s="80" t="b">
        <f>IFERROR(__xludf.DUMMYFUNCTION("or(and(regexmatch(E87,""omission""),regexmatch(F87,""omission"")),and(regexmatch(E87,""hallucination""),regexmatch(F87,""hallucination"")))"),FALSE)</f>
        <v>0</v>
      </c>
      <c r="S87" s="60"/>
    </row>
    <row r="88">
      <c r="A88" s="39">
        <v>101.0</v>
      </c>
      <c r="B88" s="39" t="s">
        <v>286</v>
      </c>
      <c r="C88" s="39" t="s">
        <v>749</v>
      </c>
      <c r="D88" s="39" t="s">
        <v>38</v>
      </c>
      <c r="E88" s="110" t="s">
        <v>31</v>
      </c>
      <c r="F88" s="91" t="s">
        <v>21</v>
      </c>
      <c r="G88" s="39"/>
      <c r="H88" s="60" t="s">
        <v>22</v>
      </c>
      <c r="I88" s="92"/>
      <c r="J88" s="39"/>
      <c r="K88" s="39"/>
      <c r="L88" s="39"/>
      <c r="M88" s="39"/>
      <c r="N88" s="39"/>
      <c r="O88" s="60" t="s">
        <v>22</v>
      </c>
      <c r="P88" s="91" t="s">
        <v>865</v>
      </c>
      <c r="Q88" s="39"/>
      <c r="R88" s="80" t="b">
        <f>IFERROR(__xludf.DUMMYFUNCTION("or(and(regexmatch(E88,""omission""),regexmatch(F88,""omission"")),and(regexmatch(E88,""hallucination""),regexmatch(F88,""hallucination"")))"),FALSE)</f>
        <v>0</v>
      </c>
      <c r="S88" s="60"/>
    </row>
    <row r="89">
      <c r="A89" s="39">
        <v>102.0</v>
      </c>
      <c r="B89" s="39" t="s">
        <v>288</v>
      </c>
      <c r="C89" s="39" t="s">
        <v>750</v>
      </c>
      <c r="D89" s="39" t="s">
        <v>290</v>
      </c>
      <c r="E89" s="110" t="s">
        <v>20</v>
      </c>
      <c r="F89" s="111" t="s">
        <v>21</v>
      </c>
      <c r="G89" s="39"/>
      <c r="H89" s="39"/>
      <c r="I89" s="92" t="s">
        <v>22</v>
      </c>
      <c r="J89" s="39"/>
      <c r="K89" s="60" t="s">
        <v>22</v>
      </c>
      <c r="L89" s="39"/>
      <c r="M89" s="60" t="s">
        <v>22</v>
      </c>
      <c r="N89" s="39"/>
      <c r="O89" s="39"/>
      <c r="P89" s="91" t="s">
        <v>906</v>
      </c>
      <c r="Q89" s="39"/>
      <c r="R89" s="80" t="b">
        <f>IFERROR(__xludf.DUMMYFUNCTION("or(and(regexmatch(E89,""omission""),regexmatch(F89,""omission"")),and(regexmatch(E89,""hallucination""),regexmatch(F89,""hallucination"")))"),FALSE)</f>
        <v>0</v>
      </c>
      <c r="S89" s="60"/>
    </row>
    <row r="90">
      <c r="A90" s="39">
        <v>103.0</v>
      </c>
      <c r="B90" s="39" t="s">
        <v>292</v>
      </c>
      <c r="C90" s="39" t="s">
        <v>752</v>
      </c>
      <c r="D90" s="39" t="s">
        <v>294</v>
      </c>
      <c r="E90" s="110" t="s">
        <v>21</v>
      </c>
      <c r="F90" s="91" t="s">
        <v>31</v>
      </c>
      <c r="G90" s="39"/>
      <c r="H90" s="60" t="s">
        <v>22</v>
      </c>
      <c r="I90" s="92"/>
      <c r="J90" s="39"/>
      <c r="K90" s="39"/>
      <c r="L90" s="39"/>
      <c r="M90" s="60" t="s">
        <v>22</v>
      </c>
      <c r="N90" s="39"/>
      <c r="O90" s="39"/>
      <c r="P90" s="91" t="s">
        <v>907</v>
      </c>
      <c r="Q90" s="39"/>
      <c r="R90" s="80" t="b">
        <f>IFERROR(__xludf.DUMMYFUNCTION("or(and(regexmatch(E90,""omission""),regexmatch(F90,""omission"")),and(regexmatch(E90,""hallucination""),regexmatch(F90,""hallucination"")))"),FALSE)</f>
        <v>0</v>
      </c>
      <c r="S90" s="60"/>
    </row>
    <row r="91">
      <c r="A91" s="39">
        <v>104.0</v>
      </c>
      <c r="B91" s="39" t="s">
        <v>296</v>
      </c>
      <c r="C91" s="39" t="s">
        <v>753</v>
      </c>
      <c r="D91" s="39" t="s">
        <v>298</v>
      </c>
      <c r="E91" s="110" t="s">
        <v>20</v>
      </c>
      <c r="F91" s="111" t="s">
        <v>21</v>
      </c>
      <c r="G91" s="39"/>
      <c r="H91" s="39"/>
      <c r="I91" s="92" t="s">
        <v>22</v>
      </c>
      <c r="J91" s="39"/>
      <c r="K91" s="39"/>
      <c r="L91" s="39"/>
      <c r="M91" s="60" t="s">
        <v>22</v>
      </c>
      <c r="N91" s="39"/>
      <c r="O91" s="39"/>
      <c r="P91" s="91" t="s">
        <v>908</v>
      </c>
      <c r="Q91" s="39"/>
      <c r="R91" s="80" t="b">
        <f>IFERROR(__xludf.DUMMYFUNCTION("or(and(regexmatch(E91,""omission""),regexmatch(F91,""omission"")),and(regexmatch(E91,""hallucination""),regexmatch(F91,""hallucination"")))"),FALSE)</f>
        <v>0</v>
      </c>
      <c r="S91" s="60"/>
    </row>
    <row r="92">
      <c r="A92" s="39">
        <v>105.0</v>
      </c>
      <c r="B92" s="39" t="s">
        <v>300</v>
      </c>
      <c r="C92" s="39" t="s">
        <v>754</v>
      </c>
      <c r="D92" s="39" t="s">
        <v>302</v>
      </c>
      <c r="E92" s="110" t="s">
        <v>20</v>
      </c>
      <c r="F92" s="91" t="s">
        <v>21</v>
      </c>
      <c r="G92" s="39"/>
      <c r="H92" s="60" t="s">
        <v>22</v>
      </c>
      <c r="I92" s="92"/>
      <c r="J92" s="39"/>
      <c r="K92" s="39"/>
      <c r="L92" s="39"/>
      <c r="M92" s="39"/>
      <c r="N92" s="60" t="s">
        <v>22</v>
      </c>
      <c r="O92" s="39"/>
      <c r="P92" s="91" t="s">
        <v>863</v>
      </c>
      <c r="Q92" s="39"/>
      <c r="R92" s="80" t="b">
        <f>IFERROR(__xludf.DUMMYFUNCTION("or(and(regexmatch(E92,""omission""),regexmatch(F92,""omission"")),and(regexmatch(E92,""hallucination""),regexmatch(F92,""hallucination"")))"),FALSE)</f>
        <v>0</v>
      </c>
      <c r="S92" s="60"/>
    </row>
    <row r="93">
      <c r="A93" s="39">
        <v>106.0</v>
      </c>
      <c r="B93" s="39" t="s">
        <v>304</v>
      </c>
      <c r="C93" s="39" t="s">
        <v>755</v>
      </c>
      <c r="D93" s="39" t="s">
        <v>25</v>
      </c>
      <c r="E93" s="79" t="s">
        <v>26</v>
      </c>
      <c r="F93" s="111" t="s">
        <v>20</v>
      </c>
      <c r="G93" s="60" t="s">
        <v>22</v>
      </c>
      <c r="H93" s="39"/>
      <c r="I93" s="92"/>
      <c r="J93" s="39"/>
      <c r="K93" s="39"/>
      <c r="L93" s="39"/>
      <c r="M93" s="60" t="s">
        <v>22</v>
      </c>
      <c r="N93" s="39"/>
      <c r="O93" s="39"/>
      <c r="P93" s="91" t="s">
        <v>909</v>
      </c>
      <c r="Q93" s="39"/>
      <c r="R93" s="80" t="b">
        <f>IFERROR(__xludf.DUMMYFUNCTION("or(and(regexmatch(E93,""omission""),regexmatch(F93,""omission"")),and(regexmatch(E93,""hallucination""),regexmatch(F93,""hallucination"")))"),TRUE)</f>
        <v>1</v>
      </c>
      <c r="S93" s="60"/>
    </row>
    <row r="94">
      <c r="A94" s="39">
        <v>107.0</v>
      </c>
      <c r="B94" s="39" t="s">
        <v>307</v>
      </c>
      <c r="C94" s="39" t="s">
        <v>756</v>
      </c>
      <c r="D94" s="39" t="s">
        <v>309</v>
      </c>
      <c r="E94" s="110" t="s">
        <v>20</v>
      </c>
      <c r="F94" s="91" t="s">
        <v>21</v>
      </c>
      <c r="G94" s="39"/>
      <c r="H94" s="60" t="s">
        <v>22</v>
      </c>
      <c r="I94" s="92"/>
      <c r="J94" s="39"/>
      <c r="K94" s="60" t="s">
        <v>22</v>
      </c>
      <c r="L94" s="39"/>
      <c r="M94" s="60" t="s">
        <v>22</v>
      </c>
      <c r="N94" s="60" t="s">
        <v>22</v>
      </c>
      <c r="O94" s="39"/>
      <c r="P94" s="91" t="s">
        <v>910</v>
      </c>
      <c r="Q94" s="39"/>
      <c r="R94" s="80" t="b">
        <f>IFERROR(__xludf.DUMMYFUNCTION("or(and(regexmatch(E94,""omission""),regexmatch(F94,""omission"")),and(regexmatch(E94,""hallucination""),regexmatch(F94,""hallucination"")))"),FALSE)</f>
        <v>0</v>
      </c>
      <c r="S94" s="60"/>
    </row>
    <row r="95">
      <c r="A95" s="39">
        <v>110.0</v>
      </c>
      <c r="B95" s="39" t="s">
        <v>310</v>
      </c>
      <c r="C95" s="39" t="s">
        <v>757</v>
      </c>
      <c r="D95" s="39" t="s">
        <v>312</v>
      </c>
      <c r="E95" s="79" t="s">
        <v>21</v>
      </c>
      <c r="F95" s="111" t="s">
        <v>20</v>
      </c>
      <c r="G95" s="60" t="s">
        <v>22</v>
      </c>
      <c r="H95" s="39"/>
      <c r="I95" s="92"/>
      <c r="J95" s="39"/>
      <c r="K95" s="60" t="s">
        <v>22</v>
      </c>
      <c r="L95" s="39"/>
      <c r="M95" s="39"/>
      <c r="N95" s="60" t="s">
        <v>22</v>
      </c>
      <c r="O95" s="39"/>
      <c r="P95" s="91" t="s">
        <v>894</v>
      </c>
      <c r="Q95" s="39"/>
      <c r="R95" s="80" t="b">
        <f>IFERROR(__xludf.DUMMYFUNCTION("or(and(regexmatch(E95,""omission""),regexmatch(F95,""omission"")),and(regexmatch(E95,""hallucination""),regexmatch(F95,""hallucination"")))"),FALSE)</f>
        <v>0</v>
      </c>
      <c r="S95" s="60"/>
    </row>
    <row r="96">
      <c r="A96" s="39">
        <v>111.0</v>
      </c>
      <c r="B96" s="112" t="s">
        <v>314</v>
      </c>
      <c r="C96" s="39" t="s">
        <v>758</v>
      </c>
      <c r="D96" s="39" t="s">
        <v>316</v>
      </c>
      <c r="E96" s="79" t="s">
        <v>20</v>
      </c>
      <c r="F96" s="111" t="s">
        <v>21</v>
      </c>
      <c r="G96" s="60" t="s">
        <v>22</v>
      </c>
      <c r="H96" s="39"/>
      <c r="I96" s="92"/>
      <c r="J96" s="60" t="s">
        <v>22</v>
      </c>
      <c r="K96" s="39"/>
      <c r="L96" s="39"/>
      <c r="M96" s="39"/>
      <c r="N96" s="39"/>
      <c r="O96" s="39"/>
      <c r="P96" s="91" t="s">
        <v>911</v>
      </c>
      <c r="Q96" s="39"/>
      <c r="R96" s="80" t="b">
        <f>IFERROR(__xludf.DUMMYFUNCTION("or(and(regexmatch(E96,""omission""),regexmatch(F96,""omission"")),and(regexmatch(E96,""hallucination""),regexmatch(F96,""hallucination"")))"),FALSE)</f>
        <v>0</v>
      </c>
      <c r="S96" s="60"/>
    </row>
    <row r="97">
      <c r="A97" s="39">
        <v>112.0</v>
      </c>
      <c r="B97" s="112" t="s">
        <v>317</v>
      </c>
      <c r="C97" s="39" t="s">
        <v>756</v>
      </c>
      <c r="D97" s="39" t="s">
        <v>216</v>
      </c>
      <c r="E97" s="79" t="s">
        <v>26</v>
      </c>
      <c r="F97" s="111" t="s">
        <v>20</v>
      </c>
      <c r="G97" s="60" t="s">
        <v>22</v>
      </c>
      <c r="H97" s="39"/>
      <c r="I97" s="92"/>
      <c r="J97" s="39"/>
      <c r="K97" s="39"/>
      <c r="L97" s="39"/>
      <c r="M97" s="60" t="s">
        <v>22</v>
      </c>
      <c r="N97" s="39"/>
      <c r="O97" s="39"/>
      <c r="P97" s="91" t="s">
        <v>909</v>
      </c>
      <c r="Q97" s="39"/>
      <c r="R97" s="80" t="b">
        <f>IFERROR(__xludf.DUMMYFUNCTION("or(and(regexmatch(E97,""omission""),regexmatch(F97,""omission"")),and(regexmatch(E97,""hallucination""),regexmatch(F97,""hallucination"")))"),TRUE)</f>
        <v>1</v>
      </c>
      <c r="S97" s="60"/>
    </row>
    <row r="98">
      <c r="A98" s="39">
        <v>113.0</v>
      </c>
      <c r="B98" s="39" t="s">
        <v>318</v>
      </c>
      <c r="C98" s="39" t="s">
        <v>759</v>
      </c>
      <c r="D98" s="39" t="s">
        <v>95</v>
      </c>
      <c r="E98" s="79" t="s">
        <v>21</v>
      </c>
      <c r="F98" s="111" t="s">
        <v>20</v>
      </c>
      <c r="G98" s="60" t="s">
        <v>22</v>
      </c>
      <c r="H98" s="39"/>
      <c r="I98" s="92"/>
      <c r="J98" s="39"/>
      <c r="K98" s="60" t="s">
        <v>22</v>
      </c>
      <c r="L98" s="39"/>
      <c r="M98" s="39"/>
      <c r="N98" s="60" t="s">
        <v>22</v>
      </c>
      <c r="O98" s="39"/>
      <c r="P98" s="91" t="s">
        <v>912</v>
      </c>
      <c r="Q98" s="39"/>
      <c r="R98" s="80" t="b">
        <f>IFERROR(__xludf.DUMMYFUNCTION("or(and(regexmatch(E98,""omission""),regexmatch(F98,""omission"")),and(regexmatch(E98,""hallucination""),regexmatch(F98,""hallucination"")))"),FALSE)</f>
        <v>0</v>
      </c>
      <c r="S98" s="60"/>
    </row>
    <row r="99">
      <c r="A99" s="39">
        <v>114.0</v>
      </c>
      <c r="B99" s="39" t="s">
        <v>321</v>
      </c>
      <c r="C99" s="39" t="s">
        <v>760</v>
      </c>
      <c r="D99" s="39" t="s">
        <v>323</v>
      </c>
      <c r="E99" s="79" t="s">
        <v>26</v>
      </c>
      <c r="F99" s="111" t="s">
        <v>20</v>
      </c>
      <c r="G99" s="60" t="s">
        <v>22</v>
      </c>
      <c r="H99" s="39"/>
      <c r="I99" s="92"/>
      <c r="J99" s="39"/>
      <c r="K99" s="60" t="s">
        <v>22</v>
      </c>
      <c r="L99" s="39"/>
      <c r="M99" s="60" t="s">
        <v>22</v>
      </c>
      <c r="N99" s="39"/>
      <c r="O99" s="39"/>
      <c r="P99" s="91" t="s">
        <v>913</v>
      </c>
      <c r="Q99" s="39"/>
      <c r="R99" s="80" t="b">
        <f>IFERROR(__xludf.DUMMYFUNCTION("or(and(regexmatch(E99,""omission""),regexmatch(F99,""omission"")),and(regexmatch(E99,""hallucination""),regexmatch(F99,""hallucination"")))"),TRUE)</f>
        <v>1</v>
      </c>
      <c r="S99" s="60"/>
    </row>
    <row r="100">
      <c r="A100" s="93">
        <v>115.0</v>
      </c>
      <c r="B100" s="39" t="s">
        <v>325</v>
      </c>
      <c r="C100" s="39" t="s">
        <v>762</v>
      </c>
      <c r="D100" s="39" t="s">
        <v>327</v>
      </c>
      <c r="E100" s="110" t="s">
        <v>26</v>
      </c>
      <c r="F100" s="91" t="s">
        <v>21</v>
      </c>
      <c r="G100" s="39"/>
      <c r="H100" s="60" t="s">
        <v>22</v>
      </c>
      <c r="I100" s="92"/>
      <c r="J100" s="39"/>
      <c r="K100" s="39"/>
      <c r="L100" s="39"/>
      <c r="M100" s="39"/>
      <c r="N100" s="60" t="s">
        <v>22</v>
      </c>
      <c r="O100" s="60" t="s">
        <v>22</v>
      </c>
      <c r="P100" s="91" t="s">
        <v>914</v>
      </c>
      <c r="Q100" s="39"/>
      <c r="R100" s="80" t="b">
        <f>IFERROR(__xludf.DUMMYFUNCTION("or(and(regexmatch(E100,""omission""),regexmatch(F100,""omission"")),and(regexmatch(E100,""hallucination""),regexmatch(F100,""hallucination"")))"),FALSE)</f>
        <v>0</v>
      </c>
      <c r="S100" s="60"/>
    </row>
    <row r="101">
      <c r="A101" s="93">
        <v>116.0</v>
      </c>
      <c r="B101" s="39" t="s">
        <v>329</v>
      </c>
      <c r="C101" s="39" t="s">
        <v>763</v>
      </c>
      <c r="D101" s="39" t="s">
        <v>331</v>
      </c>
      <c r="E101" s="79" t="s">
        <v>26</v>
      </c>
      <c r="F101" s="111" t="s">
        <v>21</v>
      </c>
      <c r="G101" s="60" t="s">
        <v>22</v>
      </c>
      <c r="H101" s="39"/>
      <c r="I101" s="92"/>
      <c r="J101" s="39"/>
      <c r="K101" s="39"/>
      <c r="L101" s="60" t="s">
        <v>22</v>
      </c>
      <c r="M101" s="60" t="s">
        <v>22</v>
      </c>
      <c r="N101" s="39"/>
      <c r="O101" s="39"/>
      <c r="P101" s="91" t="s">
        <v>915</v>
      </c>
      <c r="Q101" s="39"/>
      <c r="R101" s="80" t="b">
        <f>IFERROR(__xludf.DUMMYFUNCTION("or(and(regexmatch(E101,""omission""),regexmatch(F101,""omission"")),and(regexmatch(E101,""hallucination""),regexmatch(F101,""hallucination"")))"),FALSE)</f>
        <v>0</v>
      </c>
      <c r="S101" s="60"/>
    </row>
    <row r="102">
      <c r="A102" s="93">
        <v>117.0</v>
      </c>
      <c r="B102" s="39" t="s">
        <v>333</v>
      </c>
      <c r="C102" s="39" t="s">
        <v>764</v>
      </c>
      <c r="D102" s="39" t="s">
        <v>110</v>
      </c>
      <c r="E102" s="79" t="s">
        <v>26</v>
      </c>
      <c r="F102" s="111" t="s">
        <v>20</v>
      </c>
      <c r="G102" s="60" t="s">
        <v>22</v>
      </c>
      <c r="H102" s="39"/>
      <c r="I102" s="92"/>
      <c r="J102" s="39"/>
      <c r="K102" s="60" t="s">
        <v>22</v>
      </c>
      <c r="L102" s="39"/>
      <c r="M102" s="60" t="s">
        <v>22</v>
      </c>
      <c r="N102" s="39"/>
      <c r="O102" s="39"/>
      <c r="P102" s="91" t="s">
        <v>916</v>
      </c>
      <c r="Q102" s="39"/>
      <c r="R102" s="80" t="b">
        <f>IFERROR(__xludf.DUMMYFUNCTION("or(and(regexmatch(E102,""omission""),regexmatch(F102,""omission"")),and(regexmatch(E102,""hallucination""),regexmatch(F102,""hallucination"")))"),TRUE)</f>
        <v>1</v>
      </c>
      <c r="S102" s="60"/>
    </row>
    <row r="103">
      <c r="A103" s="94">
        <v>118.0</v>
      </c>
      <c r="B103" s="85" t="s">
        <v>336</v>
      </c>
      <c r="C103" s="85" t="s">
        <v>765</v>
      </c>
      <c r="D103" s="68" t="s">
        <v>338</v>
      </c>
      <c r="E103" s="114" t="s">
        <v>26</v>
      </c>
      <c r="F103" s="115" t="s">
        <v>21</v>
      </c>
      <c r="G103" s="85"/>
      <c r="H103" s="68" t="s">
        <v>22</v>
      </c>
      <c r="I103" s="87"/>
      <c r="J103" s="68"/>
      <c r="K103" s="68"/>
      <c r="L103" s="68"/>
      <c r="M103" s="68"/>
      <c r="N103" s="68" t="s">
        <v>22</v>
      </c>
      <c r="O103" s="68" t="s">
        <v>22</v>
      </c>
      <c r="P103" s="115" t="s">
        <v>914</v>
      </c>
      <c r="Q103" s="85"/>
      <c r="R103" s="87" t="b">
        <f>IFERROR(__xludf.DUMMYFUNCTION("or(and(regexmatch(E103,""omission""),regexmatch(F103,""omission"")),and(regexmatch(E103,""hallucination""),regexmatch(F103,""hallucination"")))"),FALSE)</f>
        <v>0</v>
      </c>
      <c r="S103" s="60"/>
    </row>
    <row r="104">
      <c r="A104" s="39"/>
      <c r="B104" s="39"/>
      <c r="C104" s="39"/>
      <c r="D104" s="60" t="s">
        <v>917</v>
      </c>
      <c r="E104" s="113">
        <f t="shared" ref="E104:F104" si="1">countif(E4:E103,"=OK")</f>
        <v>33</v>
      </c>
      <c r="F104" s="116">
        <f t="shared" si="1"/>
        <v>54</v>
      </c>
      <c r="G104" s="39">
        <f t="shared" ref="G104:O104" si="2">countif(G4:G103,"=x")</f>
        <v>37</v>
      </c>
      <c r="H104" s="39">
        <f t="shared" si="2"/>
        <v>41</v>
      </c>
      <c r="I104" s="39">
        <f t="shared" si="2"/>
        <v>22</v>
      </c>
      <c r="J104" s="39">
        <f t="shared" si="2"/>
        <v>2</v>
      </c>
      <c r="K104" s="39">
        <f t="shared" si="2"/>
        <v>42</v>
      </c>
      <c r="L104" s="39">
        <f t="shared" si="2"/>
        <v>8</v>
      </c>
      <c r="M104" s="39">
        <f t="shared" si="2"/>
        <v>38</v>
      </c>
      <c r="N104" s="39">
        <f t="shared" si="2"/>
        <v>42</v>
      </c>
      <c r="O104" s="39">
        <f t="shared" si="2"/>
        <v>19</v>
      </c>
      <c r="P104" s="39"/>
      <c r="Q104" s="39"/>
      <c r="R104" s="39">
        <f>countif(R4:R103,"=TRUE")</f>
        <v>12</v>
      </c>
    </row>
    <row r="105">
      <c r="A105" s="39"/>
      <c r="B105" s="39"/>
      <c r="C105" s="39"/>
      <c r="D105" s="60" t="s">
        <v>31</v>
      </c>
      <c r="E105" s="113">
        <f t="shared" ref="E105:F105" si="3">countif(E4:E103,"=hallucination")</f>
        <v>17</v>
      </c>
      <c r="F105" s="116">
        <f t="shared" si="3"/>
        <v>7</v>
      </c>
      <c r="G105" s="39"/>
      <c r="H105" s="39"/>
      <c r="I105" s="39"/>
      <c r="J105" s="39"/>
      <c r="K105" s="39"/>
      <c r="L105" s="39"/>
      <c r="M105" s="39"/>
      <c r="N105" s="39"/>
      <c r="O105" s="39"/>
      <c r="P105" s="39"/>
      <c r="Q105" s="39"/>
      <c r="R105" s="39"/>
    </row>
    <row r="106">
      <c r="A106" s="39"/>
      <c r="B106" s="39"/>
      <c r="C106" s="39"/>
      <c r="D106" s="60" t="s">
        <v>918</v>
      </c>
      <c r="E106" s="113">
        <f t="shared" ref="E106:F106" si="4">countif(E4:E103,"=hallucination+omission")</f>
        <v>8</v>
      </c>
      <c r="F106" s="116">
        <f t="shared" si="4"/>
        <v>7</v>
      </c>
      <c r="G106" s="39"/>
      <c r="H106" s="39"/>
      <c r="I106" s="39"/>
      <c r="J106" s="39"/>
      <c r="K106" s="39"/>
      <c r="L106" s="39"/>
      <c r="M106" s="39"/>
      <c r="N106" s="39"/>
      <c r="O106" s="39"/>
      <c r="P106" s="39"/>
      <c r="Q106" s="39"/>
      <c r="R106" s="39"/>
    </row>
    <row r="107">
      <c r="A107" s="39"/>
      <c r="B107" s="39"/>
      <c r="C107" s="39"/>
      <c r="D107" s="60" t="s">
        <v>20</v>
      </c>
      <c r="E107" s="113">
        <f t="shared" ref="E107:F107" si="5">countif(E4:E103,"=omission")</f>
        <v>42</v>
      </c>
      <c r="F107" s="116">
        <f t="shared" si="5"/>
        <v>32</v>
      </c>
      <c r="G107" s="39"/>
      <c r="H107" s="39"/>
      <c r="I107" s="39"/>
      <c r="J107" s="39"/>
      <c r="K107" s="39"/>
      <c r="L107" s="39"/>
      <c r="M107" s="39"/>
      <c r="N107" s="39"/>
      <c r="O107" s="39"/>
      <c r="P107" s="39"/>
      <c r="Q107" s="39"/>
      <c r="R107" s="39"/>
    </row>
  </sheetData>
  <mergeCells count="3">
    <mergeCell ref="E2:F2"/>
    <mergeCell ref="G2:I2"/>
    <mergeCell ref="J2:O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sheetData>
    <row r="1">
      <c r="A1" s="39"/>
      <c r="B1" s="39"/>
      <c r="C1" s="39"/>
      <c r="D1" s="39"/>
      <c r="E1" s="79"/>
      <c r="F1" s="80"/>
      <c r="G1" s="39"/>
      <c r="H1" s="39"/>
      <c r="I1" s="80"/>
      <c r="J1" s="39"/>
      <c r="K1" s="39"/>
      <c r="L1" s="39"/>
      <c r="M1" s="39"/>
      <c r="N1" s="39"/>
      <c r="O1" s="39"/>
      <c r="P1" s="80"/>
      <c r="Q1" s="39"/>
      <c r="R1" s="80"/>
    </row>
    <row r="2">
      <c r="A2" s="39"/>
      <c r="B2" s="106" t="s">
        <v>0</v>
      </c>
      <c r="C2" s="106" t="s">
        <v>1</v>
      </c>
      <c r="D2" s="81" t="s">
        <v>2</v>
      </c>
      <c r="E2" s="82" t="s">
        <v>3</v>
      </c>
      <c r="F2" s="8"/>
      <c r="G2" s="83" t="s">
        <v>4</v>
      </c>
      <c r="I2" s="8"/>
      <c r="J2" s="83" t="s">
        <v>5</v>
      </c>
      <c r="P2" s="80"/>
      <c r="Q2" s="39"/>
      <c r="R2" s="80"/>
    </row>
    <row r="3">
      <c r="A3" s="84" t="s">
        <v>6</v>
      </c>
      <c r="B3" s="85"/>
      <c r="C3" s="85"/>
      <c r="D3" s="85"/>
      <c r="E3" s="107" t="s">
        <v>7</v>
      </c>
      <c r="F3" s="87" t="s">
        <v>8</v>
      </c>
      <c r="G3" s="108" t="s">
        <v>7</v>
      </c>
      <c r="H3" s="108" t="s">
        <v>8</v>
      </c>
      <c r="I3" s="87" t="s">
        <v>9</v>
      </c>
      <c r="J3" s="108" t="s">
        <v>10</v>
      </c>
      <c r="K3" s="108" t="s">
        <v>11</v>
      </c>
      <c r="L3" s="108" t="s">
        <v>12</v>
      </c>
      <c r="M3" s="108" t="s">
        <v>13</v>
      </c>
      <c r="N3" s="108" t="s">
        <v>14</v>
      </c>
      <c r="O3" s="108" t="s">
        <v>15</v>
      </c>
      <c r="P3" s="87" t="s">
        <v>16</v>
      </c>
      <c r="Q3" s="108"/>
      <c r="R3" s="109" t="s">
        <v>862</v>
      </c>
      <c r="S3" s="98" t="s">
        <v>766</v>
      </c>
    </row>
    <row r="4">
      <c r="A4" s="39">
        <v>38.0</v>
      </c>
      <c r="B4" s="39" t="s">
        <v>130</v>
      </c>
      <c r="C4" s="39" t="s">
        <v>701</v>
      </c>
      <c r="D4" s="60" t="s">
        <v>132</v>
      </c>
      <c r="E4" s="79" t="s">
        <v>21</v>
      </c>
      <c r="F4" s="111" t="s">
        <v>20</v>
      </c>
      <c r="G4" s="60" t="s">
        <v>22</v>
      </c>
      <c r="H4" s="39"/>
      <c r="I4" s="92"/>
      <c r="J4" s="39"/>
      <c r="K4" s="60" t="s">
        <v>22</v>
      </c>
      <c r="L4" s="39"/>
      <c r="M4" s="39"/>
      <c r="N4" s="60" t="s">
        <v>22</v>
      </c>
      <c r="O4" s="39"/>
      <c r="P4" s="91" t="s">
        <v>868</v>
      </c>
      <c r="Q4" s="39"/>
      <c r="R4" s="80" t="b">
        <f>IFERROR(__xludf.DUMMYFUNCTION("or(and(regexmatch(E4,""omission""),regexmatch(F4,""omission"")),and(regexmatch(E4,""hallucination""),regexmatch(F4,""hallucination"")))"),FALSE)</f>
        <v>0</v>
      </c>
      <c r="S4" s="60">
        <f>random_key!A34</f>
        <v>0.00126792185</v>
      </c>
    </row>
    <row r="5">
      <c r="A5" s="39">
        <v>36.0</v>
      </c>
      <c r="B5" s="39" t="s">
        <v>125</v>
      </c>
      <c r="C5" s="39" t="s">
        <v>699</v>
      </c>
      <c r="D5" s="60" t="s">
        <v>127</v>
      </c>
      <c r="E5" s="79" t="s">
        <v>21</v>
      </c>
      <c r="F5" s="111" t="s">
        <v>20</v>
      </c>
      <c r="G5" s="60" t="s">
        <v>22</v>
      </c>
      <c r="H5" s="39"/>
      <c r="I5" s="92"/>
      <c r="J5" s="39"/>
      <c r="K5" s="60" t="s">
        <v>22</v>
      </c>
      <c r="L5" s="39"/>
      <c r="M5" s="39"/>
      <c r="N5" s="60" t="s">
        <v>22</v>
      </c>
      <c r="O5" s="39"/>
      <c r="P5" s="91" t="s">
        <v>868</v>
      </c>
      <c r="Q5" s="39"/>
      <c r="R5" s="80" t="b">
        <f>IFERROR(__xludf.DUMMYFUNCTION("or(and(regexmatch(E5,""omission""),regexmatch(F5,""omission"")),and(regexmatch(E5,""hallucination""),regexmatch(F5,""hallucination"")))"),FALSE)</f>
        <v>0</v>
      </c>
      <c r="S5" s="60">
        <f>random_key!A32</f>
        <v>0.014775109</v>
      </c>
    </row>
    <row r="6">
      <c r="A6" s="39">
        <v>92.0</v>
      </c>
      <c r="B6" s="39" t="s">
        <v>264</v>
      </c>
      <c r="C6" s="39" t="s">
        <v>743</v>
      </c>
      <c r="D6" s="60" t="s">
        <v>266</v>
      </c>
      <c r="E6" s="110" t="s">
        <v>20</v>
      </c>
      <c r="F6" s="111" t="s">
        <v>31</v>
      </c>
      <c r="G6" s="39"/>
      <c r="H6" s="39"/>
      <c r="I6" s="92" t="s">
        <v>22</v>
      </c>
      <c r="J6" s="39"/>
      <c r="K6" s="60" t="s">
        <v>22</v>
      </c>
      <c r="L6" s="39"/>
      <c r="M6" s="60" t="s">
        <v>22</v>
      </c>
      <c r="N6" s="39"/>
      <c r="O6" s="39"/>
      <c r="P6" s="91" t="s">
        <v>904</v>
      </c>
      <c r="Q6" s="39"/>
      <c r="R6" s="80" t="b">
        <f>IFERROR(__xludf.DUMMYFUNCTION("or(and(regexmatch(E6,""omission""),regexmatch(F6,""omission"")),and(regexmatch(E6,""hallucination""),regexmatch(F6,""hallucination"")))"),FALSE)</f>
        <v>0</v>
      </c>
      <c r="S6" s="60">
        <f>random_key!A78</f>
        <v>0.02361814938</v>
      </c>
    </row>
    <row r="7">
      <c r="A7" s="39">
        <v>25.0</v>
      </c>
      <c r="B7" s="39" t="s">
        <v>97</v>
      </c>
      <c r="C7" s="39" t="s">
        <v>688</v>
      </c>
      <c r="D7" s="60" t="s">
        <v>99</v>
      </c>
      <c r="E7" s="110" t="s">
        <v>20</v>
      </c>
      <c r="F7" s="111" t="s">
        <v>21</v>
      </c>
      <c r="G7" s="39"/>
      <c r="H7" s="39"/>
      <c r="I7" s="92" t="s">
        <v>22</v>
      </c>
      <c r="J7" s="39"/>
      <c r="K7" s="60" t="s">
        <v>22</v>
      </c>
      <c r="L7" s="39"/>
      <c r="M7" s="60" t="s">
        <v>22</v>
      </c>
      <c r="N7" s="39"/>
      <c r="O7" s="39"/>
      <c r="P7" s="91" t="s">
        <v>867</v>
      </c>
      <c r="Q7" s="39"/>
      <c r="R7" s="80" t="b">
        <f>IFERROR(__xludf.DUMMYFUNCTION("or(and(regexmatch(E7,""omission""),regexmatch(F7,""omission"")),and(regexmatch(E7,""hallucination""),regexmatch(F7,""hallucination"")))"),FALSE)</f>
        <v>0</v>
      </c>
      <c r="S7" s="60">
        <f>random_key!A24</f>
        <v>0.0411164938</v>
      </c>
    </row>
    <row r="8">
      <c r="A8" s="39">
        <v>70.0</v>
      </c>
      <c r="B8" s="39" t="s">
        <v>210</v>
      </c>
      <c r="C8" s="39" t="s">
        <v>728</v>
      </c>
      <c r="D8" s="60" t="s">
        <v>212</v>
      </c>
      <c r="E8" s="110" t="s">
        <v>31</v>
      </c>
      <c r="F8" s="91" t="s">
        <v>21</v>
      </c>
      <c r="G8" s="39"/>
      <c r="H8" s="60" t="s">
        <v>22</v>
      </c>
      <c r="I8" s="92"/>
      <c r="J8" s="39"/>
      <c r="K8" s="39"/>
      <c r="L8" s="39"/>
      <c r="M8" s="39"/>
      <c r="N8" s="39"/>
      <c r="O8" s="60" t="s">
        <v>22</v>
      </c>
      <c r="P8" s="91" t="s">
        <v>865</v>
      </c>
      <c r="Q8" s="39"/>
      <c r="R8" s="80" t="b">
        <f>IFERROR(__xludf.DUMMYFUNCTION("or(and(regexmatch(E8,""omission""),regexmatch(F8,""omission"")),and(regexmatch(E8,""hallucination""),regexmatch(F8,""hallucination"")))"),FALSE)</f>
        <v>0</v>
      </c>
      <c r="S8" s="60">
        <f>random_key!A60</f>
        <v>0.04241728525</v>
      </c>
    </row>
    <row r="9">
      <c r="A9" s="39">
        <v>34.0</v>
      </c>
      <c r="B9" s="39" t="s">
        <v>121</v>
      </c>
      <c r="C9" s="39" t="s">
        <v>697</v>
      </c>
      <c r="D9" s="60" t="s">
        <v>123</v>
      </c>
      <c r="E9" s="110" t="s">
        <v>20</v>
      </c>
      <c r="F9" s="111" t="s">
        <v>21</v>
      </c>
      <c r="G9" s="39"/>
      <c r="H9" s="39"/>
      <c r="I9" s="92" t="s">
        <v>22</v>
      </c>
      <c r="J9" s="39"/>
      <c r="K9" s="60" t="s">
        <v>22</v>
      </c>
      <c r="L9" s="39"/>
      <c r="M9" s="60" t="s">
        <v>22</v>
      </c>
      <c r="N9" s="39"/>
      <c r="O9" s="39"/>
      <c r="P9" s="91" t="s">
        <v>880</v>
      </c>
      <c r="Q9" s="39"/>
      <c r="R9" s="80" t="b">
        <f>IFERROR(__xludf.DUMMYFUNCTION("or(and(regexmatch(E9,""omission""),regexmatch(F9,""omission"")),and(regexmatch(E9,""hallucination""),regexmatch(F9,""hallucination"")))"),FALSE)</f>
        <v>0</v>
      </c>
      <c r="S9" s="60">
        <f>random_key!A31</f>
        <v>0.04729217204</v>
      </c>
    </row>
    <row r="10">
      <c r="A10" s="39">
        <v>64.0</v>
      </c>
      <c r="B10" s="39" t="s">
        <v>199</v>
      </c>
      <c r="C10" s="39" t="s">
        <v>724</v>
      </c>
      <c r="D10" s="60" t="s">
        <v>201</v>
      </c>
      <c r="E10" s="110" t="s">
        <v>20</v>
      </c>
      <c r="F10" s="91" t="s">
        <v>21</v>
      </c>
      <c r="G10" s="39"/>
      <c r="H10" s="60" t="s">
        <v>22</v>
      </c>
      <c r="I10" s="92"/>
      <c r="J10" s="39"/>
      <c r="K10" s="39"/>
      <c r="L10" s="60" t="s">
        <v>22</v>
      </c>
      <c r="M10" s="60" t="s">
        <v>22</v>
      </c>
      <c r="N10" s="39"/>
      <c r="O10" s="39"/>
      <c r="P10" s="91" t="s">
        <v>893</v>
      </c>
      <c r="Q10" s="39"/>
      <c r="R10" s="80" t="b">
        <f>IFERROR(__xludf.DUMMYFUNCTION("or(and(regexmatch(E10,""omission""),regexmatch(F10,""omission"")),and(regexmatch(E10,""hallucination""),regexmatch(F10,""hallucination"")))"),FALSE)</f>
        <v>0</v>
      </c>
      <c r="S10" s="60">
        <f>random_key!A56</f>
        <v>0.07656247635</v>
      </c>
    </row>
    <row r="11">
      <c r="A11" s="39">
        <v>16.0</v>
      </c>
      <c r="B11" s="39" t="s">
        <v>68</v>
      </c>
      <c r="C11" s="39" t="s">
        <v>678</v>
      </c>
      <c r="D11" s="60" t="s">
        <v>70</v>
      </c>
      <c r="E11" s="79" t="s">
        <v>20</v>
      </c>
      <c r="F11" s="111" t="s">
        <v>21</v>
      </c>
      <c r="G11" s="60" t="s">
        <v>22</v>
      </c>
      <c r="H11" s="39"/>
      <c r="I11" s="92"/>
      <c r="J11" s="39"/>
      <c r="K11" s="60" t="s">
        <v>22</v>
      </c>
      <c r="L11" s="39"/>
      <c r="M11" s="39"/>
      <c r="N11" s="39"/>
      <c r="O11" s="39"/>
      <c r="P11" s="91" t="s">
        <v>866</v>
      </c>
      <c r="Q11" s="39"/>
      <c r="R11" s="80" t="b">
        <f>IFERROR(__xludf.DUMMYFUNCTION("or(and(regexmatch(E11,""omission""),regexmatch(F11,""omission"")),and(regexmatch(E11,""hallucination""),regexmatch(F11,""hallucination"")))"),FALSE)</f>
        <v>0</v>
      </c>
      <c r="S11" s="60">
        <f>random_key!A15</f>
        <v>0.0980610577</v>
      </c>
    </row>
    <row r="12">
      <c r="A12" s="39">
        <v>59.0</v>
      </c>
      <c r="B12" s="39" t="s">
        <v>188</v>
      </c>
      <c r="C12" s="39" t="s">
        <v>720</v>
      </c>
      <c r="D12" s="60" t="s">
        <v>190</v>
      </c>
      <c r="E12" s="110" t="s">
        <v>20</v>
      </c>
      <c r="F12" s="111" t="s">
        <v>21</v>
      </c>
      <c r="G12" s="39"/>
      <c r="H12" s="39"/>
      <c r="I12" s="92" t="s">
        <v>22</v>
      </c>
      <c r="J12" s="39"/>
      <c r="K12" s="39"/>
      <c r="L12" s="60" t="s">
        <v>22</v>
      </c>
      <c r="M12" s="60" t="s">
        <v>22</v>
      </c>
      <c r="N12" s="39"/>
      <c r="O12" s="39"/>
      <c r="P12" s="91" t="s">
        <v>887</v>
      </c>
      <c r="Q12" s="39"/>
      <c r="R12" s="80" t="b">
        <f>IFERROR(__xludf.DUMMYFUNCTION("or(and(regexmatch(E12,""omission""),regexmatch(F12,""omission"")),and(regexmatch(E12,""hallucination""),regexmatch(F12,""hallucination"")))"),FALSE)</f>
        <v>0</v>
      </c>
      <c r="S12" s="60">
        <f>random_key!A52</f>
        <v>0.1163449744</v>
      </c>
    </row>
    <row r="13">
      <c r="A13" s="39">
        <v>110.0</v>
      </c>
      <c r="B13" s="39" t="s">
        <v>310</v>
      </c>
      <c r="C13" s="39" t="s">
        <v>757</v>
      </c>
      <c r="D13" s="39" t="s">
        <v>312</v>
      </c>
      <c r="E13" s="79" t="s">
        <v>21</v>
      </c>
      <c r="F13" s="111" t="s">
        <v>20</v>
      </c>
      <c r="G13" s="60" t="s">
        <v>22</v>
      </c>
      <c r="H13" s="39"/>
      <c r="I13" s="92"/>
      <c r="J13" s="39"/>
      <c r="K13" s="60" t="s">
        <v>22</v>
      </c>
      <c r="L13" s="39"/>
      <c r="M13" s="39"/>
      <c r="N13" s="60" t="s">
        <v>22</v>
      </c>
      <c r="O13" s="39"/>
      <c r="P13" s="91" t="s">
        <v>894</v>
      </c>
      <c r="Q13" s="39"/>
      <c r="R13" s="80" t="b">
        <f>IFERROR(__xludf.DUMMYFUNCTION("or(and(regexmatch(E13,""omission""),regexmatch(F13,""omission"")),and(regexmatch(E13,""hallucination""),regexmatch(F13,""hallucination"")))"),FALSE)</f>
        <v>0</v>
      </c>
      <c r="S13" s="60">
        <f>random_key!A92</f>
        <v>0.1176876676</v>
      </c>
    </row>
    <row r="14">
      <c r="A14" s="39">
        <v>41.0</v>
      </c>
      <c r="B14" s="39" t="s">
        <v>135</v>
      </c>
      <c r="C14" s="39" t="s">
        <v>702</v>
      </c>
      <c r="D14" s="60" t="s">
        <v>137</v>
      </c>
      <c r="E14" s="110" t="s">
        <v>21</v>
      </c>
      <c r="F14" s="111" t="s">
        <v>31</v>
      </c>
      <c r="G14" s="39"/>
      <c r="H14" s="39"/>
      <c r="I14" s="92" t="s">
        <v>22</v>
      </c>
      <c r="J14" s="39"/>
      <c r="K14" s="39"/>
      <c r="L14" s="60" t="s">
        <v>22</v>
      </c>
      <c r="M14" s="60" t="s">
        <v>22</v>
      </c>
      <c r="N14" s="39"/>
      <c r="O14" s="39"/>
      <c r="P14" s="91" t="s">
        <v>882</v>
      </c>
      <c r="Q14" s="39"/>
      <c r="R14" s="80" t="b">
        <f>IFERROR(__xludf.DUMMYFUNCTION("or(and(regexmatch(E14,""omission""),regexmatch(F14,""omission"")),and(regexmatch(E14,""hallucination""),regexmatch(F14,""hallucination"")))"),FALSE)</f>
        <v>0</v>
      </c>
      <c r="S14" s="60">
        <f>random_key!A36</f>
        <v>0.1197756392</v>
      </c>
    </row>
    <row r="15">
      <c r="A15" s="39">
        <v>103.0</v>
      </c>
      <c r="B15" s="39" t="s">
        <v>292</v>
      </c>
      <c r="C15" s="39" t="s">
        <v>752</v>
      </c>
      <c r="D15" s="39" t="s">
        <v>294</v>
      </c>
      <c r="E15" s="110" t="s">
        <v>21</v>
      </c>
      <c r="F15" s="91" t="s">
        <v>31</v>
      </c>
      <c r="G15" s="39"/>
      <c r="H15" s="60" t="s">
        <v>22</v>
      </c>
      <c r="I15" s="92"/>
      <c r="J15" s="39"/>
      <c r="K15" s="39"/>
      <c r="L15" s="39"/>
      <c r="M15" s="60" t="s">
        <v>22</v>
      </c>
      <c r="N15" s="39"/>
      <c r="O15" s="39"/>
      <c r="P15" s="91" t="s">
        <v>907</v>
      </c>
      <c r="Q15" s="39"/>
      <c r="R15" s="80" t="b">
        <f>IFERROR(__xludf.DUMMYFUNCTION("or(and(regexmatch(E15,""omission""),regexmatch(F15,""omission"")),and(regexmatch(E15,""hallucination""),regexmatch(F15,""hallucination"")))"),FALSE)</f>
        <v>0</v>
      </c>
      <c r="S15" s="60">
        <f>random_key!A87</f>
        <v>0.1801476423</v>
      </c>
    </row>
    <row r="16">
      <c r="A16" s="39">
        <v>10.0</v>
      </c>
      <c r="B16" s="39" t="s">
        <v>49</v>
      </c>
      <c r="C16" s="39" t="s">
        <v>671</v>
      </c>
      <c r="D16" s="60" t="s">
        <v>51</v>
      </c>
      <c r="E16" s="79" t="s">
        <v>21</v>
      </c>
      <c r="F16" s="111" t="s">
        <v>20</v>
      </c>
      <c r="G16" s="60" t="s">
        <v>22</v>
      </c>
      <c r="H16" s="39"/>
      <c r="I16" s="92"/>
      <c r="J16" s="39"/>
      <c r="K16" s="60" t="s">
        <v>22</v>
      </c>
      <c r="L16" s="39"/>
      <c r="M16" s="39"/>
      <c r="N16" s="60" t="s">
        <v>22</v>
      </c>
      <c r="O16" s="39"/>
      <c r="P16" s="91" t="s">
        <v>868</v>
      </c>
      <c r="Q16" s="39"/>
      <c r="R16" s="80" t="b">
        <f>IFERROR(__xludf.DUMMYFUNCTION("or(and(regexmatch(E16,""omission""),regexmatch(F16,""omission"")),and(regexmatch(E16,""hallucination""),regexmatch(F16,""hallucination"")))"),FALSE)</f>
        <v>0</v>
      </c>
      <c r="S16" s="60">
        <f>random_key!A9</f>
        <v>0.1930796601</v>
      </c>
    </row>
    <row r="17">
      <c r="A17" s="39">
        <v>8.0</v>
      </c>
      <c r="B17" s="39" t="s">
        <v>43</v>
      </c>
      <c r="C17" s="39" t="s">
        <v>669</v>
      </c>
      <c r="D17" s="60" t="s">
        <v>45</v>
      </c>
      <c r="E17" s="79" t="s">
        <v>21</v>
      </c>
      <c r="F17" s="111" t="s">
        <v>20</v>
      </c>
      <c r="G17" s="60" t="s">
        <v>22</v>
      </c>
      <c r="H17" s="39"/>
      <c r="I17" s="92"/>
      <c r="J17" s="39"/>
      <c r="K17" s="60" t="s">
        <v>22</v>
      </c>
      <c r="L17" s="39"/>
      <c r="M17" s="39"/>
      <c r="N17" s="60" t="s">
        <v>22</v>
      </c>
      <c r="O17" s="39"/>
      <c r="P17" s="91" t="s">
        <v>868</v>
      </c>
      <c r="Q17" s="39"/>
      <c r="R17" s="80" t="b">
        <f>IFERROR(__xludf.DUMMYFUNCTION("or(and(regexmatch(E17,""omission""),regexmatch(F17,""omission"")),and(regexmatch(E17,""hallucination""),regexmatch(F17,""hallucination"")))"),FALSE)</f>
        <v>0</v>
      </c>
      <c r="S17" s="60">
        <f>random_key!A7</f>
        <v>0.2005901691</v>
      </c>
    </row>
    <row r="18">
      <c r="A18" s="39">
        <v>15.0</v>
      </c>
      <c r="B18" s="39" t="s">
        <v>66</v>
      </c>
      <c r="C18" s="39" t="s">
        <v>677</v>
      </c>
      <c r="D18" s="60" t="s">
        <v>42</v>
      </c>
      <c r="E18" s="79" t="s">
        <v>21</v>
      </c>
      <c r="F18" s="111" t="s">
        <v>20</v>
      </c>
      <c r="G18" s="60" t="s">
        <v>22</v>
      </c>
      <c r="H18" s="39"/>
      <c r="I18" s="92"/>
      <c r="J18" s="39"/>
      <c r="K18" s="60" t="s">
        <v>22</v>
      </c>
      <c r="L18" s="39"/>
      <c r="M18" s="39"/>
      <c r="N18" s="60" t="s">
        <v>22</v>
      </c>
      <c r="O18" s="39"/>
      <c r="P18" s="91" t="s">
        <v>868</v>
      </c>
      <c r="Q18" s="39"/>
      <c r="R18" s="80" t="b">
        <f>IFERROR(__xludf.DUMMYFUNCTION("or(and(regexmatch(E18,""omission""),regexmatch(F18,""omission"")),and(regexmatch(E18,""hallucination""),regexmatch(F18,""hallucination"")))"),FALSE)</f>
        <v>0</v>
      </c>
      <c r="S18" s="60">
        <f>random_key!A14</f>
        <v>0.2045792564</v>
      </c>
    </row>
    <row r="19">
      <c r="A19" s="39">
        <v>56.0</v>
      </c>
      <c r="B19" s="39" t="s">
        <v>178</v>
      </c>
      <c r="C19" s="39" t="s">
        <v>717</v>
      </c>
      <c r="D19" s="60" t="s">
        <v>180</v>
      </c>
      <c r="E19" s="110" t="s">
        <v>20</v>
      </c>
      <c r="F19" s="91" t="s">
        <v>26</v>
      </c>
      <c r="G19" s="39"/>
      <c r="H19" s="60" t="s">
        <v>22</v>
      </c>
      <c r="I19" s="92"/>
      <c r="J19" s="39"/>
      <c r="K19" s="39"/>
      <c r="L19" s="39"/>
      <c r="M19" s="60" t="s">
        <v>22</v>
      </c>
      <c r="N19" s="39"/>
      <c r="O19" s="39"/>
      <c r="P19" s="91" t="s">
        <v>888</v>
      </c>
      <c r="Q19" s="39"/>
      <c r="R19" s="80" t="b">
        <f>IFERROR(__xludf.DUMMYFUNCTION("or(and(regexmatch(E19,""omission""),regexmatch(F19,""omission"")),and(regexmatch(E19,""hallucination""),regexmatch(F19,""hallucination"")))"),TRUE)</f>
        <v>1</v>
      </c>
      <c r="S19" s="60">
        <f>random_key!A49</f>
        <v>0.2046791854</v>
      </c>
    </row>
    <row r="20">
      <c r="A20" s="39">
        <v>83.0</v>
      </c>
      <c r="B20" s="39" t="s">
        <v>248</v>
      </c>
      <c r="C20" s="39" t="s">
        <v>739</v>
      </c>
      <c r="D20" s="60" t="s">
        <v>250</v>
      </c>
      <c r="E20" s="110" t="s">
        <v>20</v>
      </c>
      <c r="F20" s="111" t="s">
        <v>21</v>
      </c>
      <c r="G20" s="39"/>
      <c r="H20" s="39"/>
      <c r="I20" s="92" t="s">
        <v>22</v>
      </c>
      <c r="J20" s="39"/>
      <c r="K20" s="60" t="s">
        <v>22</v>
      </c>
      <c r="L20" s="39"/>
      <c r="M20" s="60" t="s">
        <v>22</v>
      </c>
      <c r="N20" s="39"/>
      <c r="O20" s="39"/>
      <c r="P20" s="91" t="s">
        <v>901</v>
      </c>
      <c r="Q20" s="39"/>
      <c r="R20" s="80" t="b">
        <f>IFERROR(__xludf.DUMMYFUNCTION("or(and(regexmatch(E20,""omission""),regexmatch(F20,""omission"")),and(regexmatch(E20,""hallucination""),regexmatch(F20,""hallucination"")))"),FALSE)</f>
        <v>0</v>
      </c>
      <c r="S20" s="60">
        <f>random_key!A73</f>
        <v>0.2060904439</v>
      </c>
    </row>
    <row r="21">
      <c r="A21" s="39">
        <v>107.0</v>
      </c>
      <c r="B21" s="39" t="s">
        <v>307</v>
      </c>
      <c r="C21" s="39" t="s">
        <v>756</v>
      </c>
      <c r="D21" s="39" t="s">
        <v>309</v>
      </c>
      <c r="E21" s="110" t="s">
        <v>20</v>
      </c>
      <c r="F21" s="91" t="s">
        <v>21</v>
      </c>
      <c r="G21" s="39"/>
      <c r="H21" s="60" t="s">
        <v>22</v>
      </c>
      <c r="I21" s="92"/>
      <c r="J21" s="39"/>
      <c r="K21" s="60" t="s">
        <v>22</v>
      </c>
      <c r="L21" s="39"/>
      <c r="M21" s="60" t="s">
        <v>22</v>
      </c>
      <c r="N21" s="60" t="s">
        <v>22</v>
      </c>
      <c r="O21" s="39"/>
      <c r="P21" s="91" t="s">
        <v>910</v>
      </c>
      <c r="Q21" s="39"/>
      <c r="R21" s="80" t="b">
        <f>IFERROR(__xludf.DUMMYFUNCTION("or(and(regexmatch(E21,""omission""),regexmatch(F21,""omission"")),and(regexmatch(E21,""hallucination""),regexmatch(F21,""hallucination"")))"),FALSE)</f>
        <v>0</v>
      </c>
      <c r="S21" s="60">
        <f>random_key!A91</f>
        <v>0.208460173</v>
      </c>
    </row>
    <row r="22">
      <c r="A22" s="39">
        <v>54.0</v>
      </c>
      <c r="B22" s="39" t="s">
        <v>173</v>
      </c>
      <c r="C22" s="39" t="s">
        <v>715</v>
      </c>
      <c r="D22" s="60" t="s">
        <v>175</v>
      </c>
      <c r="E22" s="110" t="s">
        <v>20</v>
      </c>
      <c r="F22" s="91" t="s">
        <v>21</v>
      </c>
      <c r="G22" s="39"/>
      <c r="H22" s="60" t="s">
        <v>22</v>
      </c>
      <c r="I22" s="92"/>
      <c r="J22" s="39"/>
      <c r="K22" s="39"/>
      <c r="L22" s="39"/>
      <c r="M22" s="39"/>
      <c r="N22" s="60" t="s">
        <v>22</v>
      </c>
      <c r="O22" s="39"/>
      <c r="P22" s="91" t="s">
        <v>863</v>
      </c>
      <c r="Q22" s="39"/>
      <c r="R22" s="80" t="b">
        <f>IFERROR(__xludf.DUMMYFUNCTION("or(and(regexmatch(E22,""omission""),regexmatch(F22,""omission"")),and(regexmatch(E22,""hallucination""),regexmatch(F22,""hallucination"")))"),FALSE)</f>
        <v>0</v>
      </c>
      <c r="S22" s="60">
        <f>random_key!A47</f>
        <v>0.2140410334</v>
      </c>
    </row>
    <row r="23">
      <c r="A23" s="39">
        <v>98.0</v>
      </c>
      <c r="B23" s="39" t="s">
        <v>277</v>
      </c>
      <c r="C23" s="39" t="s">
        <v>746</v>
      </c>
      <c r="D23" s="60" t="s">
        <v>279</v>
      </c>
      <c r="E23" s="79" t="s">
        <v>21</v>
      </c>
      <c r="F23" s="111" t="s">
        <v>20</v>
      </c>
      <c r="G23" s="60" t="s">
        <v>22</v>
      </c>
      <c r="H23" s="39"/>
      <c r="I23" s="92"/>
      <c r="J23" s="39"/>
      <c r="K23" s="60" t="s">
        <v>22</v>
      </c>
      <c r="L23" s="39"/>
      <c r="M23" s="39"/>
      <c r="N23" s="60" t="s">
        <v>22</v>
      </c>
      <c r="O23" s="39"/>
      <c r="P23" s="91" t="s">
        <v>892</v>
      </c>
      <c r="Q23" s="39"/>
      <c r="R23" s="80" t="b">
        <f>IFERROR(__xludf.DUMMYFUNCTION("or(and(regexmatch(E23,""omission""),regexmatch(F23,""omission"")),and(regexmatch(E23,""hallucination""),regexmatch(F23,""hallucination"")))"),FALSE)</f>
        <v>0</v>
      </c>
      <c r="S23" s="60">
        <f>random_key!A82</f>
        <v>0.2217316316</v>
      </c>
    </row>
    <row r="24">
      <c r="A24" s="39">
        <v>20.0</v>
      </c>
      <c r="B24" s="39" t="s">
        <v>81</v>
      </c>
      <c r="C24" s="39" t="s">
        <v>673</v>
      </c>
      <c r="D24" s="60" t="s">
        <v>80</v>
      </c>
      <c r="E24" s="110" t="s">
        <v>31</v>
      </c>
      <c r="F24" s="91" t="s">
        <v>21</v>
      </c>
      <c r="G24" s="39"/>
      <c r="H24" s="60" t="s">
        <v>22</v>
      </c>
      <c r="I24" s="92"/>
      <c r="J24" s="39"/>
      <c r="K24" s="39"/>
      <c r="L24" s="39"/>
      <c r="M24" s="39"/>
      <c r="N24" s="39"/>
      <c r="O24" s="60" t="s">
        <v>22</v>
      </c>
      <c r="P24" s="91" t="s">
        <v>865</v>
      </c>
      <c r="Q24" s="39"/>
      <c r="R24" s="80" t="b">
        <f>IFERROR(__xludf.DUMMYFUNCTION("or(and(regexmatch(E24,""omission""),regexmatch(F24,""omission"")),and(regexmatch(E24,""hallucination""),regexmatch(F24,""hallucination"")))"),FALSE)</f>
        <v>0</v>
      </c>
      <c r="S24" s="60">
        <f>random_key!A19</f>
        <v>0.2255976227</v>
      </c>
    </row>
    <row r="25">
      <c r="A25" s="39">
        <v>18.0</v>
      </c>
      <c r="B25" s="112" t="s">
        <v>75</v>
      </c>
      <c r="C25" s="39" t="s">
        <v>680</v>
      </c>
      <c r="D25" s="60" t="s">
        <v>77</v>
      </c>
      <c r="E25" s="79" t="s">
        <v>21</v>
      </c>
      <c r="F25" s="111" t="s">
        <v>20</v>
      </c>
      <c r="G25" s="60" t="s">
        <v>22</v>
      </c>
      <c r="H25" s="39"/>
      <c r="I25" s="92"/>
      <c r="J25" s="39"/>
      <c r="K25" s="60" t="s">
        <v>22</v>
      </c>
      <c r="L25" s="39"/>
      <c r="M25" s="39"/>
      <c r="N25" s="60" t="s">
        <v>22</v>
      </c>
      <c r="O25" s="39"/>
      <c r="P25" s="91" t="s">
        <v>874</v>
      </c>
      <c r="Q25" s="39"/>
      <c r="R25" s="80" t="b">
        <f>IFERROR(__xludf.DUMMYFUNCTION("or(and(regexmatch(E25,""omission""),regexmatch(F25,""omission"")),and(regexmatch(E25,""hallucination""),regexmatch(F25,""hallucination"")))"),FALSE)</f>
        <v>0</v>
      </c>
      <c r="S25" s="60">
        <f>random_key!A17</f>
        <v>0.2359531103</v>
      </c>
    </row>
    <row r="26">
      <c r="A26" s="39">
        <v>31.0</v>
      </c>
      <c r="B26" s="39" t="s">
        <v>115</v>
      </c>
      <c r="C26" s="39" t="s">
        <v>695</v>
      </c>
      <c r="D26" s="60" t="s">
        <v>117</v>
      </c>
      <c r="E26" s="110" t="s">
        <v>31</v>
      </c>
      <c r="F26" s="91" t="s">
        <v>21</v>
      </c>
      <c r="G26" s="39"/>
      <c r="H26" s="60" t="s">
        <v>22</v>
      </c>
      <c r="I26" s="92"/>
      <c r="J26" s="39"/>
      <c r="K26" s="39"/>
      <c r="L26" s="39"/>
      <c r="M26" s="39"/>
      <c r="N26" s="39"/>
      <c r="O26" s="60" t="s">
        <v>22</v>
      </c>
      <c r="P26" s="91" t="s">
        <v>865</v>
      </c>
      <c r="Q26" s="39"/>
      <c r="R26" s="80" t="b">
        <f>IFERROR(__xludf.DUMMYFUNCTION("or(and(regexmatch(E26,""omission""),regexmatch(F26,""omission"")),and(regexmatch(E26,""hallucination""),regexmatch(F26,""hallucination"")))"),FALSE)</f>
        <v>0</v>
      </c>
      <c r="S26" s="60">
        <f>random_key!A29</f>
        <v>0.2367282546</v>
      </c>
    </row>
    <row r="27">
      <c r="A27" s="39">
        <v>49.0</v>
      </c>
      <c r="B27" s="39" t="s">
        <v>162</v>
      </c>
      <c r="C27" s="39" t="s">
        <v>711</v>
      </c>
      <c r="D27" s="60" t="s">
        <v>164</v>
      </c>
      <c r="E27" s="110" t="s">
        <v>20</v>
      </c>
      <c r="F27" s="111" t="s">
        <v>21</v>
      </c>
      <c r="G27" s="39"/>
      <c r="H27" s="39"/>
      <c r="I27" s="92" t="s">
        <v>22</v>
      </c>
      <c r="J27" s="39"/>
      <c r="K27" s="60" t="s">
        <v>22</v>
      </c>
      <c r="L27" s="39"/>
      <c r="M27" s="60" t="s">
        <v>22</v>
      </c>
      <c r="N27" s="39"/>
      <c r="O27" s="39"/>
      <c r="P27" s="91" t="s">
        <v>886</v>
      </c>
      <c r="Q27" s="39"/>
      <c r="R27" s="80" t="b">
        <f>IFERROR(__xludf.DUMMYFUNCTION("or(and(regexmatch(E27,""omission""),regexmatch(F27,""omission"")),and(regexmatch(E27,""hallucination""),regexmatch(F27,""hallucination"")))"),FALSE)</f>
        <v>0</v>
      </c>
      <c r="S27" s="60">
        <f>random_key!A44</f>
        <v>0.2390760191</v>
      </c>
    </row>
    <row r="28">
      <c r="A28" s="39">
        <v>46.0</v>
      </c>
      <c r="B28" s="39" t="s">
        <v>153</v>
      </c>
      <c r="C28" s="39" t="s">
        <v>708</v>
      </c>
      <c r="D28" s="60" t="s">
        <v>42</v>
      </c>
      <c r="E28" s="79" t="s">
        <v>21</v>
      </c>
      <c r="F28" s="111" t="s">
        <v>20</v>
      </c>
      <c r="G28" s="60" t="s">
        <v>22</v>
      </c>
      <c r="H28" s="39"/>
      <c r="I28" s="92"/>
      <c r="J28" s="39"/>
      <c r="K28" s="60" t="s">
        <v>22</v>
      </c>
      <c r="L28" s="39"/>
      <c r="M28" s="39"/>
      <c r="N28" s="60" t="s">
        <v>22</v>
      </c>
      <c r="O28" s="39"/>
      <c r="P28" s="91" t="s">
        <v>879</v>
      </c>
      <c r="Q28" s="39"/>
      <c r="R28" s="80" t="b">
        <f>IFERROR(__xludf.DUMMYFUNCTION("or(and(regexmatch(E28,""omission""),regexmatch(F28,""omission"")),and(regexmatch(E28,""hallucination""),regexmatch(F28,""hallucination"")))"),FALSE)</f>
        <v>0</v>
      </c>
      <c r="S28" s="60">
        <f>random_key!A41</f>
        <v>0.2504741674</v>
      </c>
    </row>
    <row r="29">
      <c r="A29" s="39">
        <v>21.0</v>
      </c>
      <c r="B29" s="39" t="s">
        <v>83</v>
      </c>
      <c r="C29" s="39" t="s">
        <v>682</v>
      </c>
      <c r="D29" s="60" t="s">
        <v>85</v>
      </c>
      <c r="E29" s="110" t="s">
        <v>20</v>
      </c>
      <c r="F29" s="91" t="s">
        <v>21</v>
      </c>
      <c r="G29" s="39"/>
      <c r="H29" s="60" t="s">
        <v>22</v>
      </c>
      <c r="I29" s="92"/>
      <c r="J29" s="39"/>
      <c r="K29" s="39"/>
      <c r="L29" s="39"/>
      <c r="M29" s="39"/>
      <c r="N29" s="60" t="s">
        <v>22</v>
      </c>
      <c r="O29" s="39"/>
      <c r="P29" s="91" t="s">
        <v>863</v>
      </c>
      <c r="Q29" s="39"/>
      <c r="R29" s="80" t="b">
        <f>IFERROR(__xludf.DUMMYFUNCTION("or(and(regexmatch(E29,""omission""),regexmatch(F29,""omission"")),and(regexmatch(E29,""hallucination""),regexmatch(F29,""hallucination"")))"),FALSE)</f>
        <v>0</v>
      </c>
      <c r="S29" s="60">
        <f>random_key!A20</f>
        <v>0.2628754448</v>
      </c>
    </row>
    <row r="30">
      <c r="A30" s="39">
        <v>101.0</v>
      </c>
      <c r="B30" s="39" t="s">
        <v>286</v>
      </c>
      <c r="C30" s="39" t="s">
        <v>749</v>
      </c>
      <c r="D30" s="39" t="s">
        <v>38</v>
      </c>
      <c r="E30" s="110" t="s">
        <v>31</v>
      </c>
      <c r="F30" s="91" t="s">
        <v>21</v>
      </c>
      <c r="G30" s="39"/>
      <c r="H30" s="60" t="s">
        <v>22</v>
      </c>
      <c r="I30" s="92"/>
      <c r="J30" s="39"/>
      <c r="K30" s="39"/>
      <c r="L30" s="39"/>
      <c r="M30" s="39"/>
      <c r="N30" s="39"/>
      <c r="O30" s="60" t="s">
        <v>22</v>
      </c>
      <c r="P30" s="91" t="s">
        <v>865</v>
      </c>
      <c r="Q30" s="39"/>
      <c r="R30" s="80" t="b">
        <f>IFERROR(__xludf.DUMMYFUNCTION("or(and(regexmatch(E30,""omission""),regexmatch(F30,""omission"")),and(regexmatch(E30,""hallucination""),regexmatch(F30,""hallucination"")))"),FALSE)</f>
        <v>0</v>
      </c>
      <c r="S30" s="60">
        <f>random_key!A85</f>
        <v>0.2733204148</v>
      </c>
    </row>
    <row r="31">
      <c r="A31" s="39">
        <v>81.0</v>
      </c>
      <c r="B31" s="39" t="s">
        <v>240</v>
      </c>
      <c r="C31" s="39" t="s">
        <v>737</v>
      </c>
      <c r="D31" s="60" t="s">
        <v>242</v>
      </c>
      <c r="E31" s="110" t="s">
        <v>20</v>
      </c>
      <c r="F31" s="91" t="s">
        <v>21</v>
      </c>
      <c r="G31" s="39"/>
      <c r="H31" s="60" t="s">
        <v>22</v>
      </c>
      <c r="I31" s="92"/>
      <c r="J31" s="39"/>
      <c r="K31" s="39"/>
      <c r="L31" s="60" t="s">
        <v>22</v>
      </c>
      <c r="M31" s="39"/>
      <c r="N31" s="39"/>
      <c r="O31" s="39"/>
      <c r="P31" s="91" t="s">
        <v>900</v>
      </c>
      <c r="Q31" s="39"/>
      <c r="R31" s="80" t="b">
        <f>IFERROR(__xludf.DUMMYFUNCTION("or(and(regexmatch(E31,""omission""),regexmatch(F31,""omission"")),and(regexmatch(E31,""hallucination""),regexmatch(F31,""hallucination"")))"),FALSE)</f>
        <v>0</v>
      </c>
      <c r="S31" s="60">
        <f>random_key!A71</f>
        <v>0.278433439</v>
      </c>
    </row>
    <row r="32">
      <c r="A32" s="39">
        <v>104.0</v>
      </c>
      <c r="B32" s="39" t="s">
        <v>296</v>
      </c>
      <c r="C32" s="39" t="s">
        <v>753</v>
      </c>
      <c r="D32" s="39" t="s">
        <v>298</v>
      </c>
      <c r="E32" s="110" t="s">
        <v>20</v>
      </c>
      <c r="F32" s="111" t="s">
        <v>21</v>
      </c>
      <c r="G32" s="39"/>
      <c r="H32" s="39"/>
      <c r="I32" s="92" t="s">
        <v>22</v>
      </c>
      <c r="J32" s="39"/>
      <c r="K32" s="39"/>
      <c r="L32" s="39"/>
      <c r="M32" s="60" t="s">
        <v>22</v>
      </c>
      <c r="N32" s="39"/>
      <c r="O32" s="39"/>
      <c r="P32" s="91" t="s">
        <v>908</v>
      </c>
      <c r="Q32" s="39"/>
      <c r="R32" s="80" t="b">
        <f>IFERROR(__xludf.DUMMYFUNCTION("or(and(regexmatch(E32,""omission""),regexmatch(F32,""omission"")),and(regexmatch(E32,""hallucination""),regexmatch(F32,""hallucination"")))"),FALSE)</f>
        <v>0</v>
      </c>
      <c r="S32" s="60">
        <f>random_key!A88</f>
        <v>0.2798860334</v>
      </c>
    </row>
    <row r="33">
      <c r="A33" s="39">
        <v>42.0</v>
      </c>
      <c r="B33" s="39" t="s">
        <v>139</v>
      </c>
      <c r="C33" s="39" t="s">
        <v>703</v>
      </c>
      <c r="D33" s="60" t="s">
        <v>141</v>
      </c>
      <c r="E33" s="110" t="s">
        <v>31</v>
      </c>
      <c r="F33" s="111" t="s">
        <v>21</v>
      </c>
      <c r="G33" s="39"/>
      <c r="H33" s="39"/>
      <c r="I33" s="92" t="s">
        <v>22</v>
      </c>
      <c r="J33" s="39"/>
      <c r="K33" s="39"/>
      <c r="L33" s="39"/>
      <c r="M33" s="60" t="s">
        <v>22</v>
      </c>
      <c r="N33" s="39"/>
      <c r="O33" s="39"/>
      <c r="P33" s="91" t="s">
        <v>883</v>
      </c>
      <c r="Q33" s="39"/>
      <c r="R33" s="80" t="b">
        <f>IFERROR(__xludf.DUMMYFUNCTION("or(and(regexmatch(E33,""omission""),regexmatch(F33,""omission"")),and(regexmatch(E33,""hallucination""),regexmatch(F33,""hallucination"")))"),FALSE)</f>
        <v>0</v>
      </c>
      <c r="S33" s="60">
        <f>random_key!A37</f>
        <v>0.2853436585</v>
      </c>
    </row>
    <row r="34">
      <c r="A34" s="39">
        <v>3.0</v>
      </c>
      <c r="B34" s="39" t="s">
        <v>23</v>
      </c>
      <c r="C34" s="39" t="s">
        <v>663</v>
      </c>
      <c r="D34" s="60" t="s">
        <v>25</v>
      </c>
      <c r="E34" s="110" t="s">
        <v>20</v>
      </c>
      <c r="F34" s="91" t="s">
        <v>26</v>
      </c>
      <c r="G34" s="39"/>
      <c r="H34" s="60" t="s">
        <v>22</v>
      </c>
      <c r="I34" s="92"/>
      <c r="J34" s="39"/>
      <c r="K34" s="39"/>
      <c r="L34" s="39"/>
      <c r="M34" s="60" t="s">
        <v>22</v>
      </c>
      <c r="N34" s="39"/>
      <c r="O34" s="39"/>
      <c r="P34" s="91" t="s">
        <v>864</v>
      </c>
      <c r="Q34" s="39"/>
      <c r="R34" s="80" t="b">
        <f>IFERROR(__xludf.DUMMYFUNCTION("or(and(regexmatch(E34,""omission""),regexmatch(F34,""omission"")),and(regexmatch(E34,""hallucination""),regexmatch(F34,""hallucination"")))"),TRUE)</f>
        <v>1</v>
      </c>
      <c r="S34" s="60">
        <f>random_key!A2</f>
        <v>0.3018055165</v>
      </c>
    </row>
    <row r="35">
      <c r="A35" s="93">
        <v>116.0</v>
      </c>
      <c r="B35" s="39" t="s">
        <v>329</v>
      </c>
      <c r="C35" s="39" t="s">
        <v>763</v>
      </c>
      <c r="D35" s="39" t="s">
        <v>331</v>
      </c>
      <c r="E35" s="79" t="s">
        <v>26</v>
      </c>
      <c r="F35" s="111" t="s">
        <v>21</v>
      </c>
      <c r="G35" s="60" t="s">
        <v>22</v>
      </c>
      <c r="H35" s="39"/>
      <c r="I35" s="92"/>
      <c r="J35" s="39"/>
      <c r="K35" s="39"/>
      <c r="L35" s="60" t="s">
        <v>22</v>
      </c>
      <c r="M35" s="60" t="s">
        <v>22</v>
      </c>
      <c r="N35" s="39"/>
      <c r="O35" s="39"/>
      <c r="P35" s="91" t="s">
        <v>915</v>
      </c>
      <c r="Q35" s="39"/>
      <c r="R35" s="80" t="b">
        <f>IFERROR(__xludf.DUMMYFUNCTION("or(and(regexmatch(E35,""omission""),regexmatch(F35,""omission"")),and(regexmatch(E35,""hallucination""),regexmatch(F35,""hallucination"")))"),FALSE)</f>
        <v>0</v>
      </c>
      <c r="S35" s="60">
        <f>random_key!A98</f>
        <v>0.340759892</v>
      </c>
    </row>
    <row r="36">
      <c r="A36" s="39">
        <v>27.0</v>
      </c>
      <c r="B36" s="39" t="s">
        <v>101</v>
      </c>
      <c r="C36" s="39" t="s">
        <v>690</v>
      </c>
      <c r="D36" s="60" t="s">
        <v>103</v>
      </c>
      <c r="E36" s="110" t="s">
        <v>20</v>
      </c>
      <c r="F36" s="91" t="s">
        <v>21</v>
      </c>
      <c r="G36" s="39"/>
      <c r="H36" s="60" t="s">
        <v>22</v>
      </c>
      <c r="I36" s="92"/>
      <c r="J36" s="39"/>
      <c r="K36" s="39"/>
      <c r="L36" s="39"/>
      <c r="M36" s="39"/>
      <c r="N36" s="60" t="s">
        <v>22</v>
      </c>
      <c r="O36" s="39"/>
      <c r="P36" s="91" t="s">
        <v>863</v>
      </c>
      <c r="Q36" s="39"/>
      <c r="R36" s="80" t="b">
        <f>IFERROR(__xludf.DUMMYFUNCTION("or(and(regexmatch(E36,""omission""),regexmatch(F36,""omission"")),and(regexmatch(E36,""hallucination""),regexmatch(F36,""hallucination"")))"),FALSE)</f>
        <v>0</v>
      </c>
      <c r="S36" s="60">
        <f>random_key!A25</f>
        <v>0.3472535053</v>
      </c>
    </row>
    <row r="37">
      <c r="A37" s="39">
        <v>51.0</v>
      </c>
      <c r="B37" s="39" t="s">
        <v>166</v>
      </c>
      <c r="C37" s="39" t="s">
        <v>713</v>
      </c>
      <c r="D37" s="60" t="s">
        <v>168</v>
      </c>
      <c r="E37" s="110" t="s">
        <v>21</v>
      </c>
      <c r="F37" s="111" t="s">
        <v>31</v>
      </c>
      <c r="G37" s="39"/>
      <c r="H37" s="39"/>
      <c r="I37" s="92" t="s">
        <v>22</v>
      </c>
      <c r="J37" s="39"/>
      <c r="K37" s="39"/>
      <c r="L37" s="60" t="s">
        <v>22</v>
      </c>
      <c r="M37" s="60" t="s">
        <v>22</v>
      </c>
      <c r="N37" s="39"/>
      <c r="O37" s="39"/>
      <c r="P37" s="91" t="s">
        <v>887</v>
      </c>
      <c r="Q37" s="39"/>
      <c r="R37" s="80" t="b">
        <f>IFERROR(__xludf.DUMMYFUNCTION("or(and(regexmatch(E37,""omission""),regexmatch(F37,""omission"")),and(regexmatch(E37,""hallucination""),regexmatch(F37,""hallucination"")))"),FALSE)</f>
        <v>0</v>
      </c>
      <c r="S37" s="60">
        <f>random_key!A45</f>
        <v>0.3495666817</v>
      </c>
    </row>
    <row r="38">
      <c r="A38" s="39">
        <v>7.0</v>
      </c>
      <c r="B38" s="39" t="s">
        <v>40</v>
      </c>
      <c r="C38" s="39" t="s">
        <v>668</v>
      </c>
      <c r="D38" s="60" t="s">
        <v>42</v>
      </c>
      <c r="E38" s="79" t="s">
        <v>21</v>
      </c>
      <c r="F38" s="111" t="s">
        <v>20</v>
      </c>
      <c r="G38" s="60" t="s">
        <v>22</v>
      </c>
      <c r="H38" s="39"/>
      <c r="I38" s="92"/>
      <c r="J38" s="39"/>
      <c r="K38" s="60" t="s">
        <v>22</v>
      </c>
      <c r="L38" s="39"/>
      <c r="M38" s="39"/>
      <c r="N38" s="60" t="s">
        <v>22</v>
      </c>
      <c r="O38" s="39"/>
      <c r="P38" s="91" t="s">
        <v>868</v>
      </c>
      <c r="Q38" s="39"/>
      <c r="R38" s="80" t="b">
        <f>IFERROR(__xludf.DUMMYFUNCTION("or(and(regexmatch(E38,""omission""),regexmatch(F38,""omission"")),and(regexmatch(E38,""hallucination""),regexmatch(F38,""hallucination"")))"),FALSE)</f>
        <v>0</v>
      </c>
      <c r="S38" s="60">
        <f>random_key!A6</f>
        <v>0.3538941995</v>
      </c>
    </row>
    <row r="39">
      <c r="A39" s="39">
        <v>94.0</v>
      </c>
      <c r="B39" s="39" t="s">
        <v>268</v>
      </c>
      <c r="C39" s="39" t="s">
        <v>744</v>
      </c>
      <c r="D39" s="60" t="s">
        <v>270</v>
      </c>
      <c r="E39" s="110" t="s">
        <v>20</v>
      </c>
      <c r="F39" s="111" t="s">
        <v>21</v>
      </c>
      <c r="G39" s="39"/>
      <c r="H39" s="39"/>
      <c r="I39" s="92" t="s">
        <v>22</v>
      </c>
      <c r="J39" s="39"/>
      <c r="K39" s="60" t="s">
        <v>22</v>
      </c>
      <c r="L39" s="39"/>
      <c r="M39" s="60" t="s">
        <v>22</v>
      </c>
      <c r="N39" s="39"/>
      <c r="O39" s="39"/>
      <c r="P39" s="91" t="s">
        <v>901</v>
      </c>
      <c r="Q39" s="39"/>
      <c r="R39" s="80" t="b">
        <f>IFERROR(__xludf.DUMMYFUNCTION("or(and(regexmatch(E39,""omission""),regexmatch(F39,""omission"")),and(regexmatch(E39,""hallucination""),regexmatch(F39,""hallucination"")))"),FALSE)</f>
        <v>0</v>
      </c>
      <c r="S39" s="60">
        <f>random_key!A79</f>
        <v>0.4195941883</v>
      </c>
    </row>
    <row r="40">
      <c r="A40" s="39">
        <v>6.0</v>
      </c>
      <c r="B40" s="39" t="s">
        <v>36</v>
      </c>
      <c r="C40" s="39" t="s">
        <v>666</v>
      </c>
      <c r="D40" s="60" t="s">
        <v>38</v>
      </c>
      <c r="E40" s="110" t="s">
        <v>20</v>
      </c>
      <c r="F40" s="111" t="s">
        <v>21</v>
      </c>
      <c r="G40" s="39"/>
      <c r="H40" s="39"/>
      <c r="I40" s="92" t="s">
        <v>22</v>
      </c>
      <c r="J40" s="39"/>
      <c r="K40" s="60" t="s">
        <v>22</v>
      </c>
      <c r="L40" s="39"/>
      <c r="M40" s="60" t="s">
        <v>22</v>
      </c>
      <c r="N40" s="60" t="s">
        <v>862</v>
      </c>
      <c r="O40" s="39"/>
      <c r="P40" s="91" t="s">
        <v>867</v>
      </c>
      <c r="Q40" s="39"/>
      <c r="R40" s="80" t="b">
        <f>IFERROR(__xludf.DUMMYFUNCTION("or(and(regexmatch(E40,""omission""),regexmatch(F40,""omission"")),and(regexmatch(E40,""hallucination""),regexmatch(F40,""hallucination"")))"),FALSE)</f>
        <v>0</v>
      </c>
      <c r="S40" s="60">
        <f>random_key!A5</f>
        <v>0.4200862284</v>
      </c>
    </row>
    <row r="41">
      <c r="A41" s="39">
        <v>96.0</v>
      </c>
      <c r="B41" s="112" t="s">
        <v>273</v>
      </c>
      <c r="C41" s="39" t="s">
        <v>745</v>
      </c>
      <c r="D41" s="60" t="s">
        <v>275</v>
      </c>
      <c r="E41" s="79" t="s">
        <v>21</v>
      </c>
      <c r="F41" s="111" t="s">
        <v>20</v>
      </c>
      <c r="G41" s="60" t="s">
        <v>22</v>
      </c>
      <c r="H41" s="39"/>
      <c r="I41" s="92"/>
      <c r="J41" s="39"/>
      <c r="K41" s="60" t="s">
        <v>22</v>
      </c>
      <c r="L41" s="39"/>
      <c r="M41" s="39"/>
      <c r="N41" s="60" t="s">
        <v>22</v>
      </c>
      <c r="O41" s="39"/>
      <c r="P41" s="91" t="s">
        <v>905</v>
      </c>
      <c r="Q41" s="39"/>
      <c r="R41" s="80" t="b">
        <f>IFERROR(__xludf.DUMMYFUNCTION("or(and(regexmatch(E41,""omission""),regexmatch(F41,""omission"")),and(regexmatch(E41,""hallucination""),regexmatch(F41,""hallucination"")))"),FALSE)</f>
        <v>0</v>
      </c>
      <c r="S41" s="60">
        <f>random_key!A81</f>
        <v>0.4456763806</v>
      </c>
    </row>
    <row r="42">
      <c r="A42" s="39">
        <v>90.0</v>
      </c>
      <c r="B42" s="39" t="s">
        <v>257</v>
      </c>
      <c r="C42" s="39" t="s">
        <v>741</v>
      </c>
      <c r="D42" s="60" t="s">
        <v>259</v>
      </c>
      <c r="E42" s="110" t="s">
        <v>20</v>
      </c>
      <c r="F42" s="91" t="s">
        <v>26</v>
      </c>
      <c r="G42" s="39"/>
      <c r="H42" s="60" t="s">
        <v>22</v>
      </c>
      <c r="I42" s="92"/>
      <c r="J42" s="39"/>
      <c r="K42" s="39"/>
      <c r="L42" s="39"/>
      <c r="M42" s="60" t="s">
        <v>22</v>
      </c>
      <c r="N42" s="39"/>
      <c r="O42" s="39"/>
      <c r="P42" s="91" t="s">
        <v>903</v>
      </c>
      <c r="Q42" s="39"/>
      <c r="R42" s="80" t="b">
        <f>IFERROR(__xludf.DUMMYFUNCTION("or(and(regexmatch(E42,""omission""),regexmatch(F42,""omission"")),and(regexmatch(E42,""hallucination""),regexmatch(F42,""hallucination"")))"),TRUE)</f>
        <v>1</v>
      </c>
      <c r="S42" s="60">
        <f>random_key!A76</f>
        <v>0.4472647815</v>
      </c>
    </row>
    <row r="43">
      <c r="A43" s="39">
        <v>22.0</v>
      </c>
      <c r="B43" s="39" t="s">
        <v>86</v>
      </c>
      <c r="C43" s="39" t="s">
        <v>683</v>
      </c>
      <c r="D43" s="60" t="s">
        <v>88</v>
      </c>
      <c r="E43" s="79" t="s">
        <v>21</v>
      </c>
      <c r="F43" s="111" t="s">
        <v>31</v>
      </c>
      <c r="G43" s="60" t="s">
        <v>22</v>
      </c>
      <c r="H43" s="39"/>
      <c r="I43" s="92"/>
      <c r="J43" s="39"/>
      <c r="K43" s="39"/>
      <c r="L43" s="39"/>
      <c r="M43" s="39"/>
      <c r="N43" s="39"/>
      <c r="O43" s="60" t="s">
        <v>22</v>
      </c>
      <c r="P43" s="91" t="s">
        <v>876</v>
      </c>
      <c r="Q43" s="39"/>
      <c r="R43" s="80" t="b">
        <f>IFERROR(__xludf.DUMMYFUNCTION("or(and(regexmatch(E43,""omission""),regexmatch(F43,""omission"")),and(regexmatch(E43,""hallucination""),regexmatch(F43,""hallucination"")))"),FALSE)</f>
        <v>0</v>
      </c>
      <c r="S43" s="60">
        <f>random_key!A21</f>
        <v>0.4672776255</v>
      </c>
    </row>
    <row r="44">
      <c r="A44" s="39">
        <v>37.0</v>
      </c>
      <c r="B44" s="39" t="s">
        <v>128</v>
      </c>
      <c r="C44" s="39" t="s">
        <v>700</v>
      </c>
      <c r="D44" s="60" t="s">
        <v>64</v>
      </c>
      <c r="E44" s="79" t="s">
        <v>21</v>
      </c>
      <c r="F44" s="111" t="s">
        <v>20</v>
      </c>
      <c r="G44" s="60" t="s">
        <v>22</v>
      </c>
      <c r="H44" s="39"/>
      <c r="I44" s="92"/>
      <c r="J44" s="39"/>
      <c r="K44" s="60" t="s">
        <v>22</v>
      </c>
      <c r="L44" s="39"/>
      <c r="M44" s="39"/>
      <c r="N44" s="60" t="s">
        <v>22</v>
      </c>
      <c r="O44" s="39"/>
      <c r="P44" s="91" t="s">
        <v>881</v>
      </c>
      <c r="Q44" s="39"/>
      <c r="R44" s="80" t="b">
        <f>IFERROR(__xludf.DUMMYFUNCTION("or(and(regexmatch(E44,""omission""),regexmatch(F44,""omission"")),and(regexmatch(E44,""hallucination""),regexmatch(F44,""hallucination"")))"),FALSE)</f>
        <v>0</v>
      </c>
      <c r="S44" s="60">
        <f>random_key!A33</f>
        <v>0.48600759</v>
      </c>
    </row>
    <row r="45">
      <c r="A45" s="39">
        <v>69.0</v>
      </c>
      <c r="B45" s="39" t="s">
        <v>207</v>
      </c>
      <c r="C45" s="39" t="s">
        <v>727</v>
      </c>
      <c r="D45" s="60" t="s">
        <v>209</v>
      </c>
      <c r="E45" s="110" t="s">
        <v>21</v>
      </c>
      <c r="F45" s="111" t="s">
        <v>31</v>
      </c>
      <c r="G45" s="39"/>
      <c r="H45" s="39"/>
      <c r="I45" s="92" t="s">
        <v>22</v>
      </c>
      <c r="J45" s="39"/>
      <c r="K45" s="39"/>
      <c r="L45" s="60" t="s">
        <v>22</v>
      </c>
      <c r="M45" s="60" t="s">
        <v>22</v>
      </c>
      <c r="N45" s="39"/>
      <c r="O45" s="39"/>
      <c r="P45" s="91" t="s">
        <v>895</v>
      </c>
      <c r="Q45" s="39"/>
      <c r="R45" s="80" t="b">
        <f>IFERROR(__xludf.DUMMYFUNCTION("or(and(regexmatch(E45,""omission""),regexmatch(F45,""omission"")),and(regexmatch(E45,""hallucination""),regexmatch(F45,""hallucination"")))"),FALSE)</f>
        <v>0</v>
      </c>
      <c r="S45" s="60">
        <f>random_key!A59</f>
        <v>0.4909575479</v>
      </c>
    </row>
    <row r="46">
      <c r="A46" s="39">
        <v>47.0</v>
      </c>
      <c r="B46" s="39" t="s">
        <v>155</v>
      </c>
      <c r="C46" s="39" t="s">
        <v>709</v>
      </c>
      <c r="D46" s="60" t="s">
        <v>157</v>
      </c>
      <c r="E46" s="79" t="s">
        <v>21</v>
      </c>
      <c r="F46" s="111" t="s">
        <v>20</v>
      </c>
      <c r="G46" s="60" t="s">
        <v>22</v>
      </c>
      <c r="H46" s="39"/>
      <c r="I46" s="92"/>
      <c r="J46" s="39"/>
      <c r="K46" s="60" t="s">
        <v>22</v>
      </c>
      <c r="L46" s="39"/>
      <c r="M46" s="39"/>
      <c r="N46" s="60" t="s">
        <v>22</v>
      </c>
      <c r="O46" s="39"/>
      <c r="P46" s="91" t="s">
        <v>868</v>
      </c>
      <c r="Q46" s="39"/>
      <c r="R46" s="80" t="b">
        <f>IFERROR(__xludf.DUMMYFUNCTION("or(and(regexmatch(E46,""omission""),regexmatch(F46,""omission"")),and(regexmatch(E46,""hallucination""),regexmatch(F46,""hallucination"")))"),FALSE)</f>
        <v>0</v>
      </c>
      <c r="S46" s="60">
        <f>random_key!A42</f>
        <v>0.5062348543</v>
      </c>
    </row>
    <row r="47">
      <c r="A47" s="39">
        <v>43.0</v>
      </c>
      <c r="B47" s="39" t="s">
        <v>143</v>
      </c>
      <c r="C47" s="39" t="s">
        <v>705</v>
      </c>
      <c r="D47" s="60" t="s">
        <v>145</v>
      </c>
      <c r="E47" s="110" t="s">
        <v>20</v>
      </c>
      <c r="F47" s="91" t="s">
        <v>21</v>
      </c>
      <c r="G47" s="39"/>
      <c r="H47" s="60" t="s">
        <v>22</v>
      </c>
      <c r="I47" s="92"/>
      <c r="J47" s="39"/>
      <c r="K47" s="39"/>
      <c r="L47" s="39"/>
      <c r="M47" s="39"/>
      <c r="N47" s="60" t="s">
        <v>22</v>
      </c>
      <c r="O47" s="39"/>
      <c r="P47" s="91" t="s">
        <v>863</v>
      </c>
      <c r="Q47" s="39"/>
      <c r="R47" s="80" t="b">
        <f>IFERROR(__xludf.DUMMYFUNCTION("or(and(regexmatch(E47,""omission""),regexmatch(F47,""omission"")),and(regexmatch(E47,""hallucination""),regexmatch(F47,""hallucination"")))"),FALSE)</f>
        <v>0</v>
      </c>
      <c r="S47" s="60">
        <f>random_key!A38</f>
        <v>0.5320225834</v>
      </c>
    </row>
    <row r="48">
      <c r="A48" s="39">
        <v>66.0</v>
      </c>
      <c r="B48" s="39" t="s">
        <v>202</v>
      </c>
      <c r="C48" s="39" t="s">
        <v>725</v>
      </c>
      <c r="D48" s="60" t="s">
        <v>204</v>
      </c>
      <c r="E48" s="79" t="s">
        <v>21</v>
      </c>
      <c r="F48" s="111" t="s">
        <v>20</v>
      </c>
      <c r="G48" s="60" t="s">
        <v>22</v>
      </c>
      <c r="H48" s="39"/>
      <c r="I48" s="92"/>
      <c r="J48" s="39"/>
      <c r="K48" s="60" t="s">
        <v>22</v>
      </c>
      <c r="L48" s="39"/>
      <c r="M48" s="39"/>
      <c r="N48" s="60" t="s">
        <v>22</v>
      </c>
      <c r="O48" s="39"/>
      <c r="P48" s="91" t="s">
        <v>894</v>
      </c>
      <c r="Q48" s="39"/>
      <c r="R48" s="80" t="b">
        <f>IFERROR(__xludf.DUMMYFUNCTION("or(and(regexmatch(E48,""omission""),regexmatch(F48,""omission"")),and(regexmatch(E48,""hallucination""),regexmatch(F48,""hallucination"")))"),FALSE)</f>
        <v>0</v>
      </c>
      <c r="S48" s="60">
        <f>random_key!A57</f>
        <v>0.5392406636</v>
      </c>
    </row>
    <row r="49">
      <c r="A49" s="39">
        <v>113.0</v>
      </c>
      <c r="B49" s="39" t="s">
        <v>318</v>
      </c>
      <c r="C49" s="39" t="s">
        <v>759</v>
      </c>
      <c r="D49" s="39" t="s">
        <v>95</v>
      </c>
      <c r="E49" s="79" t="s">
        <v>21</v>
      </c>
      <c r="F49" s="111" t="s">
        <v>20</v>
      </c>
      <c r="G49" s="60" t="s">
        <v>22</v>
      </c>
      <c r="H49" s="39"/>
      <c r="I49" s="92"/>
      <c r="J49" s="39"/>
      <c r="K49" s="60" t="s">
        <v>22</v>
      </c>
      <c r="L49" s="39"/>
      <c r="M49" s="39"/>
      <c r="N49" s="60" t="s">
        <v>22</v>
      </c>
      <c r="O49" s="39"/>
      <c r="P49" s="91" t="s">
        <v>912</v>
      </c>
      <c r="Q49" s="39"/>
      <c r="R49" s="80" t="b">
        <f>IFERROR(__xludf.DUMMYFUNCTION("or(and(regexmatch(E49,""omission""),regexmatch(F49,""omission"")),and(regexmatch(E49,""hallucination""),regexmatch(F49,""hallucination"")))"),FALSE)</f>
        <v>0</v>
      </c>
      <c r="S49" s="60">
        <f>random_key!A95</f>
        <v>0.5528709074</v>
      </c>
    </row>
    <row r="50">
      <c r="A50" s="39">
        <v>9.0</v>
      </c>
      <c r="B50" s="39" t="s">
        <v>46</v>
      </c>
      <c r="C50" s="39" t="s">
        <v>670</v>
      </c>
      <c r="D50" s="60" t="s">
        <v>48</v>
      </c>
      <c r="E50" s="79" t="s">
        <v>31</v>
      </c>
      <c r="F50" s="111" t="s">
        <v>21</v>
      </c>
      <c r="G50" s="60" t="s">
        <v>22</v>
      </c>
      <c r="H50" s="39"/>
      <c r="I50" s="92"/>
      <c r="J50" s="39"/>
      <c r="K50" s="39"/>
      <c r="L50" s="39"/>
      <c r="M50" s="60" t="s">
        <v>22</v>
      </c>
      <c r="N50" s="39"/>
      <c r="O50" s="39"/>
      <c r="P50" s="91" t="s">
        <v>869</v>
      </c>
      <c r="Q50" s="39"/>
      <c r="R50" s="80" t="b">
        <f>IFERROR(__xludf.DUMMYFUNCTION("or(and(regexmatch(E50,""omission""),regexmatch(F50,""omission"")),and(regexmatch(E50,""hallucination""),regexmatch(F50,""hallucination"")))"),FALSE)</f>
        <v>0</v>
      </c>
      <c r="S50" s="60">
        <f>random_key!A8</f>
        <v>0.554984421</v>
      </c>
    </row>
    <row r="51">
      <c r="A51" s="39">
        <v>12.0</v>
      </c>
      <c r="B51" s="39" t="s">
        <v>55</v>
      </c>
      <c r="C51" s="39" t="s">
        <v>673</v>
      </c>
      <c r="D51" s="60" t="s">
        <v>57</v>
      </c>
      <c r="E51" s="110" t="s">
        <v>31</v>
      </c>
      <c r="F51" s="91" t="s">
        <v>21</v>
      </c>
      <c r="G51" s="39"/>
      <c r="H51" s="60" t="s">
        <v>22</v>
      </c>
      <c r="I51" s="92"/>
      <c r="J51" s="39"/>
      <c r="K51" s="39"/>
      <c r="L51" s="39"/>
      <c r="M51" s="39"/>
      <c r="N51" s="39"/>
      <c r="O51" s="60" t="s">
        <v>22</v>
      </c>
      <c r="P51" s="91" t="s">
        <v>865</v>
      </c>
      <c r="Q51" s="39"/>
      <c r="R51" s="80" t="b">
        <f>IFERROR(__xludf.DUMMYFUNCTION("or(and(regexmatch(E51,""omission""),regexmatch(F51,""omission"")),and(regexmatch(E51,""hallucination""),regexmatch(F51,""hallucination"")))"),FALSE)</f>
        <v>0</v>
      </c>
      <c r="S51" s="60">
        <f>random_key!A11</f>
        <v>0.5740921633</v>
      </c>
    </row>
    <row r="52">
      <c r="A52" s="39">
        <v>17.0</v>
      </c>
      <c r="B52" s="39" t="s">
        <v>72</v>
      </c>
      <c r="C52" s="39" t="s">
        <v>679</v>
      </c>
      <c r="D52" s="60" t="s">
        <v>74</v>
      </c>
      <c r="E52" s="110" t="s">
        <v>20</v>
      </c>
      <c r="F52" s="91" t="s">
        <v>21</v>
      </c>
      <c r="G52" s="39"/>
      <c r="H52" s="60" t="s">
        <v>22</v>
      </c>
      <c r="I52" s="92"/>
      <c r="J52" s="39"/>
      <c r="K52" s="39"/>
      <c r="L52" s="39"/>
      <c r="M52" s="39"/>
      <c r="N52" s="60" t="s">
        <v>22</v>
      </c>
      <c r="O52" s="39"/>
      <c r="P52" s="91" t="s">
        <v>873</v>
      </c>
      <c r="Q52" s="39"/>
      <c r="R52" s="80" t="b">
        <f>IFERROR(__xludf.DUMMYFUNCTION("or(and(regexmatch(E52,""omission""),regexmatch(F52,""omission"")),and(regexmatch(E52,""hallucination""),regexmatch(F52,""hallucination"")))"),FALSE)</f>
        <v>0</v>
      </c>
      <c r="S52" s="60">
        <f>random_key!A16</f>
        <v>0.5758198613</v>
      </c>
    </row>
    <row r="53">
      <c r="A53" s="39">
        <v>14.0</v>
      </c>
      <c r="B53" s="39" t="s">
        <v>62</v>
      </c>
      <c r="C53" s="39" t="s">
        <v>676</v>
      </c>
      <c r="D53" s="60" t="s">
        <v>64</v>
      </c>
      <c r="E53" s="110" t="s">
        <v>20</v>
      </c>
      <c r="F53" s="91" t="s">
        <v>26</v>
      </c>
      <c r="G53" s="39"/>
      <c r="H53" s="60" t="s">
        <v>22</v>
      </c>
      <c r="I53" s="92"/>
      <c r="J53" s="39"/>
      <c r="K53" s="39"/>
      <c r="L53" s="39"/>
      <c r="M53" s="60" t="s">
        <v>22</v>
      </c>
      <c r="N53" s="39"/>
      <c r="O53" s="39"/>
      <c r="P53" s="91" t="s">
        <v>872</v>
      </c>
      <c r="Q53" s="39"/>
      <c r="R53" s="80" t="b">
        <f>IFERROR(__xludf.DUMMYFUNCTION("or(and(regexmatch(E53,""omission""),regexmatch(F53,""omission"")),and(regexmatch(E53,""hallucination""),regexmatch(F53,""hallucination"")))"),TRUE)</f>
        <v>1</v>
      </c>
      <c r="S53" s="60">
        <f>random_key!A13</f>
        <v>0.5806079571</v>
      </c>
    </row>
    <row r="54">
      <c r="A54" s="39">
        <v>99.0</v>
      </c>
      <c r="B54" s="39" t="s">
        <v>281</v>
      </c>
      <c r="C54" s="39" t="s">
        <v>747</v>
      </c>
      <c r="D54" s="60" t="s">
        <v>57</v>
      </c>
      <c r="E54" s="110" t="s">
        <v>31</v>
      </c>
      <c r="F54" s="91" t="s">
        <v>21</v>
      </c>
      <c r="G54" s="39"/>
      <c r="H54" s="60" t="s">
        <v>22</v>
      </c>
      <c r="I54" s="92"/>
      <c r="J54" s="39"/>
      <c r="K54" s="39"/>
      <c r="L54" s="39"/>
      <c r="M54" s="39"/>
      <c r="N54" s="39"/>
      <c r="O54" s="60" t="s">
        <v>22</v>
      </c>
      <c r="P54" s="91" t="s">
        <v>865</v>
      </c>
      <c r="Q54" s="39"/>
      <c r="R54" s="80" t="b">
        <f>IFERROR(__xludf.DUMMYFUNCTION("or(and(regexmatch(E54,""omission""),regexmatch(F54,""omission"")),and(regexmatch(E54,""hallucination""),regexmatch(F54,""hallucination"")))"),FALSE)</f>
        <v>0</v>
      </c>
      <c r="S54" s="60">
        <f>random_key!A83</f>
        <v>0.5810969474</v>
      </c>
    </row>
    <row r="55">
      <c r="A55" s="93">
        <v>118.0</v>
      </c>
      <c r="B55" s="39" t="s">
        <v>336</v>
      </c>
      <c r="C55" s="39" t="s">
        <v>765</v>
      </c>
      <c r="D55" s="60" t="s">
        <v>338</v>
      </c>
      <c r="E55" s="110" t="s">
        <v>26</v>
      </c>
      <c r="F55" s="91" t="s">
        <v>21</v>
      </c>
      <c r="G55" s="39"/>
      <c r="H55" s="60" t="s">
        <v>22</v>
      </c>
      <c r="I55" s="80"/>
      <c r="J55" s="60"/>
      <c r="K55" s="60"/>
      <c r="L55" s="60"/>
      <c r="M55" s="60"/>
      <c r="N55" s="60" t="s">
        <v>22</v>
      </c>
      <c r="O55" s="60" t="s">
        <v>22</v>
      </c>
      <c r="P55" s="91" t="s">
        <v>914</v>
      </c>
      <c r="Q55" s="39"/>
      <c r="R55" s="80" t="b">
        <f>IFERROR(__xludf.DUMMYFUNCTION("or(and(regexmatch(E55,""omission""),regexmatch(F55,""omission"")),and(regexmatch(E55,""hallucination""),regexmatch(F55,""hallucination"")))"),FALSE)</f>
        <v>0</v>
      </c>
      <c r="S55" s="60">
        <f>random_key!A100</f>
        <v>0.5847508866</v>
      </c>
    </row>
    <row r="56">
      <c r="A56" s="39">
        <v>19.0</v>
      </c>
      <c r="B56" s="39" t="s">
        <v>78</v>
      </c>
      <c r="C56" s="39" t="s">
        <v>681</v>
      </c>
      <c r="D56" s="60" t="s">
        <v>80</v>
      </c>
      <c r="E56" s="110" t="s">
        <v>20</v>
      </c>
      <c r="F56" s="111" t="s">
        <v>21</v>
      </c>
      <c r="G56" s="39"/>
      <c r="H56" s="39"/>
      <c r="I56" s="92" t="s">
        <v>22</v>
      </c>
      <c r="J56" s="39"/>
      <c r="K56" s="39"/>
      <c r="L56" s="39"/>
      <c r="M56" s="60" t="s">
        <v>22</v>
      </c>
      <c r="N56" s="39"/>
      <c r="O56" s="39"/>
      <c r="P56" s="91" t="s">
        <v>875</v>
      </c>
      <c r="Q56" s="39"/>
      <c r="R56" s="80" t="b">
        <f>IFERROR(__xludf.DUMMYFUNCTION("or(and(regexmatch(E56,""omission""),regexmatch(F56,""omission"")),and(regexmatch(E56,""hallucination""),regexmatch(F56,""hallucination"")))"),FALSE)</f>
        <v>0</v>
      </c>
      <c r="S56" s="60">
        <f>random_key!A18</f>
        <v>0.586809022</v>
      </c>
    </row>
    <row r="57">
      <c r="A57" s="93">
        <v>117.0</v>
      </c>
      <c r="B57" s="39" t="s">
        <v>333</v>
      </c>
      <c r="C57" s="39" t="s">
        <v>764</v>
      </c>
      <c r="D57" s="39" t="s">
        <v>110</v>
      </c>
      <c r="E57" s="79" t="s">
        <v>26</v>
      </c>
      <c r="F57" s="111" t="s">
        <v>20</v>
      </c>
      <c r="G57" s="60" t="s">
        <v>22</v>
      </c>
      <c r="H57" s="39"/>
      <c r="I57" s="92"/>
      <c r="J57" s="39"/>
      <c r="K57" s="60" t="s">
        <v>22</v>
      </c>
      <c r="L57" s="39"/>
      <c r="M57" s="60" t="s">
        <v>22</v>
      </c>
      <c r="N57" s="39"/>
      <c r="O57" s="39"/>
      <c r="P57" s="91" t="s">
        <v>916</v>
      </c>
      <c r="Q57" s="39"/>
      <c r="R57" s="80" t="b">
        <f>IFERROR(__xludf.DUMMYFUNCTION("or(and(regexmatch(E57,""omission""),regexmatch(F57,""omission"")),and(regexmatch(E57,""hallucination""),regexmatch(F57,""hallucination"")))"),TRUE)</f>
        <v>1</v>
      </c>
      <c r="S57" s="60">
        <f>random_key!A99</f>
        <v>0.5960798585</v>
      </c>
    </row>
    <row r="58">
      <c r="A58" s="39">
        <v>2.0</v>
      </c>
      <c r="B58" s="39" t="s">
        <v>17</v>
      </c>
      <c r="C58" s="39" t="s">
        <v>662</v>
      </c>
      <c r="D58" s="60" t="s">
        <v>19</v>
      </c>
      <c r="E58" s="110" t="s">
        <v>20</v>
      </c>
      <c r="F58" s="91" t="s">
        <v>21</v>
      </c>
      <c r="G58" s="39"/>
      <c r="H58" s="60" t="s">
        <v>22</v>
      </c>
      <c r="I58" s="92"/>
      <c r="J58" s="39"/>
      <c r="K58" s="39"/>
      <c r="L58" s="39"/>
      <c r="M58" s="39"/>
      <c r="N58" s="60" t="s">
        <v>22</v>
      </c>
      <c r="O58" s="39"/>
      <c r="P58" s="91" t="s">
        <v>863</v>
      </c>
      <c r="Q58" s="39"/>
      <c r="R58" s="80" t="b">
        <f>IFERROR(__xludf.DUMMYFUNCTION("or(and(regexmatch(E58,""omission""),regexmatch(F58,""omission"")),and(regexmatch(E58,""hallucination""),regexmatch(F58,""hallucination"")))"),FALSE)</f>
        <v>0</v>
      </c>
      <c r="S58" s="60">
        <f>random_key!A1</f>
        <v>0.6058113928</v>
      </c>
    </row>
    <row r="59">
      <c r="A59" s="39">
        <v>30.0</v>
      </c>
      <c r="B59" s="39" t="s">
        <v>112</v>
      </c>
      <c r="C59" s="39" t="s">
        <v>694</v>
      </c>
      <c r="D59" s="60" t="s">
        <v>114</v>
      </c>
      <c r="E59" s="79" t="s">
        <v>21</v>
      </c>
      <c r="F59" s="111" t="s">
        <v>20</v>
      </c>
      <c r="G59" s="60" t="s">
        <v>22</v>
      </c>
      <c r="H59" s="39"/>
      <c r="I59" s="92"/>
      <c r="J59" s="39"/>
      <c r="K59" s="60" t="s">
        <v>22</v>
      </c>
      <c r="L59" s="39"/>
      <c r="M59" s="39"/>
      <c r="N59" s="60" t="s">
        <v>22</v>
      </c>
      <c r="O59" s="39"/>
      <c r="P59" s="91" t="s">
        <v>868</v>
      </c>
      <c r="Q59" s="39"/>
      <c r="R59" s="80" t="b">
        <f>IFERROR(__xludf.DUMMYFUNCTION("or(and(regexmatch(E59,""omission""),regexmatch(F59,""omission"")),and(regexmatch(E59,""hallucination""),regexmatch(F59,""hallucination"")))"),FALSE)</f>
        <v>0</v>
      </c>
      <c r="S59" s="60">
        <f>random_key!A28</f>
        <v>0.6095717857</v>
      </c>
    </row>
    <row r="60">
      <c r="A60" s="39">
        <v>28.0</v>
      </c>
      <c r="B60" s="39" t="s">
        <v>105</v>
      </c>
      <c r="C60" s="39" t="s">
        <v>692</v>
      </c>
      <c r="D60" s="60" t="s">
        <v>107</v>
      </c>
      <c r="E60" s="110" t="s">
        <v>31</v>
      </c>
      <c r="F60" s="91" t="s">
        <v>21</v>
      </c>
      <c r="G60" s="39"/>
      <c r="H60" s="60" t="s">
        <v>22</v>
      </c>
      <c r="I60" s="92"/>
      <c r="J60" s="39"/>
      <c r="K60" s="39"/>
      <c r="L60" s="39"/>
      <c r="M60" s="39"/>
      <c r="N60" s="39"/>
      <c r="O60" s="60" t="s">
        <v>22</v>
      </c>
      <c r="P60" s="91" t="s">
        <v>865</v>
      </c>
      <c r="Q60" s="39"/>
      <c r="R60" s="80" t="b">
        <f>IFERROR(__xludf.DUMMYFUNCTION("or(and(regexmatch(E60,""omission""),regexmatch(F60,""omission"")),and(regexmatch(E60,""hallucination""),regexmatch(F60,""hallucination"")))"),FALSE)</f>
        <v>0</v>
      </c>
      <c r="S60" s="60">
        <f>random_key!A26</f>
        <v>0.6126845745</v>
      </c>
    </row>
    <row r="61">
      <c r="A61" s="39">
        <v>73.0</v>
      </c>
      <c r="B61" s="39" t="s">
        <v>218</v>
      </c>
      <c r="C61" s="39" t="s">
        <v>730</v>
      </c>
      <c r="D61" s="60" t="s">
        <v>220</v>
      </c>
      <c r="E61" s="110" t="s">
        <v>20</v>
      </c>
      <c r="F61" s="91" t="s">
        <v>21</v>
      </c>
      <c r="G61" s="39"/>
      <c r="H61" s="60" t="s">
        <v>22</v>
      </c>
      <c r="I61" s="92"/>
      <c r="J61" s="39"/>
      <c r="K61" s="39"/>
      <c r="L61" s="39"/>
      <c r="M61" s="39"/>
      <c r="N61" s="60" t="s">
        <v>22</v>
      </c>
      <c r="O61" s="39"/>
      <c r="P61" s="91" t="s">
        <v>863</v>
      </c>
      <c r="Q61" s="39"/>
      <c r="R61" s="80" t="b">
        <f>IFERROR(__xludf.DUMMYFUNCTION("or(and(regexmatch(E61,""omission""),regexmatch(F61,""omission"")),and(regexmatch(E61,""hallucination""),regexmatch(F61,""hallucination"")))"),FALSE)</f>
        <v>0</v>
      </c>
      <c r="S61" s="60">
        <f>random_key!A63</f>
        <v>0.6156882262</v>
      </c>
    </row>
    <row r="62">
      <c r="A62" s="39">
        <v>75.0</v>
      </c>
      <c r="B62" s="39" t="s">
        <v>225</v>
      </c>
      <c r="C62" s="39" t="s">
        <v>733</v>
      </c>
      <c r="D62" s="60" t="s">
        <v>227</v>
      </c>
      <c r="E62" s="79" t="s">
        <v>21</v>
      </c>
      <c r="F62" s="111" t="s">
        <v>20</v>
      </c>
      <c r="G62" s="60" t="s">
        <v>22</v>
      </c>
      <c r="H62" s="39"/>
      <c r="I62" s="92"/>
      <c r="J62" s="39"/>
      <c r="K62" s="60" t="s">
        <v>22</v>
      </c>
      <c r="L62" s="39"/>
      <c r="M62" s="39"/>
      <c r="N62" s="60" t="s">
        <v>22</v>
      </c>
      <c r="O62" s="39"/>
      <c r="P62" s="91" t="s">
        <v>894</v>
      </c>
      <c r="Q62" s="39"/>
      <c r="R62" s="80" t="b">
        <f>IFERROR(__xludf.DUMMYFUNCTION("or(and(regexmatch(E62,""omission""),regexmatch(F62,""omission"")),and(regexmatch(E62,""hallucination""),regexmatch(F62,""hallucination"")))"),FALSE)</f>
        <v>0</v>
      </c>
      <c r="S62" s="60">
        <f>random_key!A65</f>
        <v>0.6172641741</v>
      </c>
    </row>
    <row r="63">
      <c r="A63" s="39">
        <v>57.0</v>
      </c>
      <c r="B63" s="39" t="s">
        <v>182</v>
      </c>
      <c r="C63" s="39" t="s">
        <v>718</v>
      </c>
      <c r="D63" s="60" t="s">
        <v>184</v>
      </c>
      <c r="E63" s="79" t="s">
        <v>21</v>
      </c>
      <c r="F63" s="111" t="s">
        <v>20</v>
      </c>
      <c r="G63" s="60" t="s">
        <v>22</v>
      </c>
      <c r="H63" s="39"/>
      <c r="I63" s="92"/>
      <c r="J63" s="39"/>
      <c r="K63" s="60" t="s">
        <v>22</v>
      </c>
      <c r="L63" s="39"/>
      <c r="M63" s="39"/>
      <c r="N63" s="60" t="s">
        <v>22</v>
      </c>
      <c r="O63" s="39"/>
      <c r="P63" s="91" t="s">
        <v>889</v>
      </c>
      <c r="Q63" s="39"/>
      <c r="R63" s="80" t="b">
        <f>IFERROR(__xludf.DUMMYFUNCTION("or(and(regexmatch(E63,""omission""),regexmatch(F63,""omission"")),and(regexmatch(E63,""hallucination""),regexmatch(F63,""hallucination"")))"),FALSE)</f>
        <v>0</v>
      </c>
      <c r="S63" s="60">
        <f>random_key!A50</f>
        <v>0.6196514827</v>
      </c>
    </row>
    <row r="64">
      <c r="A64" s="39">
        <v>40.0</v>
      </c>
      <c r="B64" s="39" t="s">
        <v>133</v>
      </c>
      <c r="C64" s="39" t="s">
        <v>688</v>
      </c>
      <c r="D64" s="60" t="s">
        <v>134</v>
      </c>
      <c r="E64" s="110" t="s">
        <v>31</v>
      </c>
      <c r="F64" s="91" t="s">
        <v>21</v>
      </c>
      <c r="G64" s="39"/>
      <c r="H64" s="60" t="s">
        <v>22</v>
      </c>
      <c r="I64" s="92"/>
      <c r="J64" s="39"/>
      <c r="K64" s="39"/>
      <c r="L64" s="39"/>
      <c r="M64" s="39"/>
      <c r="N64" s="39"/>
      <c r="O64" s="60" t="s">
        <v>22</v>
      </c>
      <c r="P64" s="91" t="s">
        <v>865</v>
      </c>
      <c r="Q64" s="39"/>
      <c r="R64" s="80" t="b">
        <f>IFERROR(__xludf.DUMMYFUNCTION("or(and(regexmatch(E64,""omission""),regexmatch(F64,""omission"")),and(regexmatch(E64,""hallucination""),regexmatch(F64,""hallucination"")))"),FALSE)</f>
        <v>0</v>
      </c>
      <c r="S64" s="60">
        <f>random_key!A35</f>
        <v>0.6326865327</v>
      </c>
    </row>
    <row r="65">
      <c r="A65" s="39">
        <v>61.0</v>
      </c>
      <c r="B65" s="39" t="s">
        <v>191</v>
      </c>
      <c r="C65" s="39" t="s">
        <v>721</v>
      </c>
      <c r="D65" s="60" t="s">
        <v>64</v>
      </c>
      <c r="E65" s="110" t="s">
        <v>20</v>
      </c>
      <c r="F65" s="91" t="s">
        <v>26</v>
      </c>
      <c r="G65" s="39"/>
      <c r="H65" s="60" t="s">
        <v>22</v>
      </c>
      <c r="I65" s="92"/>
      <c r="J65" s="39"/>
      <c r="K65" s="39"/>
      <c r="L65" s="39"/>
      <c r="M65" s="60" t="s">
        <v>22</v>
      </c>
      <c r="N65" s="39"/>
      <c r="O65" s="39"/>
      <c r="P65" s="91" t="s">
        <v>891</v>
      </c>
      <c r="Q65" s="39"/>
      <c r="R65" s="80" t="b">
        <f>IFERROR(__xludf.DUMMYFUNCTION("or(and(regexmatch(E65,""omission""),regexmatch(F65,""omission"")),and(regexmatch(E65,""hallucination""),regexmatch(F65,""hallucination"")))"),TRUE)</f>
        <v>1</v>
      </c>
      <c r="S65" s="60">
        <f>random_key!A53</f>
        <v>0.6338566744</v>
      </c>
    </row>
    <row r="66">
      <c r="A66" s="39">
        <v>76.0</v>
      </c>
      <c r="B66" s="39" t="s">
        <v>228</v>
      </c>
      <c r="C66" s="39" t="s">
        <v>734</v>
      </c>
      <c r="D66" s="60" t="s">
        <v>212</v>
      </c>
      <c r="E66" s="110" t="s">
        <v>20</v>
      </c>
      <c r="F66" s="91" t="s">
        <v>21</v>
      </c>
      <c r="G66" s="39"/>
      <c r="H66" s="60" t="s">
        <v>22</v>
      </c>
      <c r="I66" s="92"/>
      <c r="J66" s="39"/>
      <c r="K66" s="39"/>
      <c r="L66" s="39"/>
      <c r="M66" s="39"/>
      <c r="N66" s="60" t="s">
        <v>22</v>
      </c>
      <c r="O66" s="39"/>
      <c r="P66" s="91" t="s">
        <v>863</v>
      </c>
      <c r="Q66" s="39"/>
      <c r="R66" s="80" t="b">
        <f>IFERROR(__xludf.DUMMYFUNCTION("or(and(regexmatch(E66,""omission""),regexmatch(F66,""omission"")),and(regexmatch(E66,""hallucination""),regexmatch(F66,""hallucination"")))"),FALSE)</f>
        <v>0</v>
      </c>
      <c r="S66" s="60">
        <f>random_key!A66</f>
        <v>0.6338980481</v>
      </c>
    </row>
    <row r="67">
      <c r="A67" s="39">
        <v>79.0</v>
      </c>
      <c r="B67" s="39" t="s">
        <v>236</v>
      </c>
      <c r="C67" s="39" t="s">
        <v>715</v>
      </c>
      <c r="D67" s="60" t="s">
        <v>25</v>
      </c>
      <c r="E67" s="79" t="s">
        <v>21</v>
      </c>
      <c r="F67" s="111" t="s">
        <v>20</v>
      </c>
      <c r="G67" s="60" t="s">
        <v>22</v>
      </c>
      <c r="H67" s="39"/>
      <c r="I67" s="92"/>
      <c r="J67" s="39"/>
      <c r="K67" s="60" t="s">
        <v>22</v>
      </c>
      <c r="L67" s="39"/>
      <c r="M67" s="39"/>
      <c r="N67" s="60" t="s">
        <v>22</v>
      </c>
      <c r="O67" s="39"/>
      <c r="P67" s="91" t="s">
        <v>899</v>
      </c>
      <c r="Q67" s="39"/>
      <c r="R67" s="80" t="b">
        <f>IFERROR(__xludf.DUMMYFUNCTION("or(and(regexmatch(E67,""omission""),regexmatch(F67,""omission"")),and(regexmatch(E67,""hallucination""),regexmatch(F67,""hallucination"")))"),FALSE)</f>
        <v>0</v>
      </c>
      <c r="S67" s="60">
        <f>random_key!A69</f>
        <v>0.6380938099</v>
      </c>
    </row>
    <row r="68">
      <c r="A68" s="39">
        <v>89.0</v>
      </c>
      <c r="B68" s="39" t="s">
        <v>256</v>
      </c>
      <c r="C68" s="39" t="s">
        <v>688</v>
      </c>
      <c r="D68" s="60" t="s">
        <v>220</v>
      </c>
      <c r="E68" s="110" t="s">
        <v>31</v>
      </c>
      <c r="F68" s="91" t="s">
        <v>21</v>
      </c>
      <c r="G68" s="39"/>
      <c r="H68" s="60" t="s">
        <v>22</v>
      </c>
      <c r="I68" s="92"/>
      <c r="J68" s="39"/>
      <c r="K68" s="39"/>
      <c r="L68" s="39"/>
      <c r="M68" s="39"/>
      <c r="N68" s="39"/>
      <c r="O68" s="60" t="s">
        <v>22</v>
      </c>
      <c r="P68" s="91" t="s">
        <v>865</v>
      </c>
      <c r="Q68" s="39"/>
      <c r="R68" s="80" t="b">
        <f>IFERROR(__xludf.DUMMYFUNCTION("or(and(regexmatch(E68,""omission""),regexmatch(F68,""omission"")),and(regexmatch(E68,""hallucination""),regexmatch(F68,""hallucination"")))"),FALSE)</f>
        <v>0</v>
      </c>
      <c r="S68" s="60">
        <f>random_key!A75</f>
        <v>0.647923742</v>
      </c>
    </row>
    <row r="69">
      <c r="A69" s="39">
        <v>67.0</v>
      </c>
      <c r="B69" s="39" t="s">
        <v>205</v>
      </c>
      <c r="C69" s="39" t="s">
        <v>726</v>
      </c>
      <c r="D69" s="60" t="s">
        <v>64</v>
      </c>
      <c r="E69" s="110" t="s">
        <v>26</v>
      </c>
      <c r="F69" s="91" t="s">
        <v>20</v>
      </c>
      <c r="G69" s="39"/>
      <c r="H69" s="60" t="s">
        <v>22</v>
      </c>
      <c r="I69" s="92"/>
      <c r="J69" s="39"/>
      <c r="K69" s="39"/>
      <c r="L69" s="39"/>
      <c r="M69" s="39"/>
      <c r="N69" s="39"/>
      <c r="O69" s="60" t="s">
        <v>22</v>
      </c>
      <c r="P69" s="91" t="s">
        <v>865</v>
      </c>
      <c r="Q69" s="39"/>
      <c r="R69" s="80" t="b">
        <f>IFERROR(__xludf.DUMMYFUNCTION("or(and(regexmatch(E69,""omission""),regexmatch(F69,""omission"")),and(regexmatch(E69,""hallucination""),regexmatch(F69,""hallucination"")))"),TRUE)</f>
        <v>1</v>
      </c>
      <c r="S69" s="60">
        <f>random_key!A58</f>
        <v>0.6700016504</v>
      </c>
    </row>
    <row r="70">
      <c r="A70" s="39">
        <v>13.0</v>
      </c>
      <c r="B70" s="39" t="s">
        <v>58</v>
      </c>
      <c r="C70" s="39" t="s">
        <v>674</v>
      </c>
      <c r="D70" s="60" t="s">
        <v>60</v>
      </c>
      <c r="E70" s="110" t="s">
        <v>20</v>
      </c>
      <c r="F70" s="111" t="s">
        <v>21</v>
      </c>
      <c r="G70" s="39"/>
      <c r="H70" s="39"/>
      <c r="I70" s="92" t="s">
        <v>22</v>
      </c>
      <c r="J70" s="39"/>
      <c r="K70" s="39"/>
      <c r="L70" s="60" t="s">
        <v>22</v>
      </c>
      <c r="M70" s="60" t="s">
        <v>22</v>
      </c>
      <c r="N70" s="39"/>
      <c r="O70" s="39"/>
      <c r="P70" s="91" t="s">
        <v>871</v>
      </c>
      <c r="Q70" s="39"/>
      <c r="R70" s="80" t="b">
        <f>IFERROR(__xludf.DUMMYFUNCTION("or(and(regexmatch(E70,""omission""),regexmatch(F70,""omission"")),and(regexmatch(E70,""hallucination""),regexmatch(F70,""hallucination"")))"),FALSE)</f>
        <v>0</v>
      </c>
      <c r="S70" s="60">
        <f>random_key!A12</f>
        <v>0.6836740545</v>
      </c>
    </row>
    <row r="71">
      <c r="A71" s="39">
        <v>11.0</v>
      </c>
      <c r="B71" s="39" t="s">
        <v>52</v>
      </c>
      <c r="C71" s="39" t="s">
        <v>672</v>
      </c>
      <c r="D71" s="60" t="s">
        <v>54</v>
      </c>
      <c r="E71" s="110" t="s">
        <v>20</v>
      </c>
      <c r="F71" s="111" t="s">
        <v>21</v>
      </c>
      <c r="G71" s="39"/>
      <c r="H71" s="39"/>
      <c r="I71" s="92" t="s">
        <v>22</v>
      </c>
      <c r="J71" s="39"/>
      <c r="K71" s="39"/>
      <c r="L71" s="39"/>
      <c r="M71" s="60" t="s">
        <v>22</v>
      </c>
      <c r="N71" s="39"/>
      <c r="O71" s="39"/>
      <c r="P71" s="91" t="s">
        <v>870</v>
      </c>
      <c r="Q71" s="39"/>
      <c r="R71" s="80" t="b">
        <f>IFERROR(__xludf.DUMMYFUNCTION("or(and(regexmatch(E71,""omission""),regexmatch(F71,""omission"")),and(regexmatch(E71,""hallucination""),regexmatch(F71,""hallucination"")))"),FALSE)</f>
        <v>0</v>
      </c>
      <c r="S71" s="60">
        <f>random_key!A10</f>
        <v>0.6919815096</v>
      </c>
    </row>
    <row r="72">
      <c r="A72" s="39">
        <v>44.0</v>
      </c>
      <c r="B72" s="39" t="s">
        <v>146</v>
      </c>
      <c r="C72" s="39" t="s">
        <v>706</v>
      </c>
      <c r="D72" s="60" t="s">
        <v>148</v>
      </c>
      <c r="E72" s="79" t="s">
        <v>21</v>
      </c>
      <c r="F72" s="111" t="s">
        <v>20</v>
      </c>
      <c r="G72" s="60" t="s">
        <v>22</v>
      </c>
      <c r="H72" s="39"/>
      <c r="I72" s="92"/>
      <c r="J72" s="39"/>
      <c r="K72" s="60" t="s">
        <v>22</v>
      </c>
      <c r="L72" s="39"/>
      <c r="M72" s="39"/>
      <c r="N72" s="60" t="s">
        <v>22</v>
      </c>
      <c r="O72" s="39"/>
      <c r="P72" s="91" t="s">
        <v>868</v>
      </c>
      <c r="Q72" s="39"/>
      <c r="R72" s="80" t="b">
        <f>IFERROR(__xludf.DUMMYFUNCTION("or(and(regexmatch(E72,""omission""),regexmatch(F72,""omission"")),and(regexmatch(E72,""hallucination""),regexmatch(F72,""hallucination"")))"),FALSE)</f>
        <v>0</v>
      </c>
      <c r="S72" s="60">
        <f>random_key!A39</f>
        <v>0.695756292</v>
      </c>
    </row>
    <row r="73">
      <c r="A73" s="39">
        <v>80.0</v>
      </c>
      <c r="B73" s="39" t="s">
        <v>237</v>
      </c>
      <c r="C73" s="39" t="s">
        <v>673</v>
      </c>
      <c r="D73" s="60" t="s">
        <v>238</v>
      </c>
      <c r="E73" s="110" t="s">
        <v>31</v>
      </c>
      <c r="F73" s="91" t="s">
        <v>21</v>
      </c>
      <c r="G73" s="39"/>
      <c r="H73" s="60" t="s">
        <v>22</v>
      </c>
      <c r="I73" s="92"/>
      <c r="J73" s="39"/>
      <c r="K73" s="39"/>
      <c r="L73" s="39"/>
      <c r="M73" s="39"/>
      <c r="N73" s="39"/>
      <c r="O73" s="60" t="s">
        <v>22</v>
      </c>
      <c r="P73" s="91" t="s">
        <v>865</v>
      </c>
      <c r="Q73" s="39"/>
      <c r="R73" s="80" t="b">
        <f>IFERROR(__xludf.DUMMYFUNCTION("or(and(regexmatch(E73,""omission""),regexmatch(F73,""omission"")),and(regexmatch(E73,""hallucination""),regexmatch(F73,""hallucination"")))"),FALSE)</f>
        <v>0</v>
      </c>
      <c r="S73" s="60">
        <f>random_key!A70</f>
        <v>0.7004230169</v>
      </c>
    </row>
    <row r="74">
      <c r="A74" s="39">
        <v>33.0</v>
      </c>
      <c r="B74" s="39" t="s">
        <v>118</v>
      </c>
      <c r="C74" s="39" t="s">
        <v>696</v>
      </c>
      <c r="D74" s="60" t="s">
        <v>120</v>
      </c>
      <c r="E74" s="79" t="s">
        <v>21</v>
      </c>
      <c r="F74" s="111" t="s">
        <v>20</v>
      </c>
      <c r="G74" s="60" t="s">
        <v>22</v>
      </c>
      <c r="H74" s="39"/>
      <c r="I74" s="92"/>
      <c r="J74" s="39"/>
      <c r="K74" s="60" t="s">
        <v>22</v>
      </c>
      <c r="L74" s="39"/>
      <c r="M74" s="39"/>
      <c r="N74" s="60" t="s">
        <v>22</v>
      </c>
      <c r="O74" s="39"/>
      <c r="P74" s="91" t="s">
        <v>879</v>
      </c>
      <c r="Q74" s="39"/>
      <c r="R74" s="80" t="b">
        <f>IFERROR(__xludf.DUMMYFUNCTION("or(and(regexmatch(E74,""omission""),regexmatch(F74,""omission"")),and(regexmatch(E74,""hallucination""),regexmatch(F74,""hallucination"")))"),FALSE)</f>
        <v>0</v>
      </c>
      <c r="S74" s="60">
        <f>random_key!A30</f>
        <v>0.723421083</v>
      </c>
    </row>
    <row r="75">
      <c r="A75" s="39">
        <v>106.0</v>
      </c>
      <c r="B75" s="39" t="s">
        <v>304</v>
      </c>
      <c r="C75" s="39" t="s">
        <v>755</v>
      </c>
      <c r="D75" s="39" t="s">
        <v>25</v>
      </c>
      <c r="E75" s="79" t="s">
        <v>26</v>
      </c>
      <c r="F75" s="111" t="s">
        <v>20</v>
      </c>
      <c r="G75" s="60" t="s">
        <v>22</v>
      </c>
      <c r="H75" s="39"/>
      <c r="I75" s="92"/>
      <c r="J75" s="39"/>
      <c r="K75" s="39"/>
      <c r="L75" s="39"/>
      <c r="M75" s="60" t="s">
        <v>22</v>
      </c>
      <c r="N75" s="39"/>
      <c r="O75" s="39"/>
      <c r="P75" s="91" t="s">
        <v>909</v>
      </c>
      <c r="Q75" s="39"/>
      <c r="R75" s="80" t="b">
        <f>IFERROR(__xludf.DUMMYFUNCTION("or(and(regexmatch(E75,""omission""),regexmatch(F75,""omission"")),and(regexmatch(E75,""hallucination""),regexmatch(F75,""hallucination"")))"),TRUE)</f>
        <v>1</v>
      </c>
      <c r="S75" s="60">
        <f>random_key!A90</f>
        <v>0.727142934</v>
      </c>
    </row>
    <row r="76">
      <c r="A76" s="39">
        <v>86.0</v>
      </c>
      <c r="B76" s="39" t="s">
        <v>252</v>
      </c>
      <c r="C76" s="39" t="s">
        <v>740</v>
      </c>
      <c r="D76" s="60" t="s">
        <v>254</v>
      </c>
      <c r="E76" s="110" t="s">
        <v>20</v>
      </c>
      <c r="F76" s="111" t="s">
        <v>21</v>
      </c>
      <c r="G76" s="39"/>
      <c r="H76" s="39"/>
      <c r="I76" s="92" t="s">
        <v>22</v>
      </c>
      <c r="J76" s="39"/>
      <c r="K76" s="60" t="s">
        <v>22</v>
      </c>
      <c r="L76" s="39"/>
      <c r="M76" s="60" t="s">
        <v>22</v>
      </c>
      <c r="N76" s="39"/>
      <c r="O76" s="39"/>
      <c r="P76" s="91" t="s">
        <v>902</v>
      </c>
      <c r="Q76" s="39"/>
      <c r="R76" s="80" t="b">
        <f>IFERROR(__xludf.DUMMYFUNCTION("or(and(regexmatch(E76,""omission""),regexmatch(F76,""omission"")),and(regexmatch(E76,""hallucination""),regexmatch(F76,""hallucination"")))"),FALSE)</f>
        <v>0</v>
      </c>
      <c r="S76" s="60">
        <f>random_key!A74</f>
        <v>0.7435089948</v>
      </c>
    </row>
    <row r="77">
      <c r="A77" s="39">
        <v>72.0</v>
      </c>
      <c r="B77" s="39" t="s">
        <v>214</v>
      </c>
      <c r="C77" s="39" t="s">
        <v>729</v>
      </c>
      <c r="D77" s="60" t="s">
        <v>216</v>
      </c>
      <c r="E77" s="110" t="s">
        <v>20</v>
      </c>
      <c r="F77" s="91" t="s">
        <v>26</v>
      </c>
      <c r="G77" s="39"/>
      <c r="H77" s="60" t="s">
        <v>22</v>
      </c>
      <c r="I77" s="92"/>
      <c r="J77" s="39"/>
      <c r="K77" s="39"/>
      <c r="L77" s="39"/>
      <c r="M77" s="60" t="s">
        <v>22</v>
      </c>
      <c r="N77" s="39"/>
      <c r="O77" s="39"/>
      <c r="P77" s="91" t="s">
        <v>896</v>
      </c>
      <c r="Q77" s="39"/>
      <c r="R77" s="80" t="b">
        <f>IFERROR(__xludf.DUMMYFUNCTION("or(and(regexmatch(E77,""omission""),regexmatch(F77,""omission"")),and(regexmatch(E77,""hallucination""),regexmatch(F77,""hallucination"")))"),TRUE)</f>
        <v>1</v>
      </c>
      <c r="S77" s="60">
        <f>random_key!A62</f>
        <v>0.7471633311</v>
      </c>
    </row>
    <row r="78">
      <c r="A78" s="39">
        <v>24.0</v>
      </c>
      <c r="B78" s="39" t="s">
        <v>93</v>
      </c>
      <c r="C78" s="39" t="s">
        <v>686</v>
      </c>
      <c r="D78" s="60" t="s">
        <v>95</v>
      </c>
      <c r="E78" s="110" t="s">
        <v>21</v>
      </c>
      <c r="F78" s="111" t="s">
        <v>20</v>
      </c>
      <c r="G78" s="39"/>
      <c r="H78" s="39"/>
      <c r="I78" s="92" t="s">
        <v>22</v>
      </c>
      <c r="J78" s="39"/>
      <c r="K78" s="39"/>
      <c r="L78" s="39"/>
      <c r="M78" s="60" t="s">
        <v>22</v>
      </c>
      <c r="N78" s="39"/>
      <c r="O78" s="39"/>
      <c r="P78" s="91" t="s">
        <v>877</v>
      </c>
      <c r="Q78" s="39"/>
      <c r="R78" s="80" t="b">
        <f>IFERROR(__xludf.DUMMYFUNCTION("or(and(regexmatch(E78,""omission""),regexmatch(F78,""omission"")),and(regexmatch(E78,""hallucination""),regexmatch(F78,""hallucination"")))"),FALSE)</f>
        <v>0</v>
      </c>
      <c r="S78" s="60">
        <f>random_key!A23</f>
        <v>0.7541920884</v>
      </c>
    </row>
    <row r="79">
      <c r="A79" s="39">
        <v>63.0</v>
      </c>
      <c r="B79" s="39" t="s">
        <v>196</v>
      </c>
      <c r="C79" s="39" t="s">
        <v>723</v>
      </c>
      <c r="D79" s="60" t="s">
        <v>198</v>
      </c>
      <c r="E79" s="79" t="s">
        <v>21</v>
      </c>
      <c r="F79" s="111" t="s">
        <v>20</v>
      </c>
      <c r="G79" s="60" t="s">
        <v>22</v>
      </c>
      <c r="H79" s="39"/>
      <c r="I79" s="92"/>
      <c r="J79" s="39"/>
      <c r="K79" s="60" t="s">
        <v>22</v>
      </c>
      <c r="L79" s="39"/>
      <c r="M79" s="39"/>
      <c r="N79" s="60" t="s">
        <v>22</v>
      </c>
      <c r="O79" s="39"/>
      <c r="P79" s="91" t="s">
        <v>892</v>
      </c>
      <c r="Q79" s="39"/>
      <c r="R79" s="80" t="b">
        <f>IFERROR(__xludf.DUMMYFUNCTION("or(and(regexmatch(E79,""omission""),regexmatch(F79,""omission"")),and(regexmatch(E79,""hallucination""),regexmatch(F79,""hallucination"")))"),FALSE)</f>
        <v>0</v>
      </c>
      <c r="S79" s="60">
        <f>random_key!A55</f>
        <v>0.7605468318</v>
      </c>
    </row>
    <row r="80">
      <c r="A80" s="39">
        <v>5.0</v>
      </c>
      <c r="B80" s="39" t="s">
        <v>32</v>
      </c>
      <c r="C80" s="39" t="s">
        <v>665</v>
      </c>
      <c r="D80" s="60" t="s">
        <v>34</v>
      </c>
      <c r="E80" s="79" t="s">
        <v>20</v>
      </c>
      <c r="F80" s="111" t="s">
        <v>21</v>
      </c>
      <c r="G80" s="60" t="s">
        <v>22</v>
      </c>
      <c r="H80" s="39"/>
      <c r="I80" s="92"/>
      <c r="J80" s="39"/>
      <c r="K80" s="60" t="s">
        <v>22</v>
      </c>
      <c r="L80" s="39"/>
      <c r="M80" s="39"/>
      <c r="N80" s="39"/>
      <c r="O80" s="39"/>
      <c r="P80" s="91" t="s">
        <v>866</v>
      </c>
      <c r="Q80" s="39"/>
      <c r="R80" s="80" t="b">
        <f>IFERROR(__xludf.DUMMYFUNCTION("or(and(regexmatch(E80,""omission""),regexmatch(F80,""omission"")),and(regexmatch(E80,""hallucination""),regexmatch(F80,""hallucination"")))"),FALSE)</f>
        <v>0</v>
      </c>
      <c r="S80" s="60">
        <f>random_key!A4</f>
        <v>0.7622668932</v>
      </c>
    </row>
    <row r="81">
      <c r="A81" s="39">
        <v>23.0</v>
      </c>
      <c r="B81" s="39" t="s">
        <v>90</v>
      </c>
      <c r="C81" s="39" t="s">
        <v>685</v>
      </c>
      <c r="D81" s="60" t="s">
        <v>92</v>
      </c>
      <c r="E81" s="110" t="s">
        <v>31</v>
      </c>
      <c r="F81" s="91" t="s">
        <v>21</v>
      </c>
      <c r="G81" s="39"/>
      <c r="H81" s="60" t="s">
        <v>22</v>
      </c>
      <c r="I81" s="92"/>
      <c r="J81" s="39"/>
      <c r="K81" s="39"/>
      <c r="L81" s="39"/>
      <c r="M81" s="39"/>
      <c r="N81" s="39"/>
      <c r="O81" s="60" t="s">
        <v>22</v>
      </c>
      <c r="P81" s="91" t="s">
        <v>865</v>
      </c>
      <c r="Q81" s="39"/>
      <c r="R81" s="80" t="b">
        <f>IFERROR(__xludf.DUMMYFUNCTION("or(and(regexmatch(E81,""omission""),regexmatch(F81,""omission"")),and(regexmatch(E81,""hallucination""),regexmatch(F81,""hallucination"")))"),FALSE)</f>
        <v>0</v>
      </c>
      <c r="S81" s="60">
        <f>random_key!A22</f>
        <v>0.7884075586</v>
      </c>
    </row>
    <row r="82">
      <c r="A82" s="113">
        <v>100.0</v>
      </c>
      <c r="B82" s="39" t="s">
        <v>283</v>
      </c>
      <c r="C82" s="39" t="s">
        <v>748</v>
      </c>
      <c r="D82" s="60" t="s">
        <v>285</v>
      </c>
      <c r="E82" s="79" t="s">
        <v>21</v>
      </c>
      <c r="F82" s="111" t="s">
        <v>20</v>
      </c>
      <c r="G82" s="60" t="s">
        <v>22</v>
      </c>
      <c r="H82" s="39"/>
      <c r="I82" s="92"/>
      <c r="J82" s="39"/>
      <c r="K82" s="60" t="s">
        <v>22</v>
      </c>
      <c r="L82" s="39"/>
      <c r="M82" s="39"/>
      <c r="N82" s="60" t="s">
        <v>22</v>
      </c>
      <c r="O82" s="39"/>
      <c r="P82" s="91" t="s">
        <v>879</v>
      </c>
      <c r="Q82" s="39"/>
      <c r="R82" s="80" t="b">
        <f>IFERROR(__xludf.DUMMYFUNCTION("or(and(regexmatch(E82,""omission""),regexmatch(F82,""omission"")),and(regexmatch(E82,""hallucination""),regexmatch(F82,""hallucination"")))"),FALSE)</f>
        <v>0</v>
      </c>
      <c r="S82" s="60">
        <f>random_key!A84</f>
        <v>0.7958894172</v>
      </c>
    </row>
    <row r="83">
      <c r="A83" s="39">
        <v>58.0</v>
      </c>
      <c r="B83" s="39" t="s">
        <v>185</v>
      </c>
      <c r="C83" s="39" t="s">
        <v>719</v>
      </c>
      <c r="D83" s="60" t="s">
        <v>187</v>
      </c>
      <c r="E83" s="110" t="s">
        <v>31</v>
      </c>
      <c r="F83" s="91" t="s">
        <v>21</v>
      </c>
      <c r="G83" s="39"/>
      <c r="H83" s="60" t="s">
        <v>22</v>
      </c>
      <c r="I83" s="92"/>
      <c r="J83" s="39"/>
      <c r="K83" s="39"/>
      <c r="L83" s="39"/>
      <c r="M83" s="39"/>
      <c r="N83" s="60" t="s">
        <v>862</v>
      </c>
      <c r="O83" s="60" t="s">
        <v>22</v>
      </c>
      <c r="P83" s="91" t="s">
        <v>890</v>
      </c>
      <c r="Q83" s="39"/>
      <c r="R83" s="80" t="b">
        <f>IFERROR(__xludf.DUMMYFUNCTION("or(and(regexmatch(E83,""omission""),regexmatch(F83,""omission"")),and(regexmatch(E83,""hallucination""),regexmatch(F83,""hallucination"")))"),FALSE)</f>
        <v>0</v>
      </c>
      <c r="S83" s="60">
        <f>random_key!A51</f>
        <v>0.799996192</v>
      </c>
    </row>
    <row r="84">
      <c r="A84" s="39">
        <v>78.0</v>
      </c>
      <c r="B84" s="39" t="s">
        <v>233</v>
      </c>
      <c r="C84" s="39" t="s">
        <v>736</v>
      </c>
      <c r="D84" s="60" t="s">
        <v>110</v>
      </c>
      <c r="E84" s="79" t="s">
        <v>21</v>
      </c>
      <c r="F84" s="111" t="s">
        <v>31</v>
      </c>
      <c r="G84" s="60" t="s">
        <v>22</v>
      </c>
      <c r="H84" s="39"/>
      <c r="I84" s="92"/>
      <c r="J84" s="39"/>
      <c r="K84" s="60" t="s">
        <v>22</v>
      </c>
      <c r="L84" s="39"/>
      <c r="M84" s="39"/>
      <c r="N84" s="60" t="s">
        <v>22</v>
      </c>
      <c r="O84" s="39"/>
      <c r="P84" s="91" t="s">
        <v>898</v>
      </c>
      <c r="Q84" s="39"/>
      <c r="R84" s="80" t="b">
        <f>IFERROR(__xludf.DUMMYFUNCTION("or(and(regexmatch(E84,""omission""),regexmatch(F84,""omission"")),and(regexmatch(E84,""hallucination""),regexmatch(F84,""hallucination"")))"),FALSE)</f>
        <v>0</v>
      </c>
      <c r="S84" s="60">
        <f>random_key!A68</f>
        <v>0.8182745013</v>
      </c>
    </row>
    <row r="85">
      <c r="A85" s="39">
        <v>48.0</v>
      </c>
      <c r="B85" s="39" t="s">
        <v>158</v>
      </c>
      <c r="C85" s="39" t="s">
        <v>710</v>
      </c>
      <c r="D85" s="60" t="s">
        <v>160</v>
      </c>
      <c r="E85" s="110" t="s">
        <v>20</v>
      </c>
      <c r="F85" s="111" t="s">
        <v>21</v>
      </c>
      <c r="G85" s="39"/>
      <c r="H85" s="39"/>
      <c r="I85" s="92" t="s">
        <v>22</v>
      </c>
      <c r="J85" s="60" t="s">
        <v>22</v>
      </c>
      <c r="K85" s="39"/>
      <c r="L85" s="39"/>
      <c r="M85" s="60" t="s">
        <v>22</v>
      </c>
      <c r="N85" s="39"/>
      <c r="O85" s="39"/>
      <c r="P85" s="91" t="s">
        <v>885</v>
      </c>
      <c r="Q85" s="39"/>
      <c r="R85" s="80" t="b">
        <f>IFERROR(__xludf.DUMMYFUNCTION("or(and(regexmatch(E85,""omission""),regexmatch(F85,""omission"")),and(regexmatch(E85,""hallucination""),regexmatch(F85,""hallucination"")))"),FALSE)</f>
        <v>0</v>
      </c>
      <c r="S85" s="60">
        <f>random_key!A43</f>
        <v>0.8376744095</v>
      </c>
    </row>
    <row r="86">
      <c r="A86" s="39">
        <v>105.0</v>
      </c>
      <c r="B86" s="39" t="s">
        <v>300</v>
      </c>
      <c r="C86" s="39" t="s">
        <v>754</v>
      </c>
      <c r="D86" s="39" t="s">
        <v>302</v>
      </c>
      <c r="E86" s="110" t="s">
        <v>20</v>
      </c>
      <c r="F86" s="91" t="s">
        <v>21</v>
      </c>
      <c r="G86" s="39"/>
      <c r="H86" s="60" t="s">
        <v>22</v>
      </c>
      <c r="I86" s="92"/>
      <c r="J86" s="39"/>
      <c r="K86" s="39"/>
      <c r="L86" s="39"/>
      <c r="M86" s="39"/>
      <c r="N86" s="60" t="s">
        <v>22</v>
      </c>
      <c r="O86" s="39"/>
      <c r="P86" s="91" t="s">
        <v>863</v>
      </c>
      <c r="Q86" s="39"/>
      <c r="R86" s="80" t="b">
        <f>IFERROR(__xludf.DUMMYFUNCTION("or(and(regexmatch(E86,""omission""),regexmatch(F86,""omission"")),and(regexmatch(E86,""hallucination""),regexmatch(F86,""hallucination"")))"),FALSE)</f>
        <v>0</v>
      </c>
      <c r="S86" s="60">
        <f>random_key!A89</f>
        <v>0.8543904858</v>
      </c>
    </row>
    <row r="87">
      <c r="A87" s="39">
        <v>45.0</v>
      </c>
      <c r="B87" s="39" t="s">
        <v>149</v>
      </c>
      <c r="C87" s="39" t="s">
        <v>707</v>
      </c>
      <c r="D87" s="60" t="s">
        <v>151</v>
      </c>
      <c r="E87" s="110" t="s">
        <v>20</v>
      </c>
      <c r="F87" s="111" t="s">
        <v>21</v>
      </c>
      <c r="G87" s="39"/>
      <c r="H87" s="39"/>
      <c r="I87" s="92" t="s">
        <v>22</v>
      </c>
      <c r="J87" s="39"/>
      <c r="K87" s="60" t="s">
        <v>22</v>
      </c>
      <c r="L87" s="39"/>
      <c r="M87" s="60" t="s">
        <v>22</v>
      </c>
      <c r="N87" s="39"/>
      <c r="O87" s="39"/>
      <c r="P87" s="91" t="s">
        <v>884</v>
      </c>
      <c r="Q87" s="39"/>
      <c r="R87" s="80" t="b">
        <f>IFERROR(__xludf.DUMMYFUNCTION("or(and(regexmatch(E87,""omission""),regexmatch(F87,""omission"")),and(regexmatch(E87,""hallucination""),regexmatch(F87,""hallucination"")))"),FALSE)</f>
        <v>0</v>
      </c>
      <c r="S87" s="60">
        <f>random_key!A40</f>
        <v>0.8587903714</v>
      </c>
    </row>
    <row r="88">
      <c r="A88" s="39">
        <v>77.0</v>
      </c>
      <c r="B88" s="39" t="s">
        <v>230</v>
      </c>
      <c r="C88" s="39" t="s">
        <v>735</v>
      </c>
      <c r="D88" s="60" t="s">
        <v>232</v>
      </c>
      <c r="E88" s="79" t="s">
        <v>21</v>
      </c>
      <c r="F88" s="111" t="s">
        <v>20</v>
      </c>
      <c r="G88" s="60" t="s">
        <v>22</v>
      </c>
      <c r="H88" s="39"/>
      <c r="I88" s="92"/>
      <c r="J88" s="39"/>
      <c r="K88" s="60" t="s">
        <v>22</v>
      </c>
      <c r="L88" s="39"/>
      <c r="M88" s="39"/>
      <c r="N88" s="60" t="s">
        <v>22</v>
      </c>
      <c r="O88" s="39"/>
      <c r="P88" s="91" t="s">
        <v>892</v>
      </c>
      <c r="Q88" s="39"/>
      <c r="R88" s="80" t="b">
        <f>IFERROR(__xludf.DUMMYFUNCTION("or(and(regexmatch(E88,""omission""),regexmatch(F88,""omission"")),and(regexmatch(E88,""hallucination""),regexmatch(F88,""hallucination"")))"),FALSE)</f>
        <v>0</v>
      </c>
      <c r="S88" s="60">
        <f>random_key!A67</f>
        <v>0.8642436393</v>
      </c>
    </row>
    <row r="89">
      <c r="A89" s="39">
        <v>102.0</v>
      </c>
      <c r="B89" s="39" t="s">
        <v>288</v>
      </c>
      <c r="C89" s="39" t="s">
        <v>750</v>
      </c>
      <c r="D89" s="39" t="s">
        <v>290</v>
      </c>
      <c r="E89" s="110" t="s">
        <v>20</v>
      </c>
      <c r="F89" s="111" t="s">
        <v>21</v>
      </c>
      <c r="G89" s="39"/>
      <c r="H89" s="39"/>
      <c r="I89" s="92" t="s">
        <v>22</v>
      </c>
      <c r="J89" s="39"/>
      <c r="K89" s="60" t="s">
        <v>22</v>
      </c>
      <c r="L89" s="39"/>
      <c r="M89" s="60" t="s">
        <v>22</v>
      </c>
      <c r="N89" s="39"/>
      <c r="O89" s="39"/>
      <c r="P89" s="91" t="s">
        <v>906</v>
      </c>
      <c r="Q89" s="39"/>
      <c r="R89" s="80" t="b">
        <f>IFERROR(__xludf.DUMMYFUNCTION("or(and(regexmatch(E89,""omission""),regexmatch(F89,""omission"")),and(regexmatch(E89,""hallucination""),regexmatch(F89,""hallucination"")))"),FALSE)</f>
        <v>0</v>
      </c>
      <c r="S89" s="60">
        <f>random_key!A86</f>
        <v>0.8755905375</v>
      </c>
    </row>
    <row r="90">
      <c r="A90" s="39">
        <v>82.0</v>
      </c>
      <c r="B90" s="39" t="s">
        <v>244</v>
      </c>
      <c r="C90" s="39" t="s">
        <v>738</v>
      </c>
      <c r="D90" s="60" t="s">
        <v>246</v>
      </c>
      <c r="E90" s="110" t="s">
        <v>20</v>
      </c>
      <c r="F90" s="91" t="s">
        <v>21</v>
      </c>
      <c r="G90" s="39"/>
      <c r="H90" s="60" t="s">
        <v>22</v>
      </c>
      <c r="I90" s="92"/>
      <c r="J90" s="39"/>
      <c r="K90" s="39"/>
      <c r="L90" s="39"/>
      <c r="M90" s="39"/>
      <c r="N90" s="60" t="s">
        <v>22</v>
      </c>
      <c r="O90" s="39"/>
      <c r="P90" s="91" t="s">
        <v>863</v>
      </c>
      <c r="Q90" s="39"/>
      <c r="R90" s="80" t="b">
        <f>IFERROR(__xludf.DUMMYFUNCTION("or(and(regexmatch(E90,""omission""),regexmatch(F90,""omission"")),and(regexmatch(E90,""hallucination""),regexmatch(F90,""hallucination"")))"),FALSE)</f>
        <v>0</v>
      </c>
      <c r="S90" s="60">
        <f>random_key!A72</f>
        <v>0.8871378581</v>
      </c>
    </row>
    <row r="91">
      <c r="A91" s="39">
        <v>95.0</v>
      </c>
      <c r="B91" s="39" t="s">
        <v>271</v>
      </c>
      <c r="C91" s="39" t="s">
        <v>726</v>
      </c>
      <c r="D91" s="60" t="s">
        <v>272</v>
      </c>
      <c r="E91" s="110" t="s">
        <v>31</v>
      </c>
      <c r="F91" s="91" t="s">
        <v>21</v>
      </c>
      <c r="G91" s="39"/>
      <c r="H91" s="60" t="s">
        <v>22</v>
      </c>
      <c r="I91" s="92"/>
      <c r="J91" s="39"/>
      <c r="K91" s="39"/>
      <c r="L91" s="39"/>
      <c r="M91" s="39"/>
      <c r="N91" s="39"/>
      <c r="O91" s="60" t="s">
        <v>22</v>
      </c>
      <c r="P91" s="91" t="s">
        <v>865</v>
      </c>
      <c r="Q91" s="39"/>
      <c r="R91" s="80" t="b">
        <f>IFERROR(__xludf.DUMMYFUNCTION("or(and(regexmatch(E91,""omission""),regexmatch(F91,""omission"")),and(regexmatch(E91,""hallucination""),regexmatch(F91,""hallucination"")))"),FALSE)</f>
        <v>0</v>
      </c>
      <c r="S91" s="60">
        <f>random_key!A80</f>
        <v>0.89023684</v>
      </c>
    </row>
    <row r="92">
      <c r="A92" s="39">
        <v>71.0</v>
      </c>
      <c r="B92" s="39" t="s">
        <v>213</v>
      </c>
      <c r="C92" s="39" t="s">
        <v>682</v>
      </c>
      <c r="D92" s="60" t="s">
        <v>107</v>
      </c>
      <c r="E92" s="110" t="s">
        <v>31</v>
      </c>
      <c r="F92" s="91" t="s">
        <v>21</v>
      </c>
      <c r="G92" s="39"/>
      <c r="H92" s="60" t="s">
        <v>22</v>
      </c>
      <c r="I92" s="92"/>
      <c r="J92" s="39"/>
      <c r="K92" s="39"/>
      <c r="L92" s="39"/>
      <c r="M92" s="39"/>
      <c r="N92" s="39"/>
      <c r="O92" s="60" t="s">
        <v>22</v>
      </c>
      <c r="P92" s="91" t="s">
        <v>865</v>
      </c>
      <c r="Q92" s="39"/>
      <c r="R92" s="80" t="b">
        <f>IFERROR(__xludf.DUMMYFUNCTION("or(and(regexmatch(E92,""omission""),regexmatch(F92,""omission"")),and(regexmatch(E92,""hallucination""),regexmatch(F92,""hallucination"")))"),FALSE)</f>
        <v>0</v>
      </c>
      <c r="S92" s="60">
        <f>random_key!A61</f>
        <v>0.8920769635</v>
      </c>
    </row>
    <row r="93">
      <c r="A93" s="39">
        <v>55.0</v>
      </c>
      <c r="B93" s="39" t="s">
        <v>176</v>
      </c>
      <c r="C93" s="39" t="s">
        <v>716</v>
      </c>
      <c r="D93" s="60" t="s">
        <v>120</v>
      </c>
      <c r="E93" s="79" t="s">
        <v>21</v>
      </c>
      <c r="F93" s="111" t="s">
        <v>20</v>
      </c>
      <c r="G93" s="60" t="s">
        <v>22</v>
      </c>
      <c r="H93" s="39"/>
      <c r="I93" s="92"/>
      <c r="J93" s="39"/>
      <c r="K93" s="60" t="s">
        <v>22</v>
      </c>
      <c r="L93" s="39"/>
      <c r="M93" s="39"/>
      <c r="N93" s="60" t="s">
        <v>22</v>
      </c>
      <c r="O93" s="39"/>
      <c r="P93" s="91" t="s">
        <v>868</v>
      </c>
      <c r="Q93" s="39"/>
      <c r="R93" s="80" t="b">
        <f>IFERROR(__xludf.DUMMYFUNCTION("or(and(regexmatch(E93,""omission""),regexmatch(F93,""omission"")),and(regexmatch(E93,""hallucination""),regexmatch(F93,""hallucination"")))"),FALSE)</f>
        <v>0</v>
      </c>
      <c r="S93" s="60">
        <f>random_key!A48</f>
        <v>0.9080452284</v>
      </c>
    </row>
    <row r="94">
      <c r="A94" s="39">
        <v>91.0</v>
      </c>
      <c r="B94" s="39" t="s">
        <v>261</v>
      </c>
      <c r="C94" s="39" t="s">
        <v>742</v>
      </c>
      <c r="D94" s="60" t="s">
        <v>250</v>
      </c>
      <c r="E94" s="110" t="s">
        <v>20</v>
      </c>
      <c r="F94" s="91" t="s">
        <v>21</v>
      </c>
      <c r="G94" s="39"/>
      <c r="H94" s="60" t="s">
        <v>22</v>
      </c>
      <c r="I94" s="92"/>
      <c r="J94" s="39"/>
      <c r="K94" s="39"/>
      <c r="L94" s="39"/>
      <c r="M94" s="39"/>
      <c r="N94" s="60" t="s">
        <v>22</v>
      </c>
      <c r="O94" s="39"/>
      <c r="P94" s="91" t="s">
        <v>863</v>
      </c>
      <c r="Q94" s="39"/>
      <c r="R94" s="80" t="b">
        <f>IFERROR(__xludf.DUMMYFUNCTION("or(and(regexmatch(E94,""omission""),regexmatch(F94,""omission"")),and(regexmatch(E94,""hallucination""),regexmatch(F94,""hallucination"")))"),FALSE)</f>
        <v>0</v>
      </c>
      <c r="S94" s="60">
        <f>random_key!A77</f>
        <v>0.9113679883</v>
      </c>
    </row>
    <row r="95">
      <c r="A95" s="39">
        <v>74.0</v>
      </c>
      <c r="B95" s="39" t="s">
        <v>221</v>
      </c>
      <c r="C95" s="39" t="s">
        <v>731</v>
      </c>
      <c r="D95" s="60" t="s">
        <v>223</v>
      </c>
      <c r="E95" s="110" t="s">
        <v>20</v>
      </c>
      <c r="F95" s="111" t="s">
        <v>21</v>
      </c>
      <c r="G95" s="39"/>
      <c r="H95" s="39"/>
      <c r="I95" s="92" t="s">
        <v>22</v>
      </c>
      <c r="J95" s="39"/>
      <c r="K95" s="39"/>
      <c r="L95" s="39"/>
      <c r="M95" s="60" t="s">
        <v>22</v>
      </c>
      <c r="N95" s="39"/>
      <c r="O95" s="39"/>
      <c r="P95" s="91" t="s">
        <v>897</v>
      </c>
      <c r="Q95" s="39"/>
      <c r="R95" s="80" t="b">
        <f>IFERROR(__xludf.DUMMYFUNCTION("or(and(regexmatch(E95,""omission""),regexmatch(F95,""omission"")),and(regexmatch(E95,""hallucination""),regexmatch(F95,""hallucination"")))"),FALSE)</f>
        <v>0</v>
      </c>
      <c r="S95" s="60">
        <f>random_key!A64</f>
        <v>0.9147453114</v>
      </c>
    </row>
    <row r="96">
      <c r="A96" s="93">
        <v>115.0</v>
      </c>
      <c r="B96" s="39" t="s">
        <v>325</v>
      </c>
      <c r="C96" s="39" t="s">
        <v>762</v>
      </c>
      <c r="D96" s="39" t="s">
        <v>327</v>
      </c>
      <c r="E96" s="110" t="s">
        <v>26</v>
      </c>
      <c r="F96" s="91" t="s">
        <v>21</v>
      </c>
      <c r="G96" s="39"/>
      <c r="H96" s="60" t="s">
        <v>22</v>
      </c>
      <c r="I96" s="92"/>
      <c r="J96" s="39"/>
      <c r="K96" s="39"/>
      <c r="L96" s="39"/>
      <c r="M96" s="39"/>
      <c r="N96" s="60" t="s">
        <v>22</v>
      </c>
      <c r="O96" s="60" t="s">
        <v>22</v>
      </c>
      <c r="P96" s="91" t="s">
        <v>914</v>
      </c>
      <c r="Q96" s="39"/>
      <c r="R96" s="80" t="b">
        <f>IFERROR(__xludf.DUMMYFUNCTION("or(and(regexmatch(E96,""omission""),regexmatch(F96,""omission"")),and(regexmatch(E96,""hallucination""),regexmatch(F96,""hallucination"")))"),FALSE)</f>
        <v>0</v>
      </c>
      <c r="S96" s="60">
        <f>random_key!A97</f>
        <v>0.9230041158</v>
      </c>
    </row>
    <row r="97">
      <c r="A97" s="39">
        <v>114.0</v>
      </c>
      <c r="B97" s="39" t="s">
        <v>321</v>
      </c>
      <c r="C97" s="39" t="s">
        <v>760</v>
      </c>
      <c r="D97" s="39" t="s">
        <v>323</v>
      </c>
      <c r="E97" s="79" t="s">
        <v>26</v>
      </c>
      <c r="F97" s="111" t="s">
        <v>20</v>
      </c>
      <c r="G97" s="60" t="s">
        <v>22</v>
      </c>
      <c r="H97" s="39"/>
      <c r="I97" s="92"/>
      <c r="J97" s="39"/>
      <c r="K97" s="60" t="s">
        <v>22</v>
      </c>
      <c r="L97" s="39"/>
      <c r="M97" s="60" t="s">
        <v>22</v>
      </c>
      <c r="N97" s="39"/>
      <c r="O97" s="39"/>
      <c r="P97" s="91" t="s">
        <v>913</v>
      </c>
      <c r="Q97" s="39"/>
      <c r="R97" s="80" t="b">
        <f>IFERROR(__xludf.DUMMYFUNCTION("or(and(regexmatch(E97,""omission""),regexmatch(F97,""omission"")),and(regexmatch(E97,""hallucination""),regexmatch(F97,""hallucination"")))"),TRUE)</f>
        <v>1</v>
      </c>
      <c r="S97" s="60">
        <f>random_key!A96</f>
        <v>0.92778417</v>
      </c>
    </row>
    <row r="98">
      <c r="A98" s="39">
        <v>112.0</v>
      </c>
      <c r="B98" s="112" t="s">
        <v>317</v>
      </c>
      <c r="C98" s="39" t="s">
        <v>756</v>
      </c>
      <c r="D98" s="39" t="s">
        <v>216</v>
      </c>
      <c r="E98" s="79" t="s">
        <v>26</v>
      </c>
      <c r="F98" s="111" t="s">
        <v>20</v>
      </c>
      <c r="G98" s="60" t="s">
        <v>22</v>
      </c>
      <c r="H98" s="39"/>
      <c r="I98" s="92"/>
      <c r="J98" s="39"/>
      <c r="K98" s="39"/>
      <c r="L98" s="39"/>
      <c r="M98" s="60" t="s">
        <v>22</v>
      </c>
      <c r="N98" s="39"/>
      <c r="O98" s="39"/>
      <c r="P98" s="91" t="s">
        <v>909</v>
      </c>
      <c r="Q98" s="39"/>
      <c r="R98" s="80" t="b">
        <f>IFERROR(__xludf.DUMMYFUNCTION("or(and(regexmatch(E98,""omission""),regexmatch(F98,""omission"")),and(regexmatch(E98,""hallucination""),regexmatch(F98,""hallucination"")))"),TRUE)</f>
        <v>1</v>
      </c>
      <c r="S98" s="60">
        <f>random_key!A94</f>
        <v>0.9413106865</v>
      </c>
    </row>
    <row r="99">
      <c r="A99" s="39">
        <v>111.0</v>
      </c>
      <c r="B99" s="112" t="s">
        <v>314</v>
      </c>
      <c r="C99" s="39" t="s">
        <v>758</v>
      </c>
      <c r="D99" s="39" t="s">
        <v>316</v>
      </c>
      <c r="E99" s="79" t="s">
        <v>20</v>
      </c>
      <c r="F99" s="111" t="s">
        <v>21</v>
      </c>
      <c r="G99" s="60" t="s">
        <v>22</v>
      </c>
      <c r="H99" s="39"/>
      <c r="I99" s="92"/>
      <c r="J99" s="60" t="s">
        <v>22</v>
      </c>
      <c r="K99" s="39"/>
      <c r="L99" s="39"/>
      <c r="M99" s="39"/>
      <c r="N99" s="39"/>
      <c r="O99" s="39"/>
      <c r="P99" s="91" t="s">
        <v>911</v>
      </c>
      <c r="Q99" s="39"/>
      <c r="R99" s="80" t="b">
        <f>IFERROR(__xludf.DUMMYFUNCTION("or(and(regexmatch(E99,""omission""),regexmatch(F99,""omission"")),and(regexmatch(E99,""hallucination""),regexmatch(F99,""hallucination"")))"),FALSE)</f>
        <v>0</v>
      </c>
      <c r="S99" s="60">
        <f>random_key!A93</f>
        <v>0.9602527706</v>
      </c>
    </row>
    <row r="100">
      <c r="A100" s="39">
        <v>52.0</v>
      </c>
      <c r="B100" s="39" t="s">
        <v>170</v>
      </c>
      <c r="C100" s="39" t="s">
        <v>714</v>
      </c>
      <c r="D100" s="60" t="s">
        <v>172</v>
      </c>
      <c r="E100" s="110" t="s">
        <v>20</v>
      </c>
      <c r="F100" s="91" t="s">
        <v>21</v>
      </c>
      <c r="G100" s="39"/>
      <c r="H100" s="60" t="s">
        <v>22</v>
      </c>
      <c r="I100" s="92"/>
      <c r="J100" s="39"/>
      <c r="K100" s="39"/>
      <c r="L100" s="39"/>
      <c r="M100" s="39"/>
      <c r="N100" s="60" t="s">
        <v>22</v>
      </c>
      <c r="O100" s="39"/>
      <c r="P100" s="91" t="s">
        <v>863</v>
      </c>
      <c r="Q100" s="39"/>
      <c r="R100" s="80" t="b">
        <f>IFERROR(__xludf.DUMMYFUNCTION("or(and(regexmatch(E100,""omission""),regexmatch(F100,""omission"")),and(regexmatch(E100,""hallucination""),regexmatch(F100,""hallucination"")))"),FALSE)</f>
        <v>0</v>
      </c>
      <c r="S100" s="60">
        <f>random_key!A46</f>
        <v>0.9629101769</v>
      </c>
    </row>
    <row r="101">
      <c r="A101" s="39">
        <v>29.0</v>
      </c>
      <c r="B101" s="39" t="s">
        <v>108</v>
      </c>
      <c r="C101" s="39" t="s">
        <v>693</v>
      </c>
      <c r="D101" s="60" t="s">
        <v>110</v>
      </c>
      <c r="E101" s="110" t="s">
        <v>20</v>
      </c>
      <c r="F101" s="91" t="s">
        <v>26</v>
      </c>
      <c r="G101" s="39"/>
      <c r="H101" s="60" t="s">
        <v>22</v>
      </c>
      <c r="I101" s="92"/>
      <c r="J101" s="39"/>
      <c r="K101" s="39"/>
      <c r="L101" s="39"/>
      <c r="M101" s="60" t="s">
        <v>22</v>
      </c>
      <c r="N101" s="39"/>
      <c r="O101" s="39"/>
      <c r="P101" s="91" t="s">
        <v>878</v>
      </c>
      <c r="Q101" s="39"/>
      <c r="R101" s="80" t="b">
        <f>IFERROR(__xludf.DUMMYFUNCTION("or(and(regexmatch(E101,""omission""),regexmatch(F101,""omission"")),and(regexmatch(E101,""hallucination""),regexmatch(F101,""hallucination"")))"),TRUE)</f>
        <v>1</v>
      </c>
      <c r="S101" s="60">
        <f>random_key!A27</f>
        <v>0.9854616735</v>
      </c>
    </row>
    <row r="102">
      <c r="A102" s="39">
        <v>4.0</v>
      </c>
      <c r="B102" s="39" t="s">
        <v>28</v>
      </c>
      <c r="C102" s="39" t="s">
        <v>664</v>
      </c>
      <c r="D102" s="60" t="s">
        <v>30</v>
      </c>
      <c r="E102" s="110" t="s">
        <v>31</v>
      </c>
      <c r="F102" s="91" t="s">
        <v>21</v>
      </c>
      <c r="G102" s="39"/>
      <c r="H102" s="60" t="s">
        <v>22</v>
      </c>
      <c r="I102" s="92"/>
      <c r="J102" s="39"/>
      <c r="K102" s="39"/>
      <c r="L102" s="39"/>
      <c r="M102" s="39"/>
      <c r="N102" s="39"/>
      <c r="O102" s="60" t="s">
        <v>22</v>
      </c>
      <c r="P102" s="91" t="s">
        <v>865</v>
      </c>
      <c r="Q102" s="39"/>
      <c r="R102" s="80" t="b">
        <f>IFERROR(__xludf.DUMMYFUNCTION("or(and(regexmatch(E102,""omission""),regexmatch(F102,""omission"")),and(regexmatch(E102,""hallucination""),regexmatch(F102,""hallucination"")))"),FALSE)</f>
        <v>0</v>
      </c>
      <c r="S102" s="60">
        <f>random_key!A3</f>
        <v>0.9970902728</v>
      </c>
    </row>
    <row r="103">
      <c r="A103" s="85">
        <v>62.0</v>
      </c>
      <c r="B103" s="85" t="s">
        <v>194</v>
      </c>
      <c r="C103" s="85" t="s">
        <v>722</v>
      </c>
      <c r="D103" s="68" t="s">
        <v>42</v>
      </c>
      <c r="E103" s="86" t="s">
        <v>21</v>
      </c>
      <c r="F103" s="117" t="s">
        <v>20</v>
      </c>
      <c r="G103" s="68" t="s">
        <v>22</v>
      </c>
      <c r="H103" s="85"/>
      <c r="I103" s="109"/>
      <c r="J103" s="85"/>
      <c r="K103" s="68" t="s">
        <v>22</v>
      </c>
      <c r="L103" s="85"/>
      <c r="M103" s="85"/>
      <c r="N103" s="68" t="s">
        <v>22</v>
      </c>
      <c r="O103" s="85"/>
      <c r="P103" s="115" t="s">
        <v>892</v>
      </c>
      <c r="Q103" s="85"/>
      <c r="R103" s="87" t="b">
        <f>IFERROR(__xludf.DUMMYFUNCTION("or(and(regexmatch(E103,""omission""),regexmatch(F103,""omission"")),and(regexmatch(E103,""hallucination""),regexmatch(F103,""hallucination"")))"),FALSE)</f>
        <v>0</v>
      </c>
      <c r="S103" s="60">
        <f>random_key!A54</f>
        <v>0.9973993648</v>
      </c>
    </row>
    <row r="104">
      <c r="A104" s="39"/>
      <c r="B104" s="39"/>
      <c r="C104" s="39"/>
      <c r="D104" s="60" t="s">
        <v>917</v>
      </c>
      <c r="E104" s="113">
        <f t="shared" ref="E104:F104" si="1">countif(E4:E103,"=OK")</f>
        <v>33</v>
      </c>
      <c r="F104" s="116">
        <f t="shared" si="1"/>
        <v>54</v>
      </c>
      <c r="G104" s="39">
        <f t="shared" ref="G104:O104" si="2">countif(G4:G103,"=x")</f>
        <v>37</v>
      </c>
      <c r="H104" s="39">
        <f t="shared" si="2"/>
        <v>41</v>
      </c>
      <c r="I104" s="39">
        <f t="shared" si="2"/>
        <v>22</v>
      </c>
      <c r="J104" s="39">
        <f t="shared" si="2"/>
        <v>2</v>
      </c>
      <c r="K104" s="39">
        <f t="shared" si="2"/>
        <v>42</v>
      </c>
      <c r="L104" s="39">
        <f t="shared" si="2"/>
        <v>8</v>
      </c>
      <c r="M104" s="39">
        <f t="shared" si="2"/>
        <v>38</v>
      </c>
      <c r="N104" s="39">
        <f t="shared" si="2"/>
        <v>42</v>
      </c>
      <c r="O104" s="39">
        <f t="shared" si="2"/>
        <v>19</v>
      </c>
      <c r="P104" s="39"/>
      <c r="Q104" s="39"/>
      <c r="R104" s="39">
        <f>countif(R4:R103,"=TRUE")</f>
        <v>12</v>
      </c>
    </row>
    <row r="105">
      <c r="A105" s="39"/>
      <c r="B105" s="39"/>
      <c r="C105" s="39"/>
      <c r="D105" s="60" t="s">
        <v>31</v>
      </c>
      <c r="E105" s="113">
        <f t="shared" ref="E105:F105" si="3">countif(E4:E103,"=hallucination")</f>
        <v>17</v>
      </c>
      <c r="F105" s="116">
        <f t="shared" si="3"/>
        <v>7</v>
      </c>
      <c r="G105" s="39"/>
      <c r="H105" s="39"/>
      <c r="I105" s="39"/>
      <c r="J105" s="39"/>
      <c r="K105" s="39"/>
      <c r="L105" s="39"/>
      <c r="M105" s="39"/>
      <c r="N105" s="39"/>
      <c r="O105" s="39"/>
      <c r="P105" s="39"/>
      <c r="Q105" s="39"/>
      <c r="R105" s="39"/>
    </row>
    <row r="106">
      <c r="A106" s="39"/>
      <c r="B106" s="39"/>
      <c r="C106" s="39"/>
      <c r="D106" s="60" t="s">
        <v>918</v>
      </c>
      <c r="E106" s="113">
        <f t="shared" ref="E106:F106" si="4">countif(E4:E103,"=hallucination+omission")</f>
        <v>8</v>
      </c>
      <c r="F106" s="116">
        <f t="shared" si="4"/>
        <v>7</v>
      </c>
      <c r="G106" s="39"/>
      <c r="H106" s="39"/>
      <c r="I106" s="39"/>
      <c r="J106" s="39"/>
      <c r="K106" s="39"/>
      <c r="L106" s="39"/>
      <c r="M106" s="39"/>
      <c r="N106" s="39"/>
      <c r="O106" s="39"/>
      <c r="P106" s="39"/>
      <c r="Q106" s="39"/>
      <c r="R106" s="39"/>
    </row>
    <row r="107">
      <c r="A107" s="39"/>
      <c r="B107" s="39"/>
      <c r="C107" s="39"/>
      <c r="D107" s="60" t="s">
        <v>20</v>
      </c>
      <c r="E107" s="113">
        <f t="shared" ref="E107:F107" si="5">countif(E4:E103,"=omission")</f>
        <v>42</v>
      </c>
      <c r="F107" s="116">
        <f t="shared" si="5"/>
        <v>32</v>
      </c>
      <c r="G107" s="39"/>
      <c r="H107" s="39"/>
      <c r="I107" s="39"/>
      <c r="J107" s="39"/>
      <c r="K107" s="39"/>
      <c r="L107" s="39"/>
      <c r="M107" s="39"/>
      <c r="N107" s="39"/>
      <c r="O107" s="39"/>
      <c r="P107" s="39"/>
      <c r="Q107" s="39"/>
      <c r="R107" s="39"/>
    </row>
  </sheetData>
  <mergeCells count="3">
    <mergeCell ref="E2:F2"/>
    <mergeCell ref="G2:I2"/>
    <mergeCell ref="J2:O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0"/>
      <c r="B1" s="39"/>
      <c r="C1" s="80"/>
      <c r="D1" s="43"/>
      <c r="E1" s="118"/>
      <c r="F1" s="119"/>
      <c r="G1" s="39"/>
      <c r="H1" s="39"/>
      <c r="I1" s="39"/>
      <c r="J1" s="79"/>
      <c r="K1" s="39"/>
      <c r="L1" s="39"/>
      <c r="M1" s="39"/>
      <c r="N1" s="39"/>
      <c r="O1" s="80"/>
      <c r="P1" s="39"/>
    </row>
    <row r="2">
      <c r="A2" s="80"/>
      <c r="B2" s="120" t="s">
        <v>0</v>
      </c>
      <c r="C2" s="120" t="s">
        <v>1</v>
      </c>
      <c r="D2" s="121" t="s">
        <v>2</v>
      </c>
      <c r="E2" s="83" t="s">
        <v>3</v>
      </c>
      <c r="F2" s="8"/>
      <c r="G2" s="83" t="s">
        <v>4</v>
      </c>
      <c r="I2" s="8"/>
      <c r="J2" s="82" t="s">
        <v>5</v>
      </c>
      <c r="O2" s="80"/>
      <c r="P2" s="39"/>
    </row>
    <row r="3">
      <c r="A3" s="122" t="s">
        <v>6</v>
      </c>
      <c r="B3" s="85"/>
      <c r="C3" s="85"/>
      <c r="D3" s="123"/>
      <c r="E3" s="85" t="s">
        <v>7</v>
      </c>
      <c r="F3" s="87" t="s">
        <v>8</v>
      </c>
      <c r="G3" s="85" t="s">
        <v>7</v>
      </c>
      <c r="H3" s="85" t="s">
        <v>8</v>
      </c>
      <c r="I3" s="85" t="s">
        <v>9</v>
      </c>
      <c r="J3" s="86" t="s">
        <v>340</v>
      </c>
      <c r="K3" s="85" t="s">
        <v>341</v>
      </c>
      <c r="L3" s="85" t="s">
        <v>342</v>
      </c>
      <c r="M3" s="85" t="s">
        <v>343</v>
      </c>
      <c r="N3" s="85" t="s">
        <v>344</v>
      </c>
      <c r="O3" s="87" t="s">
        <v>16</v>
      </c>
      <c r="P3" s="39"/>
    </row>
    <row r="4">
      <c r="A4" s="124">
        <v>1.0</v>
      </c>
      <c r="B4" s="125" t="s">
        <v>345</v>
      </c>
      <c r="C4" s="39" t="s">
        <v>767</v>
      </c>
      <c r="D4" s="80" t="s">
        <v>347</v>
      </c>
      <c r="E4" s="39" t="s">
        <v>21</v>
      </c>
      <c r="F4" s="111" t="s">
        <v>31</v>
      </c>
      <c r="G4" s="60" t="s">
        <v>22</v>
      </c>
      <c r="H4" s="39"/>
      <c r="I4" s="80"/>
      <c r="J4" s="39"/>
      <c r="K4" s="39"/>
      <c r="L4" s="39"/>
      <c r="M4" s="39"/>
      <c r="N4" s="39"/>
      <c r="O4" s="91" t="s">
        <v>919</v>
      </c>
      <c r="P4" s="39"/>
    </row>
    <row r="5">
      <c r="A5" s="124">
        <v>2.0</v>
      </c>
      <c r="B5" s="125" t="s">
        <v>348</v>
      </c>
      <c r="C5" s="39" t="s">
        <v>768</v>
      </c>
      <c r="D5" s="80" t="s">
        <v>350</v>
      </c>
      <c r="E5" s="39" t="s">
        <v>351</v>
      </c>
      <c r="F5" s="111" t="s">
        <v>21</v>
      </c>
      <c r="G5" s="60" t="s">
        <v>22</v>
      </c>
      <c r="H5" s="39"/>
      <c r="I5" s="80"/>
      <c r="J5" s="39"/>
      <c r="K5" s="39"/>
      <c r="L5" s="39"/>
      <c r="M5" s="60" t="s">
        <v>22</v>
      </c>
      <c r="N5" s="39"/>
      <c r="O5" s="91" t="s">
        <v>920</v>
      </c>
      <c r="P5" s="39"/>
    </row>
    <row r="6">
      <c r="A6" s="124">
        <v>3.0</v>
      </c>
      <c r="B6" s="125" t="s">
        <v>352</v>
      </c>
      <c r="C6" s="39" t="s">
        <v>769</v>
      </c>
      <c r="D6" s="80" t="s">
        <v>354</v>
      </c>
      <c r="E6" s="39" t="s">
        <v>351</v>
      </c>
      <c r="F6" s="111" t="s">
        <v>21</v>
      </c>
      <c r="G6" s="60" t="s">
        <v>22</v>
      </c>
      <c r="H6" s="39"/>
      <c r="I6" s="80"/>
      <c r="J6" s="39"/>
      <c r="K6" s="39"/>
      <c r="L6" s="39"/>
      <c r="M6" s="60" t="s">
        <v>22</v>
      </c>
      <c r="N6" s="39"/>
      <c r="O6" s="91" t="s">
        <v>921</v>
      </c>
      <c r="P6" s="39"/>
    </row>
    <row r="7">
      <c r="A7" s="124">
        <v>4.0</v>
      </c>
      <c r="B7" s="125" t="s">
        <v>356</v>
      </c>
      <c r="C7" s="39" t="s">
        <v>770</v>
      </c>
      <c r="D7" s="80" t="s">
        <v>358</v>
      </c>
      <c r="E7" s="126" t="s">
        <v>351</v>
      </c>
      <c r="F7" s="91" t="s">
        <v>21</v>
      </c>
      <c r="G7" s="39"/>
      <c r="H7" s="60" t="s">
        <v>22</v>
      </c>
      <c r="I7" s="80"/>
      <c r="J7" s="39"/>
      <c r="K7" s="39"/>
      <c r="L7" s="39"/>
      <c r="M7" s="39"/>
      <c r="N7" s="60" t="s">
        <v>22</v>
      </c>
      <c r="O7" s="91" t="s">
        <v>922</v>
      </c>
      <c r="P7" s="39"/>
    </row>
    <row r="8">
      <c r="A8" s="124">
        <v>5.0</v>
      </c>
      <c r="B8" s="125" t="s">
        <v>359</v>
      </c>
      <c r="C8" s="39" t="s">
        <v>771</v>
      </c>
      <c r="D8" s="80" t="s">
        <v>57</v>
      </c>
      <c r="E8" s="126" t="s">
        <v>351</v>
      </c>
      <c r="F8" s="91" t="s">
        <v>21</v>
      </c>
      <c r="G8" s="39"/>
      <c r="H8" s="60" t="s">
        <v>22</v>
      </c>
      <c r="I8" s="80"/>
      <c r="J8" s="39"/>
      <c r="K8" s="39"/>
      <c r="L8" s="39"/>
      <c r="M8" s="39"/>
      <c r="N8" s="60" t="s">
        <v>22</v>
      </c>
      <c r="O8" s="91" t="s">
        <v>923</v>
      </c>
      <c r="P8" s="39"/>
    </row>
    <row r="9">
      <c r="A9" s="124">
        <v>6.0</v>
      </c>
      <c r="B9" s="125" t="s">
        <v>361</v>
      </c>
      <c r="C9" s="39" t="s">
        <v>772</v>
      </c>
      <c r="D9" s="80" t="s">
        <v>347</v>
      </c>
      <c r="E9" s="126" t="s">
        <v>21</v>
      </c>
      <c r="F9" s="91" t="s">
        <v>20</v>
      </c>
      <c r="G9" s="39"/>
      <c r="H9" s="60" t="s">
        <v>22</v>
      </c>
      <c r="I9" s="80"/>
      <c r="J9" s="39"/>
      <c r="K9" s="39"/>
      <c r="L9" s="39"/>
      <c r="M9" s="60" t="s">
        <v>22</v>
      </c>
      <c r="N9" s="39"/>
      <c r="O9" s="91" t="s">
        <v>924</v>
      </c>
      <c r="P9" s="39"/>
    </row>
    <row r="10">
      <c r="A10" s="124">
        <v>7.0</v>
      </c>
      <c r="B10" s="125" t="s">
        <v>363</v>
      </c>
      <c r="C10" s="39" t="s">
        <v>767</v>
      </c>
      <c r="D10" s="80" t="s">
        <v>364</v>
      </c>
      <c r="E10" s="39" t="s">
        <v>21</v>
      </c>
      <c r="F10" s="111" t="s">
        <v>31</v>
      </c>
      <c r="G10" s="60" t="s">
        <v>22</v>
      </c>
      <c r="H10" s="39"/>
      <c r="I10" s="80"/>
      <c r="J10" s="39"/>
      <c r="K10" s="39"/>
      <c r="L10" s="60" t="s">
        <v>22</v>
      </c>
      <c r="M10" s="39"/>
      <c r="N10" s="39"/>
      <c r="O10" s="91" t="s">
        <v>919</v>
      </c>
      <c r="P10" s="39"/>
    </row>
    <row r="11">
      <c r="A11" s="124">
        <v>8.0</v>
      </c>
      <c r="B11" s="125" t="s">
        <v>365</v>
      </c>
      <c r="C11" s="39" t="s">
        <v>773</v>
      </c>
      <c r="D11" s="80" t="s">
        <v>367</v>
      </c>
      <c r="E11" s="126" t="s">
        <v>351</v>
      </c>
      <c r="F11" s="91" t="s">
        <v>21</v>
      </c>
      <c r="G11" s="39"/>
      <c r="H11" s="60" t="s">
        <v>22</v>
      </c>
      <c r="I11" s="80"/>
      <c r="J11" s="39"/>
      <c r="K11" s="39"/>
      <c r="L11" s="60" t="s">
        <v>22</v>
      </c>
      <c r="M11" s="39"/>
      <c r="N11" s="60" t="s">
        <v>22</v>
      </c>
      <c r="O11" s="91" t="s">
        <v>925</v>
      </c>
      <c r="P11" s="39"/>
    </row>
    <row r="12">
      <c r="A12" s="124">
        <v>9.0</v>
      </c>
      <c r="B12" s="125" t="s">
        <v>368</v>
      </c>
      <c r="C12" s="39" t="s">
        <v>774</v>
      </c>
      <c r="D12" s="80" t="s">
        <v>370</v>
      </c>
      <c r="E12" s="126" t="s">
        <v>351</v>
      </c>
      <c r="F12" s="91" t="s">
        <v>21</v>
      </c>
      <c r="G12" s="39"/>
      <c r="H12" s="60" t="s">
        <v>22</v>
      </c>
      <c r="I12" s="80"/>
      <c r="J12" s="39"/>
      <c r="K12" s="39"/>
      <c r="L12" s="39"/>
      <c r="M12" s="39"/>
      <c r="N12" s="60" t="s">
        <v>22</v>
      </c>
      <c r="O12" s="91" t="s">
        <v>926</v>
      </c>
      <c r="P12" s="39"/>
    </row>
    <row r="13">
      <c r="A13" s="124">
        <v>10.0</v>
      </c>
      <c r="B13" s="125" t="s">
        <v>371</v>
      </c>
      <c r="C13" s="39" t="s">
        <v>775</v>
      </c>
      <c r="D13" s="80" t="s">
        <v>373</v>
      </c>
      <c r="E13" s="126" t="s">
        <v>351</v>
      </c>
      <c r="F13" s="91" t="s">
        <v>21</v>
      </c>
      <c r="G13" s="39"/>
      <c r="H13" s="60" t="s">
        <v>22</v>
      </c>
      <c r="I13" s="80"/>
      <c r="J13" s="39"/>
      <c r="K13" s="39"/>
      <c r="L13" s="39"/>
      <c r="M13" s="39"/>
      <c r="N13" s="60" t="s">
        <v>22</v>
      </c>
      <c r="O13" s="91" t="s">
        <v>927</v>
      </c>
      <c r="P13" s="39"/>
    </row>
    <row r="14">
      <c r="A14" s="124">
        <v>11.0</v>
      </c>
      <c r="B14" s="125" t="s">
        <v>374</v>
      </c>
      <c r="C14" s="39" t="s">
        <v>776</v>
      </c>
      <c r="D14" s="80" t="s">
        <v>232</v>
      </c>
      <c r="E14" s="126" t="s">
        <v>21</v>
      </c>
      <c r="F14" s="91" t="s">
        <v>26</v>
      </c>
      <c r="G14" s="60" t="s">
        <v>862</v>
      </c>
      <c r="H14" s="60" t="s">
        <v>22</v>
      </c>
      <c r="I14" s="80"/>
      <c r="J14" s="39"/>
      <c r="K14" s="39"/>
      <c r="L14" s="39"/>
      <c r="M14" s="60" t="s">
        <v>22</v>
      </c>
      <c r="N14" s="39"/>
      <c r="O14" s="91" t="s">
        <v>928</v>
      </c>
      <c r="P14" s="39"/>
    </row>
    <row r="15">
      <c r="A15" s="124">
        <v>12.0</v>
      </c>
      <c r="B15" s="125" t="s">
        <v>368</v>
      </c>
      <c r="C15" s="39" t="s">
        <v>774</v>
      </c>
      <c r="D15" s="80" t="s">
        <v>370</v>
      </c>
      <c r="E15" s="126" t="s">
        <v>351</v>
      </c>
      <c r="F15" s="91" t="s">
        <v>21</v>
      </c>
      <c r="G15" s="39"/>
      <c r="H15" s="60" t="s">
        <v>22</v>
      </c>
      <c r="I15" s="80"/>
      <c r="J15" s="39"/>
      <c r="K15" s="39"/>
      <c r="L15" s="39"/>
      <c r="M15" s="39"/>
      <c r="N15" s="60" t="s">
        <v>22</v>
      </c>
      <c r="O15" s="91" t="s">
        <v>929</v>
      </c>
      <c r="P15" s="39"/>
    </row>
    <row r="16">
      <c r="A16" s="124">
        <v>13.0</v>
      </c>
      <c r="B16" s="125" t="s">
        <v>377</v>
      </c>
      <c r="C16" s="39" t="s">
        <v>777</v>
      </c>
      <c r="D16" s="80" t="s">
        <v>379</v>
      </c>
      <c r="E16" s="39" t="s">
        <v>351</v>
      </c>
      <c r="F16" s="111" t="s">
        <v>21</v>
      </c>
      <c r="G16" s="60" t="s">
        <v>22</v>
      </c>
      <c r="H16" s="39"/>
      <c r="I16" s="80"/>
      <c r="J16" s="39"/>
      <c r="K16" s="39"/>
      <c r="L16" s="39"/>
      <c r="M16" s="60" t="s">
        <v>22</v>
      </c>
      <c r="N16" s="39"/>
      <c r="O16" s="91" t="s">
        <v>930</v>
      </c>
      <c r="P16" s="39"/>
    </row>
    <row r="17">
      <c r="A17" s="124">
        <v>14.0</v>
      </c>
      <c r="B17" s="125" t="s">
        <v>381</v>
      </c>
      <c r="C17" s="39" t="s">
        <v>778</v>
      </c>
      <c r="D17" s="80" t="s">
        <v>383</v>
      </c>
      <c r="E17" s="39" t="s">
        <v>351</v>
      </c>
      <c r="F17" s="111" t="s">
        <v>21</v>
      </c>
      <c r="G17" s="60" t="s">
        <v>22</v>
      </c>
      <c r="H17" s="39"/>
      <c r="I17" s="80"/>
      <c r="J17" s="39"/>
      <c r="K17" s="39"/>
      <c r="L17" s="39"/>
      <c r="M17" s="60" t="s">
        <v>22</v>
      </c>
      <c r="N17" s="39"/>
      <c r="O17" s="127" t="s">
        <v>931</v>
      </c>
      <c r="P17" s="39"/>
    </row>
    <row r="18">
      <c r="A18" s="124">
        <v>15.0</v>
      </c>
      <c r="B18" s="125" t="s">
        <v>384</v>
      </c>
      <c r="C18" s="39" t="s">
        <v>779</v>
      </c>
      <c r="D18" s="80" t="s">
        <v>216</v>
      </c>
      <c r="E18" s="126" t="s">
        <v>21</v>
      </c>
      <c r="F18" s="91" t="s">
        <v>20</v>
      </c>
      <c r="G18" s="39"/>
      <c r="H18" s="60" t="s">
        <v>22</v>
      </c>
      <c r="I18" s="80"/>
      <c r="J18" s="39"/>
      <c r="K18" s="39"/>
      <c r="L18" s="39"/>
      <c r="M18" s="60" t="s">
        <v>22</v>
      </c>
      <c r="N18" s="39"/>
      <c r="O18" s="91" t="s">
        <v>932</v>
      </c>
      <c r="P18" s="39"/>
    </row>
    <row r="19">
      <c r="A19" s="124">
        <v>16.0</v>
      </c>
      <c r="B19" s="125" t="s">
        <v>387</v>
      </c>
      <c r="C19" s="39" t="s">
        <v>780</v>
      </c>
      <c r="D19" s="80" t="s">
        <v>389</v>
      </c>
      <c r="E19" s="39" t="s">
        <v>21</v>
      </c>
      <c r="F19" s="111" t="s">
        <v>20</v>
      </c>
      <c r="G19" s="60" t="s">
        <v>22</v>
      </c>
      <c r="H19" s="39"/>
      <c r="I19" s="80"/>
      <c r="J19" s="39"/>
      <c r="K19" s="39"/>
      <c r="L19" s="39"/>
      <c r="M19" s="39"/>
      <c r="N19" s="39"/>
      <c r="O19" s="91" t="s">
        <v>933</v>
      </c>
      <c r="P19" s="39"/>
    </row>
    <row r="20">
      <c r="A20" s="124">
        <v>17.0</v>
      </c>
      <c r="B20" s="125" t="s">
        <v>390</v>
      </c>
      <c r="C20" s="39" t="s">
        <v>781</v>
      </c>
      <c r="D20" s="80" t="s">
        <v>392</v>
      </c>
      <c r="E20" s="39" t="s">
        <v>351</v>
      </c>
      <c r="F20" s="111" t="s">
        <v>21</v>
      </c>
      <c r="G20" s="60" t="s">
        <v>22</v>
      </c>
      <c r="H20" s="39"/>
      <c r="I20" s="80"/>
      <c r="J20" s="39"/>
      <c r="K20" s="39"/>
      <c r="L20" s="39"/>
      <c r="M20" s="60" t="s">
        <v>22</v>
      </c>
      <c r="N20" s="39"/>
      <c r="O20" s="91" t="s">
        <v>934</v>
      </c>
      <c r="P20" s="39"/>
    </row>
    <row r="21">
      <c r="A21" s="124">
        <v>18.0</v>
      </c>
      <c r="B21" s="125" t="s">
        <v>394</v>
      </c>
      <c r="C21" s="39" t="s">
        <v>783</v>
      </c>
      <c r="D21" s="80" t="s">
        <v>396</v>
      </c>
      <c r="E21" s="39" t="s">
        <v>21</v>
      </c>
      <c r="F21" s="111" t="s">
        <v>20</v>
      </c>
      <c r="G21" s="60" t="s">
        <v>22</v>
      </c>
      <c r="H21" s="39"/>
      <c r="I21" s="80"/>
      <c r="J21" s="39"/>
      <c r="K21" s="60" t="s">
        <v>22</v>
      </c>
      <c r="L21" s="39"/>
      <c r="M21" s="39"/>
      <c r="N21" s="39"/>
      <c r="O21" s="91" t="s">
        <v>935</v>
      </c>
      <c r="P21" s="39"/>
    </row>
    <row r="22">
      <c r="A22" s="124">
        <v>19.0</v>
      </c>
      <c r="B22" s="125" t="s">
        <v>398</v>
      </c>
      <c r="C22" s="39" t="s">
        <v>784</v>
      </c>
      <c r="D22" s="80" t="s">
        <v>400</v>
      </c>
      <c r="E22" s="39" t="s">
        <v>21</v>
      </c>
      <c r="F22" s="111" t="s">
        <v>20</v>
      </c>
      <c r="G22" s="60" t="s">
        <v>22</v>
      </c>
      <c r="H22" s="39"/>
      <c r="I22" s="80"/>
      <c r="J22" s="39"/>
      <c r="K22" s="60" t="s">
        <v>22</v>
      </c>
      <c r="L22" s="39"/>
      <c r="M22" s="39"/>
      <c r="N22" s="39"/>
      <c r="O22" s="91" t="s">
        <v>936</v>
      </c>
      <c r="P22" s="39"/>
    </row>
    <row r="23">
      <c r="A23" s="124">
        <v>20.0</v>
      </c>
      <c r="B23" s="125" t="s">
        <v>402</v>
      </c>
      <c r="C23" s="39" t="s">
        <v>773</v>
      </c>
      <c r="D23" s="80" t="s">
        <v>403</v>
      </c>
      <c r="E23" s="126" t="s">
        <v>351</v>
      </c>
      <c r="F23" s="91" t="s">
        <v>21</v>
      </c>
      <c r="G23" s="39"/>
      <c r="H23" s="60" t="s">
        <v>22</v>
      </c>
      <c r="I23" s="80"/>
      <c r="J23" s="39"/>
      <c r="K23" s="39"/>
      <c r="L23" s="39"/>
      <c r="M23" s="39"/>
      <c r="N23" s="60" t="s">
        <v>22</v>
      </c>
      <c r="O23" s="91" t="s">
        <v>925</v>
      </c>
      <c r="P23" s="39"/>
    </row>
    <row r="24">
      <c r="A24" s="124">
        <v>21.0</v>
      </c>
      <c r="B24" s="125" t="s">
        <v>404</v>
      </c>
      <c r="C24" s="39" t="s">
        <v>785</v>
      </c>
      <c r="D24" s="80" t="s">
        <v>25</v>
      </c>
      <c r="E24" s="126" t="s">
        <v>21</v>
      </c>
      <c r="F24" s="111" t="s">
        <v>26</v>
      </c>
      <c r="G24" s="39"/>
      <c r="H24" s="39"/>
      <c r="I24" s="92" t="s">
        <v>22</v>
      </c>
      <c r="J24" s="39"/>
      <c r="K24" s="60" t="s">
        <v>22</v>
      </c>
      <c r="L24" s="39"/>
      <c r="M24" s="60" t="s">
        <v>22</v>
      </c>
      <c r="N24" s="128"/>
      <c r="O24" s="91" t="s">
        <v>937</v>
      </c>
      <c r="P24" s="39"/>
    </row>
    <row r="25">
      <c r="A25" s="124">
        <v>22.0</v>
      </c>
      <c r="B25" s="125" t="s">
        <v>406</v>
      </c>
      <c r="C25" s="39" t="s">
        <v>786</v>
      </c>
      <c r="D25" s="80" t="s">
        <v>114</v>
      </c>
      <c r="E25" s="39" t="s">
        <v>21</v>
      </c>
      <c r="F25" s="111" t="s">
        <v>31</v>
      </c>
      <c r="G25" s="60" t="s">
        <v>22</v>
      </c>
      <c r="H25" s="39"/>
      <c r="I25" s="80"/>
      <c r="J25" s="39"/>
      <c r="K25" s="60" t="s">
        <v>22</v>
      </c>
      <c r="L25" s="39"/>
      <c r="M25" s="39"/>
      <c r="N25" s="39"/>
      <c r="O25" s="91" t="s">
        <v>938</v>
      </c>
      <c r="P25" s="39"/>
    </row>
    <row r="26">
      <c r="A26" s="124">
        <v>23.0</v>
      </c>
      <c r="B26" s="125" t="s">
        <v>408</v>
      </c>
      <c r="C26" s="39" t="s">
        <v>788</v>
      </c>
      <c r="D26" s="80" t="s">
        <v>410</v>
      </c>
      <c r="E26" s="39" t="s">
        <v>21</v>
      </c>
      <c r="F26" s="111" t="s">
        <v>31</v>
      </c>
      <c r="G26" s="60" t="s">
        <v>22</v>
      </c>
      <c r="H26" s="39"/>
      <c r="I26" s="80"/>
      <c r="J26" s="39"/>
      <c r="K26" s="60" t="s">
        <v>22</v>
      </c>
      <c r="L26" s="39"/>
      <c r="M26" s="39"/>
      <c r="N26" s="39"/>
      <c r="O26" s="91" t="s">
        <v>939</v>
      </c>
      <c r="P26" s="39"/>
    </row>
    <row r="27">
      <c r="A27" s="124">
        <v>24.0</v>
      </c>
      <c r="B27" s="125" t="s">
        <v>411</v>
      </c>
      <c r="C27" s="39" t="s">
        <v>789</v>
      </c>
      <c r="D27" s="80" t="s">
        <v>413</v>
      </c>
      <c r="E27" s="39" t="s">
        <v>351</v>
      </c>
      <c r="F27" s="111" t="s">
        <v>21</v>
      </c>
      <c r="G27" s="60" t="s">
        <v>22</v>
      </c>
      <c r="H27" s="39"/>
      <c r="I27" s="80"/>
      <c r="J27" s="39"/>
      <c r="K27" s="39"/>
      <c r="L27" s="39"/>
      <c r="M27" s="60" t="s">
        <v>22</v>
      </c>
      <c r="N27" s="39"/>
      <c r="O27" s="91" t="s">
        <v>940</v>
      </c>
      <c r="P27" s="39"/>
    </row>
    <row r="28">
      <c r="A28" s="124">
        <v>25.0</v>
      </c>
      <c r="B28" s="125" t="s">
        <v>414</v>
      </c>
      <c r="C28" s="39" t="s">
        <v>790</v>
      </c>
      <c r="D28" s="80" t="s">
        <v>416</v>
      </c>
      <c r="E28" s="39" t="s">
        <v>21</v>
      </c>
      <c r="F28" s="111" t="s">
        <v>20</v>
      </c>
      <c r="G28" s="60" t="s">
        <v>22</v>
      </c>
      <c r="H28" s="39"/>
      <c r="I28" s="80"/>
      <c r="J28" s="39"/>
      <c r="K28" s="39"/>
      <c r="L28" s="39"/>
      <c r="M28" s="39"/>
      <c r="N28" s="39"/>
      <c r="O28" s="91" t="s">
        <v>941</v>
      </c>
      <c r="P28" s="39"/>
    </row>
    <row r="29">
      <c r="A29" s="124">
        <v>26.0</v>
      </c>
      <c r="B29" s="125" t="s">
        <v>417</v>
      </c>
      <c r="C29" s="39" t="s">
        <v>789</v>
      </c>
      <c r="D29" s="80" t="s">
        <v>418</v>
      </c>
      <c r="E29" s="126" t="s">
        <v>21</v>
      </c>
      <c r="F29" s="111" t="s">
        <v>20</v>
      </c>
      <c r="G29" s="39"/>
      <c r="H29" s="39"/>
      <c r="I29" s="92" t="s">
        <v>22</v>
      </c>
      <c r="J29" s="39"/>
      <c r="K29" s="39"/>
      <c r="L29" s="39"/>
      <c r="M29" s="60" t="s">
        <v>22</v>
      </c>
      <c r="N29" s="39"/>
      <c r="O29" s="91" t="s">
        <v>942</v>
      </c>
      <c r="P29" s="39"/>
    </row>
    <row r="30">
      <c r="A30" s="124">
        <v>27.0</v>
      </c>
      <c r="B30" s="125" t="s">
        <v>420</v>
      </c>
      <c r="C30" s="39" t="s">
        <v>791</v>
      </c>
      <c r="D30" s="80" t="s">
        <v>422</v>
      </c>
      <c r="E30" s="39" t="s">
        <v>351</v>
      </c>
      <c r="F30" s="111" t="s">
        <v>21</v>
      </c>
      <c r="G30" s="60" t="s">
        <v>22</v>
      </c>
      <c r="H30" s="39"/>
      <c r="I30" s="80"/>
      <c r="J30" s="39"/>
      <c r="K30" s="39"/>
      <c r="L30" s="39"/>
      <c r="M30" s="60" t="s">
        <v>22</v>
      </c>
      <c r="N30" s="39"/>
      <c r="O30" s="91" t="s">
        <v>943</v>
      </c>
      <c r="P30" s="39"/>
    </row>
    <row r="31">
      <c r="A31" s="124">
        <v>28.0</v>
      </c>
      <c r="B31" s="125" t="s">
        <v>424</v>
      </c>
      <c r="C31" s="39" t="s">
        <v>792</v>
      </c>
      <c r="D31" s="80" t="s">
        <v>426</v>
      </c>
      <c r="E31" s="126" t="s">
        <v>21</v>
      </c>
      <c r="F31" s="91" t="s">
        <v>31</v>
      </c>
      <c r="G31" s="39"/>
      <c r="H31" s="60" t="s">
        <v>22</v>
      </c>
      <c r="I31" s="80"/>
      <c r="J31" s="39"/>
      <c r="K31" s="39"/>
      <c r="L31" s="39"/>
      <c r="M31" s="60" t="s">
        <v>22</v>
      </c>
      <c r="N31" s="39"/>
      <c r="O31" s="91" t="s">
        <v>944</v>
      </c>
      <c r="P31" s="39"/>
    </row>
    <row r="32">
      <c r="A32" s="124">
        <v>29.0</v>
      </c>
      <c r="B32" s="125" t="s">
        <v>428</v>
      </c>
      <c r="C32" s="39" t="s">
        <v>794</v>
      </c>
      <c r="D32" s="80" t="s">
        <v>430</v>
      </c>
      <c r="E32" s="39" t="s">
        <v>351</v>
      </c>
      <c r="F32" s="111" t="s">
        <v>21</v>
      </c>
      <c r="G32" s="60" t="s">
        <v>22</v>
      </c>
      <c r="H32" s="39"/>
      <c r="I32" s="80"/>
      <c r="J32" s="39"/>
      <c r="K32" s="39"/>
      <c r="L32" s="39"/>
      <c r="M32" s="60" t="s">
        <v>22</v>
      </c>
      <c r="N32" s="39"/>
      <c r="O32" s="91" t="s">
        <v>945</v>
      </c>
      <c r="P32" s="39"/>
    </row>
    <row r="33">
      <c r="A33" s="124">
        <v>30.0</v>
      </c>
      <c r="B33" s="125" t="s">
        <v>431</v>
      </c>
      <c r="C33" s="39" t="s">
        <v>795</v>
      </c>
      <c r="D33" s="80" t="s">
        <v>95</v>
      </c>
      <c r="E33" s="126" t="s">
        <v>21</v>
      </c>
      <c r="F33" s="91" t="s">
        <v>20</v>
      </c>
      <c r="G33" s="39"/>
      <c r="H33" s="60" t="s">
        <v>22</v>
      </c>
      <c r="I33" s="80"/>
      <c r="J33" s="39"/>
      <c r="K33" s="39"/>
      <c r="L33" s="39"/>
      <c r="M33" s="60" t="s">
        <v>22</v>
      </c>
      <c r="N33" s="39"/>
      <c r="O33" s="91" t="s">
        <v>946</v>
      </c>
      <c r="P33" s="39"/>
    </row>
    <row r="34">
      <c r="A34" s="124">
        <v>31.0</v>
      </c>
      <c r="B34" s="125" t="s">
        <v>433</v>
      </c>
      <c r="C34" s="39" t="s">
        <v>796</v>
      </c>
      <c r="D34" s="80" t="s">
        <v>435</v>
      </c>
      <c r="E34" s="126" t="s">
        <v>351</v>
      </c>
      <c r="F34" s="91" t="s">
        <v>21</v>
      </c>
      <c r="G34" s="39"/>
      <c r="H34" s="60" t="s">
        <v>22</v>
      </c>
      <c r="I34" s="80"/>
      <c r="J34" s="39"/>
      <c r="K34" s="39"/>
      <c r="L34" s="60" t="s">
        <v>22</v>
      </c>
      <c r="M34" s="39"/>
      <c r="N34" s="60" t="s">
        <v>22</v>
      </c>
      <c r="O34" s="91" t="s">
        <v>947</v>
      </c>
      <c r="P34" s="39"/>
    </row>
    <row r="35">
      <c r="A35" s="124">
        <v>32.0</v>
      </c>
      <c r="B35" s="125" t="s">
        <v>436</v>
      </c>
      <c r="C35" s="39" t="s">
        <v>797</v>
      </c>
      <c r="D35" s="80" t="s">
        <v>95</v>
      </c>
      <c r="E35" s="126" t="s">
        <v>21</v>
      </c>
      <c r="F35" s="91" t="s">
        <v>20</v>
      </c>
      <c r="G35" s="39"/>
      <c r="H35" s="60" t="s">
        <v>22</v>
      </c>
      <c r="I35" s="80"/>
      <c r="J35" s="39"/>
      <c r="K35" s="39"/>
      <c r="L35" s="39"/>
      <c r="M35" s="60" t="s">
        <v>22</v>
      </c>
      <c r="N35" s="39"/>
      <c r="O35" s="91" t="s">
        <v>948</v>
      </c>
      <c r="P35" s="39"/>
    </row>
    <row r="36">
      <c r="A36" s="124">
        <v>33.0</v>
      </c>
      <c r="B36" s="125" t="s">
        <v>439</v>
      </c>
      <c r="C36" s="39" t="s">
        <v>798</v>
      </c>
      <c r="D36" s="80" t="s">
        <v>42</v>
      </c>
      <c r="E36" s="126" t="s">
        <v>21</v>
      </c>
      <c r="F36" s="111" t="s">
        <v>20</v>
      </c>
      <c r="G36" s="39"/>
      <c r="H36" s="39"/>
      <c r="I36" s="92" t="s">
        <v>22</v>
      </c>
      <c r="J36" s="39"/>
      <c r="K36" s="60" t="s">
        <v>22</v>
      </c>
      <c r="L36" s="39"/>
      <c r="M36" s="60" t="s">
        <v>22</v>
      </c>
      <c r="N36" s="60" t="s">
        <v>949</v>
      </c>
      <c r="O36" s="91" t="s">
        <v>950</v>
      </c>
      <c r="P36" s="39"/>
    </row>
    <row r="37">
      <c r="A37" s="124">
        <v>34.0</v>
      </c>
      <c r="B37" s="125" t="s">
        <v>442</v>
      </c>
      <c r="C37" s="39" t="s">
        <v>800</v>
      </c>
      <c r="D37" s="80" t="s">
        <v>25</v>
      </c>
      <c r="E37" s="39" t="s">
        <v>21</v>
      </c>
      <c r="F37" s="111" t="s">
        <v>20</v>
      </c>
      <c r="G37" s="60" t="s">
        <v>22</v>
      </c>
      <c r="H37" s="39"/>
      <c r="I37" s="80"/>
      <c r="J37" s="39"/>
      <c r="K37" s="60" t="s">
        <v>22</v>
      </c>
      <c r="L37" s="39"/>
      <c r="M37" s="39"/>
      <c r="N37" s="39"/>
      <c r="O37" s="91" t="s">
        <v>951</v>
      </c>
      <c r="P37" s="39"/>
    </row>
    <row r="38">
      <c r="A38" s="124">
        <v>35.0</v>
      </c>
      <c r="B38" s="125" t="s">
        <v>445</v>
      </c>
      <c r="C38" s="39" t="s">
        <v>801</v>
      </c>
      <c r="D38" s="80" t="s">
        <v>447</v>
      </c>
      <c r="E38" s="126" t="s">
        <v>21</v>
      </c>
      <c r="F38" s="91" t="s">
        <v>20</v>
      </c>
      <c r="G38" s="39"/>
      <c r="H38" s="60" t="s">
        <v>22</v>
      </c>
      <c r="I38" s="80"/>
      <c r="J38" s="39"/>
      <c r="K38" s="39"/>
      <c r="L38" s="39"/>
      <c r="M38" s="60" t="s">
        <v>22</v>
      </c>
      <c r="N38" s="39"/>
      <c r="O38" s="91" t="s">
        <v>952</v>
      </c>
      <c r="P38" s="39"/>
    </row>
    <row r="39">
      <c r="A39" s="124">
        <v>36.0</v>
      </c>
      <c r="B39" s="125" t="s">
        <v>448</v>
      </c>
      <c r="C39" s="39" t="s">
        <v>802</v>
      </c>
      <c r="D39" s="80" t="s">
        <v>450</v>
      </c>
      <c r="E39" s="39" t="s">
        <v>21</v>
      </c>
      <c r="F39" s="111" t="s">
        <v>20</v>
      </c>
      <c r="G39" s="60" t="s">
        <v>22</v>
      </c>
      <c r="H39" s="39"/>
      <c r="I39" s="80"/>
      <c r="J39" s="39"/>
      <c r="K39" s="60" t="s">
        <v>22</v>
      </c>
      <c r="L39" s="39"/>
      <c r="M39" s="39"/>
      <c r="N39" s="39"/>
      <c r="O39" s="91" t="s">
        <v>951</v>
      </c>
      <c r="P39" s="39"/>
    </row>
    <row r="40">
      <c r="A40" s="124">
        <v>37.0</v>
      </c>
      <c r="B40" s="125" t="s">
        <v>452</v>
      </c>
      <c r="C40" s="39" t="s">
        <v>769</v>
      </c>
      <c r="D40" s="80" t="s">
        <v>454</v>
      </c>
      <c r="E40" s="39" t="s">
        <v>21</v>
      </c>
      <c r="F40" s="111" t="s">
        <v>20</v>
      </c>
      <c r="G40" s="60" t="s">
        <v>22</v>
      </c>
      <c r="H40" s="39"/>
      <c r="I40" s="80"/>
      <c r="J40" s="39"/>
      <c r="K40" s="60" t="s">
        <v>22</v>
      </c>
      <c r="L40" s="39"/>
      <c r="M40" s="39"/>
      <c r="N40" s="39"/>
      <c r="O40" s="91" t="s">
        <v>953</v>
      </c>
      <c r="P40" s="39"/>
    </row>
    <row r="41">
      <c r="A41" s="124">
        <v>38.0</v>
      </c>
      <c r="B41" s="125" t="s">
        <v>456</v>
      </c>
      <c r="C41" s="39" t="s">
        <v>803</v>
      </c>
      <c r="D41" s="80" t="s">
        <v>458</v>
      </c>
      <c r="E41" s="39" t="s">
        <v>21</v>
      </c>
      <c r="F41" s="111" t="s">
        <v>20</v>
      </c>
      <c r="G41" s="60" t="s">
        <v>22</v>
      </c>
      <c r="H41" s="39"/>
      <c r="I41" s="80"/>
      <c r="J41" s="39"/>
      <c r="K41" s="60" t="s">
        <v>22</v>
      </c>
      <c r="L41" s="39"/>
      <c r="M41" s="39"/>
      <c r="N41" s="39"/>
      <c r="O41" s="91" t="s">
        <v>951</v>
      </c>
      <c r="P41" s="39"/>
    </row>
    <row r="42">
      <c r="A42" s="124">
        <v>39.0</v>
      </c>
      <c r="B42" s="125" t="s">
        <v>460</v>
      </c>
      <c r="C42" s="39" t="s">
        <v>805</v>
      </c>
      <c r="D42" s="80" t="s">
        <v>462</v>
      </c>
      <c r="E42" s="39" t="s">
        <v>351</v>
      </c>
      <c r="F42" s="111" t="s">
        <v>21</v>
      </c>
      <c r="G42" s="60" t="s">
        <v>22</v>
      </c>
      <c r="H42" s="39"/>
      <c r="I42" s="80"/>
      <c r="J42" s="39"/>
      <c r="K42" s="39"/>
      <c r="L42" s="39"/>
      <c r="M42" s="60" t="s">
        <v>22</v>
      </c>
      <c r="N42" s="39"/>
      <c r="O42" s="91" t="s">
        <v>954</v>
      </c>
      <c r="P42" s="39"/>
    </row>
    <row r="43">
      <c r="A43" s="124">
        <v>40.0</v>
      </c>
      <c r="B43" s="125" t="s">
        <v>464</v>
      </c>
      <c r="C43" s="39" t="s">
        <v>806</v>
      </c>
      <c r="D43" s="80" t="s">
        <v>466</v>
      </c>
      <c r="E43" s="39" t="s">
        <v>21</v>
      </c>
      <c r="F43" s="111" t="s">
        <v>31</v>
      </c>
      <c r="G43" s="60" t="s">
        <v>22</v>
      </c>
      <c r="H43" s="39"/>
      <c r="I43" s="80"/>
      <c r="J43" s="39"/>
      <c r="K43" s="60" t="s">
        <v>22</v>
      </c>
      <c r="L43" s="39"/>
      <c r="M43" s="39"/>
      <c r="N43" s="39"/>
      <c r="O43" s="91" t="s">
        <v>955</v>
      </c>
      <c r="P43" s="39"/>
    </row>
    <row r="44">
      <c r="A44" s="124">
        <v>41.0</v>
      </c>
      <c r="B44" s="125" t="s">
        <v>467</v>
      </c>
      <c r="C44" s="39" t="s">
        <v>807</v>
      </c>
      <c r="D44" s="80" t="s">
        <v>469</v>
      </c>
      <c r="E44" s="39" t="s">
        <v>351</v>
      </c>
      <c r="F44" s="111" t="s">
        <v>21</v>
      </c>
      <c r="G44" s="60" t="s">
        <v>22</v>
      </c>
      <c r="H44" s="39"/>
      <c r="I44" s="80"/>
      <c r="J44" s="60" t="s">
        <v>22</v>
      </c>
      <c r="K44" s="39"/>
      <c r="L44" s="39"/>
      <c r="M44" s="60" t="s">
        <v>22</v>
      </c>
      <c r="N44" s="39"/>
      <c r="O44" s="91" t="s">
        <v>956</v>
      </c>
      <c r="P44" s="39"/>
    </row>
    <row r="45">
      <c r="A45" s="124">
        <v>42.0</v>
      </c>
      <c r="B45" s="125" t="s">
        <v>470</v>
      </c>
      <c r="C45" s="39" t="s">
        <v>808</v>
      </c>
      <c r="D45" s="80" t="s">
        <v>212</v>
      </c>
      <c r="E45" s="126" t="s">
        <v>351</v>
      </c>
      <c r="F45" s="91" t="s">
        <v>21</v>
      </c>
      <c r="G45" s="39"/>
      <c r="H45" s="60" t="s">
        <v>22</v>
      </c>
      <c r="I45" s="80"/>
      <c r="J45" s="39"/>
      <c r="K45" s="39"/>
      <c r="L45" s="60" t="s">
        <v>22</v>
      </c>
      <c r="M45" s="39"/>
      <c r="N45" s="60" t="s">
        <v>22</v>
      </c>
      <c r="O45" s="91" t="s">
        <v>957</v>
      </c>
      <c r="P45" s="39"/>
    </row>
    <row r="46">
      <c r="A46" s="124">
        <v>43.0</v>
      </c>
      <c r="B46" s="125" t="s">
        <v>473</v>
      </c>
      <c r="C46" s="39" t="s">
        <v>809</v>
      </c>
      <c r="D46" s="80" t="s">
        <v>475</v>
      </c>
      <c r="E46" s="126" t="s">
        <v>21</v>
      </c>
      <c r="F46" s="91" t="s">
        <v>20</v>
      </c>
      <c r="G46" s="39"/>
      <c r="H46" s="60" t="s">
        <v>22</v>
      </c>
      <c r="I46" s="80"/>
      <c r="J46" s="39"/>
      <c r="K46" s="39"/>
      <c r="L46" s="39"/>
      <c r="M46" s="60" t="s">
        <v>22</v>
      </c>
      <c r="N46" s="39"/>
      <c r="O46" s="91" t="s">
        <v>958</v>
      </c>
      <c r="P46" s="39"/>
    </row>
    <row r="47">
      <c r="A47" s="124">
        <v>44.0</v>
      </c>
      <c r="B47" s="125" t="s">
        <v>477</v>
      </c>
      <c r="C47" s="39" t="s">
        <v>810</v>
      </c>
      <c r="D47" s="80" t="s">
        <v>479</v>
      </c>
      <c r="E47" s="39" t="s">
        <v>351</v>
      </c>
      <c r="F47" s="111" t="s">
        <v>21</v>
      </c>
      <c r="G47" s="60" t="s">
        <v>22</v>
      </c>
      <c r="H47" s="39"/>
      <c r="I47" s="80"/>
      <c r="J47" s="39"/>
      <c r="K47" s="39"/>
      <c r="L47" s="39"/>
      <c r="M47" s="60" t="s">
        <v>22</v>
      </c>
      <c r="N47" s="39"/>
      <c r="O47" s="91" t="s">
        <v>959</v>
      </c>
      <c r="P47" s="39"/>
    </row>
    <row r="48">
      <c r="A48" s="124">
        <v>45.0</v>
      </c>
      <c r="B48" s="125" t="s">
        <v>481</v>
      </c>
      <c r="C48" s="39" t="s">
        <v>811</v>
      </c>
      <c r="D48" s="80" t="s">
        <v>483</v>
      </c>
      <c r="E48" s="126" t="s">
        <v>351</v>
      </c>
      <c r="F48" s="91" t="s">
        <v>21</v>
      </c>
      <c r="G48" s="39"/>
      <c r="H48" s="60" t="s">
        <v>22</v>
      </c>
      <c r="I48" s="80"/>
      <c r="J48" s="39"/>
      <c r="K48" s="39"/>
      <c r="L48" s="60" t="s">
        <v>22</v>
      </c>
      <c r="M48" s="39"/>
      <c r="N48" s="60" t="s">
        <v>22</v>
      </c>
      <c r="O48" s="91" t="s">
        <v>960</v>
      </c>
      <c r="P48" s="39"/>
    </row>
    <row r="49">
      <c r="A49" s="124">
        <v>46.0</v>
      </c>
      <c r="B49" s="125" t="s">
        <v>485</v>
      </c>
      <c r="C49" s="39" t="s">
        <v>772</v>
      </c>
      <c r="D49" s="80" t="s">
        <v>486</v>
      </c>
      <c r="E49" s="39" t="s">
        <v>21</v>
      </c>
      <c r="F49" s="111" t="s">
        <v>20</v>
      </c>
      <c r="G49" s="60" t="s">
        <v>22</v>
      </c>
      <c r="H49" s="39"/>
      <c r="I49" s="80"/>
      <c r="J49" s="39"/>
      <c r="K49" s="60" t="s">
        <v>22</v>
      </c>
      <c r="L49" s="39"/>
      <c r="M49" s="39"/>
      <c r="N49" s="39"/>
      <c r="O49" s="91" t="s">
        <v>961</v>
      </c>
      <c r="P49" s="39"/>
    </row>
    <row r="50">
      <c r="A50" s="124">
        <v>47.0</v>
      </c>
      <c r="B50" s="125" t="s">
        <v>488</v>
      </c>
      <c r="C50" s="39" t="s">
        <v>773</v>
      </c>
      <c r="D50" s="80" t="s">
        <v>489</v>
      </c>
      <c r="E50" s="39" t="s">
        <v>351</v>
      </c>
      <c r="F50" s="111" t="s">
        <v>21</v>
      </c>
      <c r="G50" s="60" t="s">
        <v>22</v>
      </c>
      <c r="H50" s="39"/>
      <c r="I50" s="80"/>
      <c r="J50" s="39"/>
      <c r="K50" s="39"/>
      <c r="L50" s="39"/>
      <c r="M50" s="60" t="s">
        <v>22</v>
      </c>
      <c r="N50" s="39"/>
      <c r="O50" s="91" t="s">
        <v>962</v>
      </c>
      <c r="P50" s="39"/>
    </row>
    <row r="51">
      <c r="A51" s="124">
        <v>48.0</v>
      </c>
      <c r="B51" s="125" t="s">
        <v>491</v>
      </c>
      <c r="C51" s="39" t="s">
        <v>767</v>
      </c>
      <c r="D51" s="80" t="s">
        <v>492</v>
      </c>
      <c r="E51" s="126" t="s">
        <v>351</v>
      </c>
      <c r="F51" s="91" t="s">
        <v>21</v>
      </c>
      <c r="G51" s="39"/>
      <c r="H51" s="60" t="s">
        <v>22</v>
      </c>
      <c r="I51" s="80"/>
      <c r="J51" s="39"/>
      <c r="K51" s="39"/>
      <c r="L51" s="39"/>
      <c r="M51" s="39"/>
      <c r="N51" s="60" t="s">
        <v>22</v>
      </c>
      <c r="O51" s="91" t="s">
        <v>947</v>
      </c>
      <c r="P51" s="39"/>
    </row>
    <row r="52">
      <c r="A52" s="124">
        <v>49.0</v>
      </c>
      <c r="B52" s="125" t="s">
        <v>493</v>
      </c>
      <c r="C52" s="39" t="s">
        <v>813</v>
      </c>
      <c r="D52" s="80" t="s">
        <v>495</v>
      </c>
      <c r="E52" s="39" t="s">
        <v>351</v>
      </c>
      <c r="F52" s="111" t="s">
        <v>21</v>
      </c>
      <c r="G52" s="60" t="s">
        <v>22</v>
      </c>
      <c r="H52" s="39"/>
      <c r="I52" s="80"/>
      <c r="J52" s="39"/>
      <c r="K52" s="39"/>
      <c r="L52" s="39"/>
      <c r="M52" s="60" t="s">
        <v>22</v>
      </c>
      <c r="N52" s="39"/>
      <c r="O52" s="91" t="s">
        <v>963</v>
      </c>
      <c r="P52" s="39"/>
    </row>
    <row r="53">
      <c r="A53" s="124">
        <v>50.0</v>
      </c>
      <c r="B53" s="125" t="s">
        <v>497</v>
      </c>
      <c r="C53" s="39" t="s">
        <v>814</v>
      </c>
      <c r="D53" s="80" t="s">
        <v>499</v>
      </c>
      <c r="E53" s="39" t="s">
        <v>21</v>
      </c>
      <c r="F53" s="111" t="s">
        <v>20</v>
      </c>
      <c r="G53" s="60" t="s">
        <v>22</v>
      </c>
      <c r="H53" s="39"/>
      <c r="I53" s="80"/>
      <c r="J53" s="39"/>
      <c r="K53" s="60" t="s">
        <v>22</v>
      </c>
      <c r="L53" s="39"/>
      <c r="M53" s="39"/>
      <c r="N53" s="39"/>
      <c r="O53" s="91" t="s">
        <v>953</v>
      </c>
      <c r="P53" s="39"/>
    </row>
    <row r="54">
      <c r="A54" s="124">
        <v>51.0</v>
      </c>
      <c r="B54" s="125" t="s">
        <v>501</v>
      </c>
      <c r="C54" s="39" t="s">
        <v>815</v>
      </c>
      <c r="D54" s="80" t="s">
        <v>503</v>
      </c>
      <c r="E54" s="39" t="s">
        <v>21</v>
      </c>
      <c r="F54" s="111" t="s">
        <v>31</v>
      </c>
      <c r="G54" s="60" t="s">
        <v>22</v>
      </c>
      <c r="H54" s="39"/>
      <c r="I54" s="80"/>
      <c r="J54" s="39"/>
      <c r="K54" s="60" t="s">
        <v>22</v>
      </c>
      <c r="L54" s="39"/>
      <c r="M54" s="39"/>
      <c r="N54" s="39"/>
      <c r="O54" s="91" t="s">
        <v>955</v>
      </c>
      <c r="P54" s="39"/>
    </row>
    <row r="55">
      <c r="A55" s="124">
        <v>52.0</v>
      </c>
      <c r="B55" s="125" t="s">
        <v>505</v>
      </c>
      <c r="C55" s="39" t="s">
        <v>788</v>
      </c>
      <c r="D55" s="80" t="s">
        <v>506</v>
      </c>
      <c r="E55" s="126" t="s">
        <v>21</v>
      </c>
      <c r="F55" s="91" t="s">
        <v>31</v>
      </c>
      <c r="G55" s="39"/>
      <c r="H55" s="60" t="s">
        <v>22</v>
      </c>
      <c r="I55" s="80"/>
      <c r="J55" s="39"/>
      <c r="K55" s="39"/>
      <c r="L55" s="39"/>
      <c r="M55" s="60" t="s">
        <v>22</v>
      </c>
      <c r="N55" s="39"/>
      <c r="O55" s="91" t="s">
        <v>964</v>
      </c>
      <c r="P55" s="39"/>
    </row>
    <row r="56">
      <c r="A56" s="124">
        <v>53.0</v>
      </c>
      <c r="B56" s="125" t="s">
        <v>508</v>
      </c>
      <c r="C56" s="39" t="s">
        <v>816</v>
      </c>
      <c r="D56" s="80" t="s">
        <v>510</v>
      </c>
      <c r="E56" s="39" t="s">
        <v>21</v>
      </c>
      <c r="F56" s="111" t="s">
        <v>20</v>
      </c>
      <c r="G56" s="60" t="s">
        <v>22</v>
      </c>
      <c r="H56" s="39"/>
      <c r="I56" s="80"/>
      <c r="J56" s="39"/>
      <c r="K56" s="60" t="s">
        <v>22</v>
      </c>
      <c r="L56" s="39"/>
      <c r="M56" s="39"/>
      <c r="N56" s="39"/>
      <c r="O56" s="91" t="s">
        <v>965</v>
      </c>
      <c r="P56" s="39"/>
    </row>
    <row r="57">
      <c r="A57" s="124">
        <v>54.0</v>
      </c>
      <c r="B57" s="125" t="s">
        <v>511</v>
      </c>
      <c r="C57" s="39" t="s">
        <v>817</v>
      </c>
      <c r="D57" s="80" t="s">
        <v>80</v>
      </c>
      <c r="E57" s="39" t="s">
        <v>351</v>
      </c>
      <c r="F57" s="111" t="s">
        <v>21</v>
      </c>
      <c r="G57" s="60" t="s">
        <v>22</v>
      </c>
      <c r="H57" s="39"/>
      <c r="I57" s="80"/>
      <c r="J57" s="60" t="s">
        <v>22</v>
      </c>
      <c r="K57" s="39"/>
      <c r="L57" s="39"/>
      <c r="M57" s="60" t="s">
        <v>22</v>
      </c>
      <c r="N57" s="39"/>
      <c r="O57" s="91" t="s">
        <v>966</v>
      </c>
      <c r="P57" s="39"/>
    </row>
    <row r="58">
      <c r="A58" s="124">
        <v>55.0</v>
      </c>
      <c r="B58" s="125" t="s">
        <v>513</v>
      </c>
      <c r="C58" s="39" t="s">
        <v>789</v>
      </c>
      <c r="D58" s="80" t="s">
        <v>515</v>
      </c>
      <c r="E58" s="126" t="s">
        <v>351</v>
      </c>
      <c r="F58" s="91" t="s">
        <v>21</v>
      </c>
      <c r="G58" s="39"/>
      <c r="H58" s="60" t="s">
        <v>22</v>
      </c>
      <c r="I58" s="80"/>
      <c r="J58" s="39"/>
      <c r="K58" s="39"/>
      <c r="L58" s="39"/>
      <c r="M58" s="39"/>
      <c r="N58" s="60" t="s">
        <v>22</v>
      </c>
      <c r="O58" s="91" t="s">
        <v>967</v>
      </c>
      <c r="P58" s="39"/>
    </row>
    <row r="59">
      <c r="A59" s="124">
        <v>56.0</v>
      </c>
      <c r="B59" s="125" t="s">
        <v>517</v>
      </c>
      <c r="C59" s="39" t="s">
        <v>818</v>
      </c>
      <c r="D59" s="80" t="s">
        <v>519</v>
      </c>
      <c r="E59" s="39" t="s">
        <v>351</v>
      </c>
      <c r="F59" s="111" t="s">
        <v>21</v>
      </c>
      <c r="G59" s="60" t="s">
        <v>22</v>
      </c>
      <c r="H59" s="39"/>
      <c r="I59" s="80"/>
      <c r="J59" s="39"/>
      <c r="K59" s="39"/>
      <c r="L59" s="39"/>
      <c r="M59" s="60" t="s">
        <v>22</v>
      </c>
      <c r="N59" s="39"/>
      <c r="O59" s="127" t="s">
        <v>968</v>
      </c>
      <c r="P59" s="39"/>
    </row>
    <row r="60">
      <c r="A60" s="124">
        <v>57.0</v>
      </c>
      <c r="B60" s="125" t="s">
        <v>521</v>
      </c>
      <c r="C60" s="39" t="s">
        <v>819</v>
      </c>
      <c r="D60" s="80" t="s">
        <v>523</v>
      </c>
      <c r="E60" s="39" t="s">
        <v>351</v>
      </c>
      <c r="F60" s="111" t="s">
        <v>21</v>
      </c>
      <c r="G60" s="60" t="s">
        <v>22</v>
      </c>
      <c r="H60" s="39"/>
      <c r="I60" s="80"/>
      <c r="J60" s="60" t="s">
        <v>22</v>
      </c>
      <c r="K60" s="39"/>
      <c r="L60" s="39"/>
      <c r="M60" s="60" t="s">
        <v>22</v>
      </c>
      <c r="N60" s="39"/>
      <c r="O60" s="127" t="s">
        <v>969</v>
      </c>
      <c r="P60" s="39"/>
    </row>
    <row r="61">
      <c r="A61" s="124">
        <v>58.0</v>
      </c>
      <c r="B61" s="125" t="s">
        <v>525</v>
      </c>
      <c r="C61" s="39" t="s">
        <v>776</v>
      </c>
      <c r="D61" s="80" t="s">
        <v>370</v>
      </c>
      <c r="E61" s="126" t="s">
        <v>351</v>
      </c>
      <c r="F61" s="91" t="s">
        <v>21</v>
      </c>
      <c r="G61" s="39"/>
      <c r="H61" s="60" t="s">
        <v>22</v>
      </c>
      <c r="I61" s="80"/>
      <c r="J61" s="39"/>
      <c r="K61" s="39"/>
      <c r="L61" s="60" t="s">
        <v>22</v>
      </c>
      <c r="M61" s="39"/>
      <c r="N61" s="60" t="s">
        <v>22</v>
      </c>
      <c r="O61" s="129" t="s">
        <v>970</v>
      </c>
      <c r="P61" s="39"/>
    </row>
    <row r="62">
      <c r="A62" s="124">
        <v>59.0</v>
      </c>
      <c r="B62" s="125" t="s">
        <v>526</v>
      </c>
      <c r="C62" s="39" t="s">
        <v>808</v>
      </c>
      <c r="D62" s="80" t="s">
        <v>527</v>
      </c>
      <c r="E62" s="39" t="s">
        <v>351</v>
      </c>
      <c r="F62" s="111" t="s">
        <v>21</v>
      </c>
      <c r="G62" s="60" t="s">
        <v>22</v>
      </c>
      <c r="H62" s="39"/>
      <c r="I62" s="80"/>
      <c r="J62" s="39"/>
      <c r="K62" s="39"/>
      <c r="L62" s="39"/>
      <c r="M62" s="60" t="s">
        <v>22</v>
      </c>
      <c r="N62" s="39"/>
      <c r="O62" s="91" t="s">
        <v>971</v>
      </c>
      <c r="P62" s="39"/>
    </row>
    <row r="63">
      <c r="A63" s="124">
        <v>60.0</v>
      </c>
      <c r="B63" s="125" t="s">
        <v>529</v>
      </c>
      <c r="C63" s="39" t="s">
        <v>820</v>
      </c>
      <c r="D63" s="80" t="s">
        <v>531</v>
      </c>
      <c r="E63" s="126" t="s">
        <v>351</v>
      </c>
      <c r="F63" s="91" t="s">
        <v>21</v>
      </c>
      <c r="G63" s="39"/>
      <c r="H63" s="60" t="s">
        <v>22</v>
      </c>
      <c r="I63" s="80"/>
      <c r="J63" s="39"/>
      <c r="K63" s="39"/>
      <c r="L63" s="39"/>
      <c r="M63" s="39"/>
      <c r="N63" s="60" t="s">
        <v>22</v>
      </c>
      <c r="O63" s="91" t="s">
        <v>970</v>
      </c>
      <c r="P63" s="39"/>
    </row>
    <row r="64">
      <c r="A64" s="124">
        <v>61.0</v>
      </c>
      <c r="B64" s="125" t="s">
        <v>532</v>
      </c>
      <c r="C64" s="39" t="s">
        <v>821</v>
      </c>
      <c r="D64" s="80" t="s">
        <v>534</v>
      </c>
      <c r="E64" s="126" t="s">
        <v>21</v>
      </c>
      <c r="F64" s="91" t="s">
        <v>26</v>
      </c>
      <c r="G64" s="39"/>
      <c r="H64" s="60" t="s">
        <v>22</v>
      </c>
      <c r="I64" s="80"/>
      <c r="J64" s="39"/>
      <c r="K64" s="39"/>
      <c r="L64" s="39"/>
      <c r="M64" s="60" t="s">
        <v>22</v>
      </c>
      <c r="N64" s="39"/>
      <c r="O64" s="91" t="s">
        <v>972</v>
      </c>
      <c r="P64" s="39"/>
    </row>
    <row r="65">
      <c r="A65" s="124">
        <v>62.0</v>
      </c>
      <c r="B65" s="125" t="s">
        <v>536</v>
      </c>
      <c r="C65" s="39" t="s">
        <v>822</v>
      </c>
      <c r="D65" s="80" t="s">
        <v>538</v>
      </c>
      <c r="E65" s="126" t="s">
        <v>351</v>
      </c>
      <c r="F65" s="91" t="s">
        <v>21</v>
      </c>
      <c r="G65" s="39"/>
      <c r="H65" s="60" t="s">
        <v>22</v>
      </c>
      <c r="I65" s="80"/>
      <c r="J65" s="39"/>
      <c r="K65" s="39"/>
      <c r="L65" s="39"/>
      <c r="M65" s="39"/>
      <c r="N65" s="60" t="s">
        <v>22</v>
      </c>
      <c r="O65" s="91" t="s">
        <v>970</v>
      </c>
      <c r="P65" s="39"/>
    </row>
    <row r="66">
      <c r="A66" s="124">
        <v>63.0</v>
      </c>
      <c r="B66" s="125" t="s">
        <v>539</v>
      </c>
      <c r="C66" s="39" t="s">
        <v>823</v>
      </c>
      <c r="D66" s="80" t="s">
        <v>541</v>
      </c>
      <c r="E66" s="39" t="s">
        <v>21</v>
      </c>
      <c r="F66" s="111" t="s">
        <v>31</v>
      </c>
      <c r="G66" s="60" t="s">
        <v>22</v>
      </c>
      <c r="H66" s="39"/>
      <c r="I66" s="80"/>
      <c r="J66" s="39"/>
      <c r="K66" s="60" t="s">
        <v>22</v>
      </c>
      <c r="L66" s="39"/>
      <c r="M66" s="39"/>
      <c r="N66" s="39"/>
      <c r="O66" s="91" t="s">
        <v>973</v>
      </c>
      <c r="P66" s="39"/>
    </row>
    <row r="67">
      <c r="A67" s="124">
        <v>64.0</v>
      </c>
      <c r="B67" s="125" t="s">
        <v>542</v>
      </c>
      <c r="C67" s="39" t="s">
        <v>781</v>
      </c>
      <c r="D67" s="80" t="s">
        <v>543</v>
      </c>
      <c r="E67" s="39" t="s">
        <v>351</v>
      </c>
      <c r="F67" s="111" t="s">
        <v>21</v>
      </c>
      <c r="G67" s="60" t="s">
        <v>22</v>
      </c>
      <c r="H67" s="39"/>
      <c r="I67" s="80"/>
      <c r="J67" s="60" t="s">
        <v>22</v>
      </c>
      <c r="K67" s="39"/>
      <c r="L67" s="39"/>
      <c r="M67" s="60" t="s">
        <v>22</v>
      </c>
      <c r="N67" s="39"/>
      <c r="O67" s="91" t="s">
        <v>974</v>
      </c>
      <c r="P67" s="39"/>
    </row>
    <row r="68">
      <c r="A68" s="124">
        <v>65.0</v>
      </c>
      <c r="B68" s="125" t="s">
        <v>545</v>
      </c>
      <c r="C68" s="39" t="s">
        <v>824</v>
      </c>
      <c r="D68" s="80" t="s">
        <v>64</v>
      </c>
      <c r="E68" s="126" t="s">
        <v>21</v>
      </c>
      <c r="F68" s="91" t="s">
        <v>26</v>
      </c>
      <c r="G68" s="39"/>
      <c r="H68" s="60" t="s">
        <v>22</v>
      </c>
      <c r="I68" s="80"/>
      <c r="J68" s="39"/>
      <c r="K68" s="39"/>
      <c r="L68" s="39"/>
      <c r="M68" s="60" t="s">
        <v>22</v>
      </c>
      <c r="N68" s="39"/>
      <c r="O68" s="91" t="s">
        <v>975</v>
      </c>
      <c r="P68" s="39"/>
    </row>
    <row r="69">
      <c r="A69" s="124">
        <v>66.0</v>
      </c>
      <c r="B69" s="125" t="s">
        <v>547</v>
      </c>
      <c r="C69" s="39" t="s">
        <v>790</v>
      </c>
      <c r="D69" s="80" t="s">
        <v>548</v>
      </c>
      <c r="E69" s="126" t="s">
        <v>21</v>
      </c>
      <c r="F69" s="91" t="s">
        <v>20</v>
      </c>
      <c r="G69" s="39"/>
      <c r="H69" s="60" t="s">
        <v>22</v>
      </c>
      <c r="I69" s="80"/>
      <c r="J69" s="39"/>
      <c r="K69" s="39"/>
      <c r="L69" s="39"/>
      <c r="M69" s="60" t="s">
        <v>22</v>
      </c>
      <c r="N69" s="39"/>
      <c r="O69" s="91" t="s">
        <v>976</v>
      </c>
      <c r="P69" s="39"/>
    </row>
    <row r="70">
      <c r="A70" s="124">
        <v>67.0</v>
      </c>
      <c r="B70" s="125" t="s">
        <v>550</v>
      </c>
      <c r="C70" s="39" t="s">
        <v>825</v>
      </c>
      <c r="D70" s="80" t="s">
        <v>552</v>
      </c>
      <c r="E70" s="126" t="s">
        <v>351</v>
      </c>
      <c r="F70" s="91" t="s">
        <v>21</v>
      </c>
      <c r="G70" s="39"/>
      <c r="H70" s="60" t="s">
        <v>22</v>
      </c>
      <c r="I70" s="80"/>
      <c r="J70" s="39"/>
      <c r="K70" s="39"/>
      <c r="L70" s="60" t="s">
        <v>22</v>
      </c>
      <c r="M70" s="39"/>
      <c r="N70" s="60" t="s">
        <v>22</v>
      </c>
      <c r="O70" s="91" t="s">
        <v>977</v>
      </c>
      <c r="P70" s="39"/>
    </row>
    <row r="71">
      <c r="A71" s="124">
        <v>68.0</v>
      </c>
      <c r="B71" s="125" t="s">
        <v>554</v>
      </c>
      <c r="C71" s="39" t="s">
        <v>826</v>
      </c>
      <c r="D71" s="80" t="s">
        <v>556</v>
      </c>
      <c r="E71" s="126" t="s">
        <v>351</v>
      </c>
      <c r="F71" s="91" t="s">
        <v>21</v>
      </c>
      <c r="G71" s="39"/>
      <c r="H71" s="60" t="s">
        <v>22</v>
      </c>
      <c r="I71" s="80"/>
      <c r="J71" s="39"/>
      <c r="K71" s="39"/>
      <c r="L71" s="39"/>
      <c r="M71" s="39"/>
      <c r="N71" s="60" t="s">
        <v>22</v>
      </c>
      <c r="O71" s="91" t="s">
        <v>947</v>
      </c>
      <c r="P71" s="39"/>
    </row>
    <row r="72">
      <c r="A72" s="124">
        <v>69.0</v>
      </c>
      <c r="B72" s="125" t="s">
        <v>557</v>
      </c>
      <c r="C72" s="39" t="s">
        <v>814</v>
      </c>
      <c r="D72" s="80" t="s">
        <v>558</v>
      </c>
      <c r="E72" s="39" t="s">
        <v>21</v>
      </c>
      <c r="F72" s="111" t="s">
        <v>31</v>
      </c>
      <c r="G72" s="60" t="s">
        <v>22</v>
      </c>
      <c r="H72" s="39"/>
      <c r="I72" s="80"/>
      <c r="J72" s="39"/>
      <c r="K72" s="60" t="s">
        <v>22</v>
      </c>
      <c r="L72" s="39"/>
      <c r="M72" s="39"/>
      <c r="N72" s="39"/>
      <c r="O72" s="91" t="s">
        <v>955</v>
      </c>
      <c r="P72" s="39"/>
    </row>
    <row r="73">
      <c r="A73" s="124">
        <v>70.0</v>
      </c>
      <c r="B73" s="125" t="s">
        <v>560</v>
      </c>
      <c r="C73" s="39" t="s">
        <v>786</v>
      </c>
      <c r="D73" s="80" t="s">
        <v>561</v>
      </c>
      <c r="E73" s="39" t="s">
        <v>21</v>
      </c>
      <c r="F73" s="111" t="s">
        <v>31</v>
      </c>
      <c r="G73" s="60" t="s">
        <v>22</v>
      </c>
      <c r="H73" s="39"/>
      <c r="I73" s="80"/>
      <c r="J73" s="39"/>
      <c r="K73" s="60" t="s">
        <v>22</v>
      </c>
      <c r="L73" s="39"/>
      <c r="M73" s="39"/>
      <c r="N73" s="39"/>
      <c r="O73" s="91" t="s">
        <v>955</v>
      </c>
      <c r="P73" s="39"/>
    </row>
    <row r="74">
      <c r="A74" s="124">
        <v>71.0</v>
      </c>
      <c r="B74" s="125" t="s">
        <v>562</v>
      </c>
      <c r="C74" s="39" t="s">
        <v>827</v>
      </c>
      <c r="D74" s="80" t="s">
        <v>145</v>
      </c>
      <c r="E74" s="39" t="s">
        <v>351</v>
      </c>
      <c r="F74" s="111" t="s">
        <v>21</v>
      </c>
      <c r="G74" s="60" t="s">
        <v>22</v>
      </c>
      <c r="H74" s="39"/>
      <c r="I74" s="80"/>
      <c r="J74" s="60" t="s">
        <v>22</v>
      </c>
      <c r="K74" s="39"/>
      <c r="L74" s="60" t="s">
        <v>22</v>
      </c>
      <c r="M74" s="60" t="s">
        <v>22</v>
      </c>
      <c r="N74" s="39"/>
      <c r="O74" s="127" t="s">
        <v>978</v>
      </c>
      <c r="P74" s="39"/>
    </row>
    <row r="75">
      <c r="A75" s="124">
        <v>72.0</v>
      </c>
      <c r="B75" s="125" t="s">
        <v>565</v>
      </c>
      <c r="C75" s="39" t="s">
        <v>828</v>
      </c>
      <c r="D75" s="80" t="s">
        <v>209</v>
      </c>
      <c r="E75" s="39" t="s">
        <v>21</v>
      </c>
      <c r="F75" s="111" t="s">
        <v>31</v>
      </c>
      <c r="G75" s="60" t="s">
        <v>22</v>
      </c>
      <c r="H75" s="39"/>
      <c r="I75" s="80"/>
      <c r="J75" s="39"/>
      <c r="K75" s="60" t="s">
        <v>22</v>
      </c>
      <c r="L75" s="39"/>
      <c r="M75" s="39"/>
      <c r="N75" s="39"/>
      <c r="O75" s="91" t="s">
        <v>979</v>
      </c>
      <c r="P75" s="39"/>
    </row>
    <row r="76">
      <c r="A76" s="124">
        <v>73.0</v>
      </c>
      <c r="B76" s="125" t="s">
        <v>568</v>
      </c>
      <c r="C76" s="39" t="s">
        <v>829</v>
      </c>
      <c r="D76" s="80" t="s">
        <v>570</v>
      </c>
      <c r="E76" s="126" t="s">
        <v>351</v>
      </c>
      <c r="F76" s="91" t="s">
        <v>21</v>
      </c>
      <c r="G76" s="39"/>
      <c r="H76" s="60" t="s">
        <v>22</v>
      </c>
      <c r="I76" s="80"/>
      <c r="J76" s="39"/>
      <c r="K76" s="39"/>
      <c r="L76" s="39"/>
      <c r="M76" s="39"/>
      <c r="N76" s="60" t="s">
        <v>22</v>
      </c>
      <c r="O76" s="91" t="s">
        <v>980</v>
      </c>
      <c r="P76" s="39"/>
    </row>
    <row r="77">
      <c r="A77" s="124">
        <v>74.0</v>
      </c>
      <c r="B77" s="125" t="s">
        <v>571</v>
      </c>
      <c r="C77" s="39" t="s">
        <v>830</v>
      </c>
      <c r="D77" s="80" t="s">
        <v>573</v>
      </c>
      <c r="E77" s="39" t="s">
        <v>351</v>
      </c>
      <c r="F77" s="111" t="s">
        <v>21</v>
      </c>
      <c r="G77" s="60" t="s">
        <v>22</v>
      </c>
      <c r="H77" s="39"/>
      <c r="I77" s="80"/>
      <c r="J77" s="39"/>
      <c r="K77" s="39"/>
      <c r="L77" s="39"/>
      <c r="M77" s="60" t="s">
        <v>22</v>
      </c>
      <c r="N77" s="39"/>
      <c r="O77" s="91" t="s">
        <v>981</v>
      </c>
      <c r="P77" s="39"/>
    </row>
    <row r="78">
      <c r="A78" s="124">
        <v>75.0</v>
      </c>
      <c r="B78" s="125" t="s">
        <v>575</v>
      </c>
      <c r="C78" s="39" t="s">
        <v>831</v>
      </c>
      <c r="D78" s="80" t="s">
        <v>577</v>
      </c>
      <c r="E78" s="126" t="s">
        <v>351</v>
      </c>
      <c r="F78" s="91" t="s">
        <v>21</v>
      </c>
      <c r="G78" s="39"/>
      <c r="H78" s="60" t="s">
        <v>22</v>
      </c>
      <c r="I78" s="80"/>
      <c r="J78" s="39"/>
      <c r="K78" s="39"/>
      <c r="L78" s="39"/>
      <c r="M78" s="39"/>
      <c r="N78" s="60" t="s">
        <v>22</v>
      </c>
      <c r="O78" s="91" t="s">
        <v>982</v>
      </c>
      <c r="P78" s="39"/>
    </row>
    <row r="79">
      <c r="A79" s="124">
        <v>76.0</v>
      </c>
      <c r="B79" s="125" t="s">
        <v>579</v>
      </c>
      <c r="C79" s="39" t="s">
        <v>832</v>
      </c>
      <c r="D79" s="80" t="s">
        <v>110</v>
      </c>
      <c r="E79" s="126" t="s">
        <v>21</v>
      </c>
      <c r="F79" s="111" t="s">
        <v>20</v>
      </c>
      <c r="G79" s="39"/>
      <c r="H79" s="39"/>
      <c r="I79" s="92" t="s">
        <v>22</v>
      </c>
      <c r="J79" s="39"/>
      <c r="K79" s="60" t="s">
        <v>22</v>
      </c>
      <c r="L79" s="39"/>
      <c r="M79" s="60" t="s">
        <v>22</v>
      </c>
      <c r="N79" s="39"/>
      <c r="O79" s="91" t="s">
        <v>983</v>
      </c>
      <c r="P79" s="39"/>
    </row>
    <row r="80">
      <c r="A80" s="124">
        <v>77.0</v>
      </c>
      <c r="B80" s="125" t="s">
        <v>581</v>
      </c>
      <c r="C80" s="39" t="s">
        <v>772</v>
      </c>
      <c r="D80" s="80" t="s">
        <v>582</v>
      </c>
      <c r="E80" s="39" t="s">
        <v>21</v>
      </c>
      <c r="F80" s="111" t="s">
        <v>20</v>
      </c>
      <c r="G80" s="60" t="s">
        <v>22</v>
      </c>
      <c r="H80" s="39"/>
      <c r="I80" s="80"/>
      <c r="J80" s="60" t="s">
        <v>22</v>
      </c>
      <c r="K80" s="60" t="s">
        <v>22</v>
      </c>
      <c r="L80" s="39"/>
      <c r="M80" s="39"/>
      <c r="N80" s="39"/>
      <c r="O80" s="91" t="s">
        <v>984</v>
      </c>
      <c r="P80" s="39"/>
    </row>
    <row r="81">
      <c r="A81" s="124">
        <v>78.0</v>
      </c>
      <c r="B81" s="125" t="s">
        <v>584</v>
      </c>
      <c r="C81" s="39" t="s">
        <v>834</v>
      </c>
      <c r="D81" s="80" t="s">
        <v>586</v>
      </c>
      <c r="E81" s="39" t="s">
        <v>351</v>
      </c>
      <c r="F81" s="111" t="s">
        <v>21</v>
      </c>
      <c r="G81" s="60" t="s">
        <v>22</v>
      </c>
      <c r="H81" s="39"/>
      <c r="I81" s="80"/>
      <c r="J81" s="60" t="s">
        <v>22</v>
      </c>
      <c r="K81" s="39"/>
      <c r="L81" s="39"/>
      <c r="M81" s="60" t="s">
        <v>22</v>
      </c>
      <c r="N81" s="39"/>
      <c r="O81" s="127" t="s">
        <v>985</v>
      </c>
      <c r="P81" s="39"/>
    </row>
    <row r="82">
      <c r="A82" s="124">
        <v>79.0</v>
      </c>
      <c r="B82" s="125" t="s">
        <v>588</v>
      </c>
      <c r="C82" s="39" t="s">
        <v>802</v>
      </c>
      <c r="D82" s="80" t="s">
        <v>590</v>
      </c>
      <c r="E82" s="39" t="s">
        <v>21</v>
      </c>
      <c r="F82" s="111" t="s">
        <v>20</v>
      </c>
      <c r="G82" s="60" t="s">
        <v>22</v>
      </c>
      <c r="H82" s="39"/>
      <c r="I82" s="80"/>
      <c r="J82" s="39"/>
      <c r="K82" s="39"/>
      <c r="L82" s="39"/>
      <c r="M82" s="39"/>
      <c r="N82" s="39"/>
      <c r="O82" s="91" t="s">
        <v>953</v>
      </c>
      <c r="P82" s="39"/>
    </row>
    <row r="83">
      <c r="A83" s="124">
        <v>80.0</v>
      </c>
      <c r="B83" s="125" t="s">
        <v>592</v>
      </c>
      <c r="C83" s="39" t="s">
        <v>819</v>
      </c>
      <c r="D83" s="80" t="s">
        <v>593</v>
      </c>
      <c r="E83" s="126" t="s">
        <v>351</v>
      </c>
      <c r="F83" s="91" t="s">
        <v>21</v>
      </c>
      <c r="G83" s="39"/>
      <c r="H83" s="60" t="s">
        <v>22</v>
      </c>
      <c r="I83" s="80"/>
      <c r="J83" s="39"/>
      <c r="K83" s="39"/>
      <c r="L83" s="39"/>
      <c r="M83" s="39"/>
      <c r="N83" s="60" t="s">
        <v>22</v>
      </c>
      <c r="O83" s="91" t="s">
        <v>986</v>
      </c>
      <c r="P83" s="39"/>
    </row>
    <row r="84">
      <c r="A84" s="124">
        <v>81.0</v>
      </c>
      <c r="B84" s="125" t="s">
        <v>595</v>
      </c>
      <c r="C84" s="39" t="s">
        <v>795</v>
      </c>
      <c r="D84" s="80" t="s">
        <v>596</v>
      </c>
      <c r="E84" s="126" t="s">
        <v>351</v>
      </c>
      <c r="F84" s="91" t="s">
        <v>21</v>
      </c>
      <c r="G84" s="39"/>
      <c r="H84" s="60" t="s">
        <v>22</v>
      </c>
      <c r="I84" s="80"/>
      <c r="J84" s="39"/>
      <c r="K84" s="39"/>
      <c r="L84" s="39"/>
      <c r="M84" s="39"/>
      <c r="N84" s="60" t="s">
        <v>22</v>
      </c>
      <c r="O84" s="91" t="s">
        <v>987</v>
      </c>
      <c r="P84" s="39"/>
    </row>
    <row r="85">
      <c r="A85" s="124">
        <v>82.0</v>
      </c>
      <c r="B85" s="125" t="s">
        <v>598</v>
      </c>
      <c r="C85" s="39" t="s">
        <v>836</v>
      </c>
      <c r="D85" s="80" t="s">
        <v>600</v>
      </c>
      <c r="E85" s="126" t="s">
        <v>21</v>
      </c>
      <c r="F85" s="111" t="s">
        <v>20</v>
      </c>
      <c r="G85" s="39"/>
      <c r="H85" s="39"/>
      <c r="I85" s="92" t="s">
        <v>22</v>
      </c>
      <c r="J85" s="39"/>
      <c r="K85" s="39"/>
      <c r="L85" s="39"/>
      <c r="M85" s="60" t="s">
        <v>22</v>
      </c>
      <c r="N85" s="39"/>
      <c r="O85" s="91" t="s">
        <v>988</v>
      </c>
      <c r="P85" s="39"/>
    </row>
    <row r="86">
      <c r="A86" s="124">
        <v>83.0</v>
      </c>
      <c r="B86" s="125" t="s">
        <v>602</v>
      </c>
      <c r="C86" s="39" t="s">
        <v>783</v>
      </c>
      <c r="D86" s="80" t="s">
        <v>603</v>
      </c>
      <c r="E86" s="126" t="s">
        <v>351</v>
      </c>
      <c r="F86" s="111" t="s">
        <v>20</v>
      </c>
      <c r="G86" s="39"/>
      <c r="H86" s="39"/>
      <c r="I86" s="92" t="s">
        <v>22</v>
      </c>
      <c r="J86" s="39"/>
      <c r="K86" s="60" t="s">
        <v>22</v>
      </c>
      <c r="L86" s="39"/>
      <c r="M86" s="39"/>
      <c r="N86" s="60" t="s">
        <v>22</v>
      </c>
      <c r="O86" s="91" t="s">
        <v>989</v>
      </c>
      <c r="P86" s="39"/>
    </row>
    <row r="87">
      <c r="A87" s="124">
        <v>84.0</v>
      </c>
      <c r="B87" s="125" t="s">
        <v>605</v>
      </c>
      <c r="C87" s="39" t="s">
        <v>838</v>
      </c>
      <c r="D87" s="80" t="s">
        <v>607</v>
      </c>
      <c r="E87" s="39" t="s">
        <v>351</v>
      </c>
      <c r="F87" s="111" t="s">
        <v>21</v>
      </c>
      <c r="G87" s="60" t="s">
        <v>22</v>
      </c>
      <c r="H87" s="39"/>
      <c r="I87" s="80"/>
      <c r="J87" s="39"/>
      <c r="K87" s="39"/>
      <c r="L87" s="60" t="s">
        <v>22</v>
      </c>
      <c r="M87" s="60" t="s">
        <v>22</v>
      </c>
      <c r="N87" s="39"/>
      <c r="O87" s="91" t="s">
        <v>990</v>
      </c>
      <c r="P87" s="39"/>
    </row>
    <row r="88">
      <c r="A88" s="124">
        <v>85.0</v>
      </c>
      <c r="B88" s="125" t="s">
        <v>609</v>
      </c>
      <c r="C88" s="39" t="s">
        <v>839</v>
      </c>
      <c r="D88" s="80" t="s">
        <v>611</v>
      </c>
      <c r="E88" s="39" t="s">
        <v>351</v>
      </c>
      <c r="F88" s="111" t="s">
        <v>21</v>
      </c>
      <c r="G88" s="60" t="s">
        <v>22</v>
      </c>
      <c r="H88" s="39"/>
      <c r="I88" s="80"/>
      <c r="J88" s="39"/>
      <c r="K88" s="39"/>
      <c r="L88" s="39"/>
      <c r="M88" s="60" t="s">
        <v>22</v>
      </c>
      <c r="N88" s="39"/>
      <c r="O88" s="91" t="s">
        <v>991</v>
      </c>
      <c r="P88" s="39"/>
    </row>
    <row r="89">
      <c r="A89" s="124">
        <v>86.0</v>
      </c>
      <c r="B89" s="125" t="s">
        <v>613</v>
      </c>
      <c r="C89" s="39" t="s">
        <v>840</v>
      </c>
      <c r="D89" s="80" t="s">
        <v>615</v>
      </c>
      <c r="E89" s="39" t="s">
        <v>351</v>
      </c>
      <c r="F89" s="111" t="s">
        <v>21</v>
      </c>
      <c r="G89" s="60" t="s">
        <v>22</v>
      </c>
      <c r="H89" s="39"/>
      <c r="I89" s="80"/>
      <c r="J89" s="39"/>
      <c r="K89" s="39"/>
      <c r="L89" s="39"/>
      <c r="M89" s="60" t="s">
        <v>22</v>
      </c>
      <c r="N89" s="39"/>
      <c r="O89" s="91" t="s">
        <v>992</v>
      </c>
      <c r="P89" s="39"/>
    </row>
    <row r="90">
      <c r="A90" s="124">
        <v>87.0</v>
      </c>
      <c r="B90" s="125" t="s">
        <v>617</v>
      </c>
      <c r="C90" s="39" t="s">
        <v>841</v>
      </c>
      <c r="D90" s="80" t="s">
        <v>619</v>
      </c>
      <c r="E90" s="39" t="s">
        <v>351</v>
      </c>
      <c r="F90" s="111" t="s">
        <v>21</v>
      </c>
      <c r="G90" s="60" t="s">
        <v>22</v>
      </c>
      <c r="H90" s="39"/>
      <c r="I90" s="80"/>
      <c r="J90" s="39"/>
      <c r="K90" s="39"/>
      <c r="L90" s="39"/>
      <c r="M90" s="60" t="s">
        <v>22</v>
      </c>
      <c r="N90" s="39"/>
      <c r="O90" s="91" t="s">
        <v>966</v>
      </c>
      <c r="P90" s="39"/>
    </row>
    <row r="91">
      <c r="A91" s="124">
        <v>88.0</v>
      </c>
      <c r="B91" s="125" t="s">
        <v>621</v>
      </c>
      <c r="C91" s="39" t="s">
        <v>842</v>
      </c>
      <c r="D91" s="80" t="s">
        <v>623</v>
      </c>
      <c r="E91" s="39" t="s">
        <v>351</v>
      </c>
      <c r="F91" s="111" t="s">
        <v>21</v>
      </c>
      <c r="G91" s="60" t="s">
        <v>22</v>
      </c>
      <c r="H91" s="39"/>
      <c r="I91" s="80"/>
      <c r="J91" s="39"/>
      <c r="K91" s="39"/>
      <c r="L91" s="39"/>
      <c r="M91" s="60" t="s">
        <v>22</v>
      </c>
      <c r="N91" s="39"/>
      <c r="O91" s="91" t="s">
        <v>993</v>
      </c>
      <c r="P91" s="39"/>
    </row>
    <row r="92">
      <c r="A92" s="124">
        <v>89.0</v>
      </c>
      <c r="B92" s="125" t="s">
        <v>625</v>
      </c>
      <c r="C92" s="39" t="s">
        <v>843</v>
      </c>
      <c r="D92" s="80" t="s">
        <v>627</v>
      </c>
      <c r="E92" s="39" t="s">
        <v>351</v>
      </c>
      <c r="F92" s="111" t="s">
        <v>21</v>
      </c>
      <c r="G92" s="60" t="s">
        <v>22</v>
      </c>
      <c r="H92" s="39"/>
      <c r="I92" s="80"/>
      <c r="J92" s="39"/>
      <c r="K92" s="39"/>
      <c r="L92" s="39"/>
      <c r="M92" s="60" t="s">
        <v>22</v>
      </c>
      <c r="N92" s="39"/>
      <c r="O92" s="91" t="s">
        <v>994</v>
      </c>
      <c r="P92" s="39"/>
    </row>
    <row r="93">
      <c r="A93" s="124">
        <v>90.0</v>
      </c>
      <c r="B93" s="125" t="s">
        <v>629</v>
      </c>
      <c r="C93" s="39" t="s">
        <v>844</v>
      </c>
      <c r="D93" s="80" t="s">
        <v>631</v>
      </c>
      <c r="E93" s="126" t="s">
        <v>351</v>
      </c>
      <c r="F93" s="91" t="s">
        <v>21</v>
      </c>
      <c r="G93" s="39"/>
      <c r="H93" s="60" t="s">
        <v>22</v>
      </c>
      <c r="I93" s="80"/>
      <c r="J93" s="39"/>
      <c r="K93" s="39"/>
      <c r="L93" s="39"/>
      <c r="M93" s="39"/>
      <c r="N93" s="60" t="s">
        <v>22</v>
      </c>
      <c r="O93" s="91" t="s">
        <v>995</v>
      </c>
      <c r="P93" s="39"/>
    </row>
    <row r="94">
      <c r="A94" s="124">
        <v>91.0</v>
      </c>
      <c r="B94" s="125" t="s">
        <v>633</v>
      </c>
      <c r="C94" s="39" t="s">
        <v>843</v>
      </c>
      <c r="D94" s="80" t="s">
        <v>634</v>
      </c>
      <c r="E94" s="39" t="s">
        <v>351</v>
      </c>
      <c r="F94" s="111" t="s">
        <v>21</v>
      </c>
      <c r="G94" s="60" t="s">
        <v>22</v>
      </c>
      <c r="H94" s="39"/>
      <c r="I94" s="80"/>
      <c r="J94" s="39"/>
      <c r="K94" s="39"/>
      <c r="L94" s="39"/>
      <c r="M94" s="60" t="s">
        <v>22</v>
      </c>
      <c r="N94" s="39"/>
      <c r="O94" s="91" t="s">
        <v>996</v>
      </c>
      <c r="P94" s="39"/>
    </row>
    <row r="95">
      <c r="A95" s="124">
        <v>92.0</v>
      </c>
      <c r="B95" s="125" t="s">
        <v>636</v>
      </c>
      <c r="C95" s="39" t="s">
        <v>771</v>
      </c>
      <c r="D95" s="80" t="s">
        <v>80</v>
      </c>
      <c r="E95" s="126" t="s">
        <v>351</v>
      </c>
      <c r="F95" s="91" t="s">
        <v>21</v>
      </c>
      <c r="G95" s="39"/>
      <c r="H95" s="60" t="s">
        <v>22</v>
      </c>
      <c r="I95" s="80"/>
      <c r="J95" s="39"/>
      <c r="K95" s="39"/>
      <c r="L95" s="39"/>
      <c r="M95" s="39"/>
      <c r="N95" s="60" t="s">
        <v>22</v>
      </c>
      <c r="O95" s="91" t="s">
        <v>997</v>
      </c>
      <c r="P95" s="39"/>
    </row>
    <row r="96">
      <c r="A96" s="124">
        <v>93.0</v>
      </c>
      <c r="B96" s="125" t="s">
        <v>638</v>
      </c>
      <c r="C96" s="39" t="s">
        <v>845</v>
      </c>
      <c r="D96" s="80" t="s">
        <v>134</v>
      </c>
      <c r="E96" s="126" t="s">
        <v>351</v>
      </c>
      <c r="F96" s="91" t="s">
        <v>21</v>
      </c>
      <c r="G96" s="39"/>
      <c r="H96" s="60" t="s">
        <v>22</v>
      </c>
      <c r="I96" s="80"/>
      <c r="J96" s="39"/>
      <c r="K96" s="39"/>
      <c r="L96" s="39"/>
      <c r="M96" s="39"/>
      <c r="N96" s="60" t="s">
        <v>22</v>
      </c>
      <c r="O96" s="91" t="s">
        <v>998</v>
      </c>
      <c r="P96" s="39"/>
    </row>
    <row r="97">
      <c r="A97" s="124">
        <v>94.0</v>
      </c>
      <c r="B97" s="125" t="s">
        <v>641</v>
      </c>
      <c r="C97" s="39" t="s">
        <v>846</v>
      </c>
      <c r="D97" s="80" t="s">
        <v>643</v>
      </c>
      <c r="E97" s="126" t="s">
        <v>21</v>
      </c>
      <c r="F97" s="111" t="s">
        <v>20</v>
      </c>
      <c r="G97" s="39"/>
      <c r="H97" s="39"/>
      <c r="I97" s="92" t="s">
        <v>22</v>
      </c>
      <c r="J97" s="39"/>
      <c r="K97" s="39"/>
      <c r="L97" s="39"/>
      <c r="M97" s="60" t="s">
        <v>22</v>
      </c>
      <c r="N97" s="39"/>
      <c r="O97" s="91" t="s">
        <v>999</v>
      </c>
      <c r="P97" s="39"/>
    </row>
    <row r="98">
      <c r="A98" s="124">
        <v>95.0</v>
      </c>
      <c r="B98" s="125" t="s">
        <v>645</v>
      </c>
      <c r="C98" s="39" t="s">
        <v>848</v>
      </c>
      <c r="D98" s="80" t="s">
        <v>647</v>
      </c>
      <c r="E98" s="39" t="s">
        <v>21</v>
      </c>
      <c r="F98" s="111" t="s">
        <v>31</v>
      </c>
      <c r="G98" s="60" t="s">
        <v>22</v>
      </c>
      <c r="H98" s="39"/>
      <c r="I98" s="80"/>
      <c r="J98" s="39"/>
      <c r="K98" s="60" t="s">
        <v>22</v>
      </c>
      <c r="L98" s="39"/>
      <c r="M98" s="39"/>
      <c r="N98" s="39"/>
      <c r="O98" s="91" t="s">
        <v>955</v>
      </c>
      <c r="P98" s="39"/>
    </row>
    <row r="99">
      <c r="A99" s="124">
        <v>96.0</v>
      </c>
      <c r="B99" s="125" t="s">
        <v>649</v>
      </c>
      <c r="C99" s="39" t="s">
        <v>783</v>
      </c>
      <c r="D99" s="80" t="s">
        <v>127</v>
      </c>
      <c r="E99" s="39" t="s">
        <v>21</v>
      </c>
      <c r="F99" s="111" t="s">
        <v>20</v>
      </c>
      <c r="G99" s="60" t="s">
        <v>22</v>
      </c>
      <c r="H99" s="39"/>
      <c r="I99" s="80"/>
      <c r="J99" s="39"/>
      <c r="K99" s="60" t="s">
        <v>22</v>
      </c>
      <c r="L99" s="39"/>
      <c r="M99" s="39"/>
      <c r="N99" s="39"/>
      <c r="O99" s="91" t="s">
        <v>1000</v>
      </c>
      <c r="P99" s="39"/>
    </row>
    <row r="100">
      <c r="A100" s="124">
        <v>97.0</v>
      </c>
      <c r="B100" s="125" t="s">
        <v>650</v>
      </c>
      <c r="C100" s="39" t="s">
        <v>849</v>
      </c>
      <c r="D100" s="80" t="s">
        <v>652</v>
      </c>
      <c r="E100" s="126" t="s">
        <v>351</v>
      </c>
      <c r="F100" s="91" t="s">
        <v>21</v>
      </c>
      <c r="G100" s="39"/>
      <c r="H100" s="60" t="s">
        <v>22</v>
      </c>
      <c r="I100" s="80"/>
      <c r="J100" s="39"/>
      <c r="K100" s="39"/>
      <c r="L100" s="39"/>
      <c r="M100" s="39"/>
      <c r="N100" s="60" t="s">
        <v>22</v>
      </c>
      <c r="O100" s="91" t="s">
        <v>1001</v>
      </c>
      <c r="P100" s="39"/>
    </row>
    <row r="101">
      <c r="A101" s="124">
        <v>98.0</v>
      </c>
      <c r="B101" s="130" t="s">
        <v>653</v>
      </c>
      <c r="C101" s="39" t="s">
        <v>822</v>
      </c>
      <c r="D101" s="80" t="s">
        <v>654</v>
      </c>
      <c r="E101" s="39" t="s">
        <v>21</v>
      </c>
      <c r="F101" s="111" t="s">
        <v>20</v>
      </c>
      <c r="G101" s="60" t="s">
        <v>22</v>
      </c>
      <c r="H101" s="39"/>
      <c r="I101" s="80"/>
      <c r="J101" s="39"/>
      <c r="K101" s="60" t="s">
        <v>22</v>
      </c>
      <c r="L101" s="39"/>
      <c r="M101" s="39"/>
      <c r="N101" s="39"/>
      <c r="O101" s="91" t="s">
        <v>1002</v>
      </c>
      <c r="P101" s="39"/>
    </row>
    <row r="102">
      <c r="A102" s="124">
        <v>99.0</v>
      </c>
      <c r="B102" s="125" t="s">
        <v>656</v>
      </c>
      <c r="C102" s="39" t="s">
        <v>851</v>
      </c>
      <c r="D102" s="80" t="s">
        <v>658</v>
      </c>
      <c r="E102" s="126" t="s">
        <v>21</v>
      </c>
      <c r="F102" s="111" t="s">
        <v>20</v>
      </c>
      <c r="G102" s="39"/>
      <c r="H102" s="39"/>
      <c r="I102" s="92" t="s">
        <v>22</v>
      </c>
      <c r="J102" s="39"/>
      <c r="K102" s="60" t="s">
        <v>22</v>
      </c>
      <c r="L102" s="39"/>
      <c r="M102" s="60" t="s">
        <v>22</v>
      </c>
      <c r="N102" s="39"/>
      <c r="O102" s="91" t="s">
        <v>1003</v>
      </c>
      <c r="P102" s="39"/>
    </row>
    <row r="103">
      <c r="A103" s="123">
        <v>100.0</v>
      </c>
      <c r="B103" s="131" t="s">
        <v>660</v>
      </c>
      <c r="C103" s="131" t="s">
        <v>813</v>
      </c>
      <c r="D103" s="87" t="s">
        <v>661</v>
      </c>
      <c r="E103" s="39" t="s">
        <v>351</v>
      </c>
      <c r="F103" s="117" t="s">
        <v>21</v>
      </c>
      <c r="G103" s="68" t="s">
        <v>22</v>
      </c>
      <c r="H103" s="85"/>
      <c r="I103" s="85"/>
      <c r="J103" s="86"/>
      <c r="K103" s="85"/>
      <c r="L103" s="85"/>
      <c r="M103" s="68" t="s">
        <v>22</v>
      </c>
      <c r="N103" s="85"/>
      <c r="O103" s="115" t="s">
        <v>1004</v>
      </c>
      <c r="P103" s="132" t="b">
        <f>IFERROR(__xludf.DUMMYFUNCTION("or(and(regexmatch(E100,""OK""),regexmatch(F100,""omission"")),and(regexmatch(E100,""hallucination""),regexmatch(F100,""hallucination"")))"),FALSE)</f>
        <v>0</v>
      </c>
    </row>
    <row r="104">
      <c r="A104" s="39"/>
      <c r="B104" s="39"/>
      <c r="C104" s="39"/>
      <c r="D104" s="60" t="s">
        <v>917</v>
      </c>
      <c r="E104" s="133">
        <f t="shared" ref="E104:F104" si="1">countif(E4:E103,"=OK")</f>
        <v>45</v>
      </c>
      <c r="F104" s="70">
        <f t="shared" si="1"/>
        <v>54</v>
      </c>
      <c r="G104" s="39">
        <f t="shared" ref="G104:N104" si="2">countif(G4:G103,"=x")</f>
        <v>55</v>
      </c>
      <c r="H104" s="39">
        <f t="shared" si="2"/>
        <v>37</v>
      </c>
      <c r="I104" s="39">
        <f t="shared" si="2"/>
        <v>8</v>
      </c>
      <c r="J104" s="39">
        <f t="shared" si="2"/>
        <v>7</v>
      </c>
      <c r="K104" s="39">
        <f t="shared" si="2"/>
        <v>26</v>
      </c>
      <c r="L104" s="39">
        <f t="shared" si="2"/>
        <v>9</v>
      </c>
      <c r="M104" s="39">
        <f t="shared" si="2"/>
        <v>48</v>
      </c>
      <c r="N104" s="39">
        <f t="shared" si="2"/>
        <v>26</v>
      </c>
      <c r="O104" s="39"/>
      <c r="P104" s="39"/>
    </row>
    <row r="105">
      <c r="A105" s="39"/>
      <c r="B105" s="39"/>
      <c r="C105" s="39"/>
      <c r="D105" s="60" t="s">
        <v>1005</v>
      </c>
      <c r="E105" s="113">
        <f t="shared" ref="E105:F105" si="3">countif(E4:E103,"=not ok")</f>
        <v>55</v>
      </c>
      <c r="F105" s="70">
        <f t="shared" si="3"/>
        <v>0</v>
      </c>
      <c r="G105" s="39"/>
      <c r="H105" s="39"/>
      <c r="I105" s="39"/>
      <c r="J105" s="39"/>
      <c r="K105" s="39"/>
      <c r="L105" s="39"/>
      <c r="M105" s="39"/>
      <c r="N105" s="39"/>
      <c r="O105" s="39"/>
      <c r="P105" s="39"/>
    </row>
    <row r="106">
      <c r="A106" s="39"/>
      <c r="B106" s="39"/>
      <c r="C106" s="39"/>
      <c r="D106" s="60"/>
      <c r="E106" s="39"/>
      <c r="F106" s="116">
        <f>countif(F4:F103,"=hallucination+omission")</f>
        <v>4</v>
      </c>
      <c r="G106" s="39"/>
      <c r="H106" s="39"/>
      <c r="I106" s="39"/>
      <c r="J106" s="39"/>
      <c r="K106" s="39"/>
      <c r="L106" s="39"/>
      <c r="M106" s="39"/>
      <c r="N106" s="39"/>
      <c r="O106" s="39"/>
      <c r="P106" s="39"/>
    </row>
    <row r="107">
      <c r="A107" s="39"/>
      <c r="B107" s="39"/>
      <c r="C107" s="39"/>
      <c r="D107" s="60"/>
      <c r="E107" s="39"/>
      <c r="F107" s="116">
        <f>countif(F4:F103,"=omission")</f>
        <v>29</v>
      </c>
      <c r="G107" s="39"/>
      <c r="H107" s="39"/>
      <c r="I107" s="39"/>
      <c r="J107" s="39"/>
      <c r="K107" s="39"/>
      <c r="L107" s="39"/>
      <c r="M107" s="39"/>
      <c r="N107" s="39"/>
      <c r="O107" s="39"/>
      <c r="P107" s="39"/>
    </row>
  </sheetData>
  <mergeCells count="3">
    <mergeCell ref="E2:F2"/>
    <mergeCell ref="G2:I2"/>
    <mergeCell ref="J2:N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sheetData>
    <row r="1">
      <c r="A1" s="80"/>
      <c r="B1" s="39"/>
      <c r="C1" s="80"/>
      <c r="D1" s="43"/>
      <c r="E1" s="118"/>
      <c r="F1" s="119"/>
      <c r="G1" s="39"/>
      <c r="H1" s="39"/>
      <c r="I1" s="39"/>
      <c r="J1" s="79"/>
      <c r="K1" s="39"/>
      <c r="L1" s="39"/>
      <c r="M1" s="39"/>
      <c r="N1" s="39"/>
      <c r="O1" s="80"/>
      <c r="P1" s="39"/>
    </row>
    <row r="2">
      <c r="A2" s="80"/>
      <c r="B2" s="120" t="s">
        <v>0</v>
      </c>
      <c r="C2" s="120" t="s">
        <v>1</v>
      </c>
      <c r="D2" s="121" t="s">
        <v>2</v>
      </c>
      <c r="E2" s="83" t="s">
        <v>3</v>
      </c>
      <c r="F2" s="8"/>
      <c r="G2" s="83" t="s">
        <v>4</v>
      </c>
      <c r="I2" s="8"/>
      <c r="J2" s="82" t="s">
        <v>5</v>
      </c>
      <c r="O2" s="80"/>
      <c r="P2" s="39"/>
    </row>
    <row r="3">
      <c r="A3" s="122" t="s">
        <v>6</v>
      </c>
      <c r="B3" s="85"/>
      <c r="C3" s="85"/>
      <c r="D3" s="123"/>
      <c r="E3" s="85" t="s">
        <v>7</v>
      </c>
      <c r="F3" s="87" t="s">
        <v>8</v>
      </c>
      <c r="G3" s="85" t="s">
        <v>7</v>
      </c>
      <c r="H3" s="85" t="s">
        <v>8</v>
      </c>
      <c r="I3" s="85" t="s">
        <v>9</v>
      </c>
      <c r="J3" s="86" t="s">
        <v>340</v>
      </c>
      <c r="K3" s="85" t="s">
        <v>341</v>
      </c>
      <c r="L3" s="85" t="s">
        <v>342</v>
      </c>
      <c r="M3" s="85" t="s">
        <v>343</v>
      </c>
      <c r="N3" s="85" t="s">
        <v>344</v>
      </c>
      <c r="O3" s="87" t="s">
        <v>16</v>
      </c>
      <c r="P3" s="39"/>
      <c r="Q3" s="98" t="s">
        <v>766</v>
      </c>
    </row>
    <row r="4">
      <c r="A4" s="124">
        <v>34.0</v>
      </c>
      <c r="B4" s="125" t="s">
        <v>442</v>
      </c>
      <c r="C4" s="39" t="s">
        <v>800</v>
      </c>
      <c r="D4" s="80" t="s">
        <v>25</v>
      </c>
      <c r="E4" s="39" t="s">
        <v>21</v>
      </c>
      <c r="F4" s="111" t="s">
        <v>20</v>
      </c>
      <c r="G4" s="60" t="s">
        <v>22</v>
      </c>
      <c r="H4" s="39"/>
      <c r="I4" s="80"/>
      <c r="J4" s="39"/>
      <c r="K4" s="60" t="s">
        <v>22</v>
      </c>
      <c r="L4" s="39"/>
      <c r="M4" s="39"/>
      <c r="N4" s="39"/>
      <c r="O4" s="91" t="s">
        <v>951</v>
      </c>
      <c r="P4" s="39"/>
      <c r="Q4" s="99">
        <f>random_key!A34</f>
        <v>0.00126792185</v>
      </c>
    </row>
    <row r="5">
      <c r="A5" s="124">
        <v>32.0</v>
      </c>
      <c r="B5" s="125" t="s">
        <v>436</v>
      </c>
      <c r="C5" s="39" t="s">
        <v>797</v>
      </c>
      <c r="D5" s="80" t="s">
        <v>95</v>
      </c>
      <c r="E5" s="126" t="s">
        <v>21</v>
      </c>
      <c r="F5" s="91" t="s">
        <v>20</v>
      </c>
      <c r="G5" s="39"/>
      <c r="H5" s="60" t="s">
        <v>22</v>
      </c>
      <c r="I5" s="80"/>
      <c r="J5" s="39"/>
      <c r="K5" s="39"/>
      <c r="L5" s="39"/>
      <c r="M5" s="60" t="s">
        <v>22</v>
      </c>
      <c r="N5" s="39"/>
      <c r="O5" s="91" t="s">
        <v>948</v>
      </c>
      <c r="P5" s="39"/>
      <c r="Q5" s="99">
        <f>random_key!A32</f>
        <v>0.014775109</v>
      </c>
    </row>
    <row r="6">
      <c r="A6" s="124">
        <v>78.0</v>
      </c>
      <c r="B6" s="125" t="s">
        <v>584</v>
      </c>
      <c r="C6" s="39" t="s">
        <v>834</v>
      </c>
      <c r="D6" s="80" t="s">
        <v>586</v>
      </c>
      <c r="E6" s="39" t="s">
        <v>351</v>
      </c>
      <c r="F6" s="111" t="s">
        <v>21</v>
      </c>
      <c r="G6" s="60" t="s">
        <v>22</v>
      </c>
      <c r="H6" s="39"/>
      <c r="I6" s="80"/>
      <c r="J6" s="60" t="s">
        <v>22</v>
      </c>
      <c r="K6" s="39"/>
      <c r="L6" s="39"/>
      <c r="M6" s="60" t="s">
        <v>22</v>
      </c>
      <c r="N6" s="39"/>
      <c r="O6" s="127" t="s">
        <v>985</v>
      </c>
      <c r="P6" s="39"/>
      <c r="Q6" s="99">
        <f>random_key!A78</f>
        <v>0.02361814938</v>
      </c>
    </row>
    <row r="7">
      <c r="A7" s="124">
        <v>24.0</v>
      </c>
      <c r="B7" s="125" t="s">
        <v>411</v>
      </c>
      <c r="C7" s="39" t="s">
        <v>789</v>
      </c>
      <c r="D7" s="80" t="s">
        <v>413</v>
      </c>
      <c r="E7" s="39" t="s">
        <v>351</v>
      </c>
      <c r="F7" s="111" t="s">
        <v>21</v>
      </c>
      <c r="G7" s="60" t="s">
        <v>22</v>
      </c>
      <c r="H7" s="39"/>
      <c r="I7" s="80"/>
      <c r="J7" s="39"/>
      <c r="K7" s="39"/>
      <c r="L7" s="39"/>
      <c r="M7" s="60" t="s">
        <v>22</v>
      </c>
      <c r="N7" s="39"/>
      <c r="O7" s="91" t="s">
        <v>940</v>
      </c>
      <c r="P7" s="39"/>
      <c r="Q7" s="99">
        <f>random_key!A24</f>
        <v>0.0411164938</v>
      </c>
    </row>
    <row r="8">
      <c r="A8" s="124">
        <v>60.0</v>
      </c>
      <c r="B8" s="125" t="s">
        <v>529</v>
      </c>
      <c r="C8" s="39" t="s">
        <v>820</v>
      </c>
      <c r="D8" s="80" t="s">
        <v>531</v>
      </c>
      <c r="E8" s="126" t="s">
        <v>351</v>
      </c>
      <c r="F8" s="91" t="s">
        <v>21</v>
      </c>
      <c r="G8" s="39"/>
      <c r="H8" s="60" t="s">
        <v>22</v>
      </c>
      <c r="I8" s="80"/>
      <c r="J8" s="39"/>
      <c r="K8" s="39"/>
      <c r="L8" s="39"/>
      <c r="M8" s="39"/>
      <c r="N8" s="60" t="s">
        <v>22</v>
      </c>
      <c r="O8" s="91" t="s">
        <v>970</v>
      </c>
      <c r="P8" s="39"/>
      <c r="Q8" s="99">
        <f>random_key!A60</f>
        <v>0.04241728525</v>
      </c>
    </row>
    <row r="9">
      <c r="A9" s="124">
        <v>31.0</v>
      </c>
      <c r="B9" s="125" t="s">
        <v>433</v>
      </c>
      <c r="C9" s="39" t="s">
        <v>796</v>
      </c>
      <c r="D9" s="80" t="s">
        <v>435</v>
      </c>
      <c r="E9" s="126" t="s">
        <v>351</v>
      </c>
      <c r="F9" s="91" t="s">
        <v>21</v>
      </c>
      <c r="G9" s="39"/>
      <c r="H9" s="60" t="s">
        <v>22</v>
      </c>
      <c r="I9" s="80"/>
      <c r="J9" s="39"/>
      <c r="K9" s="39"/>
      <c r="L9" s="60" t="s">
        <v>22</v>
      </c>
      <c r="M9" s="39"/>
      <c r="N9" s="60" t="s">
        <v>22</v>
      </c>
      <c r="O9" s="91" t="s">
        <v>947</v>
      </c>
      <c r="P9" s="39"/>
      <c r="Q9" s="99">
        <f>random_key!A31</f>
        <v>0.04729217204</v>
      </c>
    </row>
    <row r="10">
      <c r="A10" s="124">
        <v>56.0</v>
      </c>
      <c r="B10" s="125" t="s">
        <v>517</v>
      </c>
      <c r="C10" s="39" t="s">
        <v>818</v>
      </c>
      <c r="D10" s="80" t="s">
        <v>519</v>
      </c>
      <c r="E10" s="39" t="s">
        <v>351</v>
      </c>
      <c r="F10" s="111" t="s">
        <v>21</v>
      </c>
      <c r="G10" s="60" t="s">
        <v>22</v>
      </c>
      <c r="H10" s="39"/>
      <c r="I10" s="80"/>
      <c r="J10" s="39"/>
      <c r="K10" s="39"/>
      <c r="L10" s="39"/>
      <c r="M10" s="60" t="s">
        <v>22</v>
      </c>
      <c r="N10" s="39"/>
      <c r="O10" s="127" t="s">
        <v>968</v>
      </c>
      <c r="P10" s="39"/>
      <c r="Q10" s="99">
        <f>random_key!A56</f>
        <v>0.07656247635</v>
      </c>
    </row>
    <row r="11">
      <c r="A11" s="124">
        <v>15.0</v>
      </c>
      <c r="B11" s="125" t="s">
        <v>384</v>
      </c>
      <c r="C11" s="39" t="s">
        <v>779</v>
      </c>
      <c r="D11" s="80" t="s">
        <v>216</v>
      </c>
      <c r="E11" s="126" t="s">
        <v>21</v>
      </c>
      <c r="F11" s="91" t="s">
        <v>20</v>
      </c>
      <c r="G11" s="39"/>
      <c r="H11" s="60" t="s">
        <v>22</v>
      </c>
      <c r="I11" s="80"/>
      <c r="J11" s="39"/>
      <c r="K11" s="39"/>
      <c r="L11" s="39"/>
      <c r="M11" s="60" t="s">
        <v>22</v>
      </c>
      <c r="N11" s="39"/>
      <c r="O11" s="91" t="s">
        <v>932</v>
      </c>
      <c r="P11" s="39"/>
      <c r="Q11" s="99">
        <f>random_key!A15</f>
        <v>0.0980610577</v>
      </c>
    </row>
    <row r="12">
      <c r="A12" s="124">
        <v>52.0</v>
      </c>
      <c r="B12" s="125" t="s">
        <v>505</v>
      </c>
      <c r="C12" s="39" t="s">
        <v>788</v>
      </c>
      <c r="D12" s="80" t="s">
        <v>506</v>
      </c>
      <c r="E12" s="126" t="s">
        <v>21</v>
      </c>
      <c r="F12" s="91" t="s">
        <v>31</v>
      </c>
      <c r="G12" s="39"/>
      <c r="H12" s="60" t="s">
        <v>22</v>
      </c>
      <c r="I12" s="80"/>
      <c r="J12" s="39"/>
      <c r="K12" s="39"/>
      <c r="L12" s="39"/>
      <c r="M12" s="60" t="s">
        <v>22</v>
      </c>
      <c r="N12" s="39"/>
      <c r="O12" s="91" t="s">
        <v>964</v>
      </c>
      <c r="P12" s="39"/>
      <c r="Q12" s="99">
        <f>random_key!A52</f>
        <v>0.1163449744</v>
      </c>
    </row>
    <row r="13">
      <c r="A13" s="124">
        <v>92.0</v>
      </c>
      <c r="B13" s="125" t="s">
        <v>636</v>
      </c>
      <c r="C13" s="39" t="s">
        <v>771</v>
      </c>
      <c r="D13" s="80" t="s">
        <v>80</v>
      </c>
      <c r="E13" s="126" t="s">
        <v>351</v>
      </c>
      <c r="F13" s="91" t="s">
        <v>21</v>
      </c>
      <c r="G13" s="39"/>
      <c r="H13" s="60" t="s">
        <v>22</v>
      </c>
      <c r="I13" s="80"/>
      <c r="J13" s="39"/>
      <c r="K13" s="39"/>
      <c r="L13" s="39"/>
      <c r="M13" s="39"/>
      <c r="N13" s="60" t="s">
        <v>22</v>
      </c>
      <c r="O13" s="91" t="s">
        <v>997</v>
      </c>
      <c r="P13" s="39"/>
      <c r="Q13" s="99">
        <f>random_key!A92</f>
        <v>0.1176876676</v>
      </c>
    </row>
    <row r="14">
      <c r="A14" s="124">
        <v>36.0</v>
      </c>
      <c r="B14" s="125" t="s">
        <v>448</v>
      </c>
      <c r="C14" s="39" t="s">
        <v>802</v>
      </c>
      <c r="D14" s="80" t="s">
        <v>450</v>
      </c>
      <c r="E14" s="39" t="s">
        <v>21</v>
      </c>
      <c r="F14" s="111" t="s">
        <v>20</v>
      </c>
      <c r="G14" s="60" t="s">
        <v>22</v>
      </c>
      <c r="H14" s="39"/>
      <c r="I14" s="80"/>
      <c r="J14" s="39"/>
      <c r="K14" s="60" t="s">
        <v>22</v>
      </c>
      <c r="L14" s="39"/>
      <c r="M14" s="39"/>
      <c r="N14" s="39"/>
      <c r="O14" s="91" t="s">
        <v>951</v>
      </c>
      <c r="P14" s="39"/>
      <c r="Q14" s="99">
        <f>random_key!A36</f>
        <v>0.1197756392</v>
      </c>
    </row>
    <row r="15">
      <c r="A15" s="124">
        <v>87.0</v>
      </c>
      <c r="B15" s="125" t="s">
        <v>617</v>
      </c>
      <c r="C15" s="39" t="s">
        <v>841</v>
      </c>
      <c r="D15" s="80" t="s">
        <v>619</v>
      </c>
      <c r="E15" s="39" t="s">
        <v>351</v>
      </c>
      <c r="F15" s="111" t="s">
        <v>21</v>
      </c>
      <c r="G15" s="60" t="s">
        <v>22</v>
      </c>
      <c r="H15" s="39"/>
      <c r="I15" s="80"/>
      <c r="J15" s="39"/>
      <c r="K15" s="39"/>
      <c r="L15" s="39"/>
      <c r="M15" s="60" t="s">
        <v>22</v>
      </c>
      <c r="N15" s="39"/>
      <c r="O15" s="91" t="s">
        <v>966</v>
      </c>
      <c r="P15" s="39"/>
      <c r="Q15" s="99">
        <f>random_key!A87</f>
        <v>0.1801476423</v>
      </c>
    </row>
    <row r="16">
      <c r="A16" s="124">
        <v>9.0</v>
      </c>
      <c r="B16" s="125" t="s">
        <v>368</v>
      </c>
      <c r="C16" s="39" t="s">
        <v>774</v>
      </c>
      <c r="D16" s="80" t="s">
        <v>370</v>
      </c>
      <c r="E16" s="126" t="s">
        <v>351</v>
      </c>
      <c r="F16" s="91" t="s">
        <v>21</v>
      </c>
      <c r="G16" s="39"/>
      <c r="H16" s="60" t="s">
        <v>22</v>
      </c>
      <c r="I16" s="80"/>
      <c r="J16" s="39"/>
      <c r="K16" s="39"/>
      <c r="L16" s="39"/>
      <c r="M16" s="39"/>
      <c r="N16" s="60" t="s">
        <v>22</v>
      </c>
      <c r="O16" s="91" t="s">
        <v>926</v>
      </c>
      <c r="P16" s="39"/>
      <c r="Q16" s="99">
        <f>random_key!A9</f>
        <v>0.1930796601</v>
      </c>
    </row>
    <row r="17">
      <c r="A17" s="124">
        <v>7.0</v>
      </c>
      <c r="B17" s="125" t="s">
        <v>363</v>
      </c>
      <c r="C17" s="39" t="s">
        <v>767</v>
      </c>
      <c r="D17" s="80" t="s">
        <v>364</v>
      </c>
      <c r="E17" s="39" t="s">
        <v>21</v>
      </c>
      <c r="F17" s="111" t="s">
        <v>31</v>
      </c>
      <c r="G17" s="60" t="s">
        <v>22</v>
      </c>
      <c r="H17" s="39"/>
      <c r="I17" s="80"/>
      <c r="J17" s="39"/>
      <c r="K17" s="39"/>
      <c r="L17" s="60" t="s">
        <v>22</v>
      </c>
      <c r="M17" s="39"/>
      <c r="N17" s="39"/>
      <c r="O17" s="91" t="s">
        <v>919</v>
      </c>
      <c r="P17" s="39"/>
      <c r="Q17" s="99">
        <f>random_key!A7</f>
        <v>0.2005901691</v>
      </c>
    </row>
    <row r="18">
      <c r="A18" s="124">
        <v>14.0</v>
      </c>
      <c r="B18" s="125" t="s">
        <v>381</v>
      </c>
      <c r="C18" s="39" t="s">
        <v>778</v>
      </c>
      <c r="D18" s="80" t="s">
        <v>383</v>
      </c>
      <c r="E18" s="39" t="s">
        <v>351</v>
      </c>
      <c r="F18" s="111" t="s">
        <v>21</v>
      </c>
      <c r="G18" s="60" t="s">
        <v>22</v>
      </c>
      <c r="H18" s="39"/>
      <c r="I18" s="80"/>
      <c r="J18" s="39"/>
      <c r="K18" s="39"/>
      <c r="L18" s="39"/>
      <c r="M18" s="60" t="s">
        <v>22</v>
      </c>
      <c r="N18" s="39"/>
      <c r="O18" s="127" t="s">
        <v>931</v>
      </c>
      <c r="P18" s="39"/>
      <c r="Q18" s="99">
        <f>random_key!A14</f>
        <v>0.2045792564</v>
      </c>
    </row>
    <row r="19">
      <c r="A19" s="124">
        <v>49.0</v>
      </c>
      <c r="B19" s="125" t="s">
        <v>493</v>
      </c>
      <c r="C19" s="39" t="s">
        <v>813</v>
      </c>
      <c r="D19" s="80" t="s">
        <v>495</v>
      </c>
      <c r="E19" s="39" t="s">
        <v>351</v>
      </c>
      <c r="F19" s="111" t="s">
        <v>21</v>
      </c>
      <c r="G19" s="60" t="s">
        <v>22</v>
      </c>
      <c r="H19" s="39"/>
      <c r="I19" s="80"/>
      <c r="J19" s="39"/>
      <c r="K19" s="39"/>
      <c r="L19" s="39"/>
      <c r="M19" s="60" t="s">
        <v>22</v>
      </c>
      <c r="N19" s="39"/>
      <c r="O19" s="91" t="s">
        <v>963</v>
      </c>
      <c r="P19" s="39"/>
      <c r="Q19" s="99">
        <f>random_key!A49</f>
        <v>0.2046791854</v>
      </c>
    </row>
    <row r="20">
      <c r="A20" s="124">
        <v>73.0</v>
      </c>
      <c r="B20" s="125" t="s">
        <v>568</v>
      </c>
      <c r="C20" s="39" t="s">
        <v>829</v>
      </c>
      <c r="D20" s="80" t="s">
        <v>570</v>
      </c>
      <c r="E20" s="126" t="s">
        <v>351</v>
      </c>
      <c r="F20" s="91" t="s">
        <v>21</v>
      </c>
      <c r="G20" s="39"/>
      <c r="H20" s="60" t="s">
        <v>22</v>
      </c>
      <c r="I20" s="80"/>
      <c r="J20" s="39"/>
      <c r="K20" s="39"/>
      <c r="L20" s="39"/>
      <c r="M20" s="39"/>
      <c r="N20" s="60" t="s">
        <v>22</v>
      </c>
      <c r="O20" s="91" t="s">
        <v>980</v>
      </c>
      <c r="P20" s="39"/>
      <c r="Q20" s="99">
        <f>random_key!A73</f>
        <v>0.2060904439</v>
      </c>
    </row>
    <row r="21">
      <c r="A21" s="124">
        <v>91.0</v>
      </c>
      <c r="B21" s="125" t="s">
        <v>633</v>
      </c>
      <c r="C21" s="39" t="s">
        <v>843</v>
      </c>
      <c r="D21" s="80" t="s">
        <v>634</v>
      </c>
      <c r="E21" s="39" t="s">
        <v>351</v>
      </c>
      <c r="F21" s="111" t="s">
        <v>21</v>
      </c>
      <c r="G21" s="60" t="s">
        <v>22</v>
      </c>
      <c r="H21" s="39"/>
      <c r="I21" s="80"/>
      <c r="J21" s="39"/>
      <c r="K21" s="39"/>
      <c r="L21" s="39"/>
      <c r="M21" s="60" t="s">
        <v>22</v>
      </c>
      <c r="N21" s="39"/>
      <c r="O21" s="91" t="s">
        <v>996</v>
      </c>
      <c r="P21" s="39"/>
      <c r="Q21" s="99">
        <f>random_key!A91</f>
        <v>0.208460173</v>
      </c>
    </row>
    <row r="22">
      <c r="A22" s="124">
        <v>47.0</v>
      </c>
      <c r="B22" s="125" t="s">
        <v>488</v>
      </c>
      <c r="C22" s="39" t="s">
        <v>773</v>
      </c>
      <c r="D22" s="80" t="s">
        <v>489</v>
      </c>
      <c r="E22" s="39" t="s">
        <v>351</v>
      </c>
      <c r="F22" s="111" t="s">
        <v>21</v>
      </c>
      <c r="G22" s="60" t="s">
        <v>22</v>
      </c>
      <c r="H22" s="39"/>
      <c r="I22" s="80"/>
      <c r="J22" s="39"/>
      <c r="K22" s="39"/>
      <c r="L22" s="39"/>
      <c r="M22" s="60" t="s">
        <v>22</v>
      </c>
      <c r="N22" s="39"/>
      <c r="O22" s="91" t="s">
        <v>962</v>
      </c>
      <c r="P22" s="39"/>
      <c r="Q22" s="99">
        <f>random_key!A47</f>
        <v>0.2140410334</v>
      </c>
    </row>
    <row r="23">
      <c r="A23" s="124">
        <v>82.0</v>
      </c>
      <c r="B23" s="125" t="s">
        <v>598</v>
      </c>
      <c r="C23" s="39" t="s">
        <v>836</v>
      </c>
      <c r="D23" s="80" t="s">
        <v>600</v>
      </c>
      <c r="E23" s="126" t="s">
        <v>21</v>
      </c>
      <c r="F23" s="111" t="s">
        <v>20</v>
      </c>
      <c r="G23" s="39"/>
      <c r="H23" s="39"/>
      <c r="I23" s="92" t="s">
        <v>22</v>
      </c>
      <c r="J23" s="39"/>
      <c r="K23" s="39"/>
      <c r="L23" s="39"/>
      <c r="M23" s="60" t="s">
        <v>22</v>
      </c>
      <c r="N23" s="39"/>
      <c r="O23" s="91" t="s">
        <v>988</v>
      </c>
      <c r="P23" s="39"/>
      <c r="Q23" s="99">
        <f>random_key!A82</f>
        <v>0.2217316316</v>
      </c>
    </row>
    <row r="24">
      <c r="A24" s="124">
        <v>19.0</v>
      </c>
      <c r="B24" s="125" t="s">
        <v>398</v>
      </c>
      <c r="C24" s="39" t="s">
        <v>784</v>
      </c>
      <c r="D24" s="80" t="s">
        <v>400</v>
      </c>
      <c r="E24" s="39" t="s">
        <v>21</v>
      </c>
      <c r="F24" s="111" t="s">
        <v>20</v>
      </c>
      <c r="G24" s="60" t="s">
        <v>22</v>
      </c>
      <c r="H24" s="39"/>
      <c r="I24" s="80"/>
      <c r="J24" s="39"/>
      <c r="K24" s="60" t="s">
        <v>22</v>
      </c>
      <c r="L24" s="39"/>
      <c r="M24" s="39"/>
      <c r="N24" s="128"/>
      <c r="O24" s="91" t="s">
        <v>936</v>
      </c>
      <c r="P24" s="39"/>
      <c r="Q24" s="99">
        <f>random_key!A19</f>
        <v>0.2255976227</v>
      </c>
    </row>
    <row r="25">
      <c r="A25" s="124">
        <v>17.0</v>
      </c>
      <c r="B25" s="125" t="s">
        <v>390</v>
      </c>
      <c r="C25" s="39" t="s">
        <v>781</v>
      </c>
      <c r="D25" s="80" t="s">
        <v>392</v>
      </c>
      <c r="E25" s="39" t="s">
        <v>351</v>
      </c>
      <c r="F25" s="111" t="s">
        <v>21</v>
      </c>
      <c r="G25" s="60" t="s">
        <v>22</v>
      </c>
      <c r="H25" s="39"/>
      <c r="I25" s="80"/>
      <c r="J25" s="39"/>
      <c r="K25" s="39"/>
      <c r="L25" s="39"/>
      <c r="M25" s="60" t="s">
        <v>22</v>
      </c>
      <c r="N25" s="39"/>
      <c r="O25" s="91" t="s">
        <v>934</v>
      </c>
      <c r="P25" s="39"/>
      <c r="Q25" s="99">
        <f>random_key!A17</f>
        <v>0.2359531103</v>
      </c>
    </row>
    <row r="26">
      <c r="A26" s="124">
        <v>29.0</v>
      </c>
      <c r="B26" s="125" t="s">
        <v>428</v>
      </c>
      <c r="C26" s="39" t="s">
        <v>794</v>
      </c>
      <c r="D26" s="80" t="s">
        <v>430</v>
      </c>
      <c r="E26" s="39" t="s">
        <v>351</v>
      </c>
      <c r="F26" s="111" t="s">
        <v>21</v>
      </c>
      <c r="G26" s="60" t="s">
        <v>22</v>
      </c>
      <c r="H26" s="39"/>
      <c r="I26" s="80"/>
      <c r="J26" s="39"/>
      <c r="K26" s="39"/>
      <c r="L26" s="39"/>
      <c r="M26" s="60" t="s">
        <v>22</v>
      </c>
      <c r="N26" s="39"/>
      <c r="O26" s="91" t="s">
        <v>945</v>
      </c>
      <c r="P26" s="39"/>
      <c r="Q26" s="99">
        <f>random_key!A29</f>
        <v>0.2367282546</v>
      </c>
    </row>
    <row r="27">
      <c r="A27" s="124">
        <v>44.0</v>
      </c>
      <c r="B27" s="125" t="s">
        <v>477</v>
      </c>
      <c r="C27" s="39" t="s">
        <v>810</v>
      </c>
      <c r="D27" s="80" t="s">
        <v>479</v>
      </c>
      <c r="E27" s="39" t="s">
        <v>351</v>
      </c>
      <c r="F27" s="111" t="s">
        <v>21</v>
      </c>
      <c r="G27" s="60" t="s">
        <v>22</v>
      </c>
      <c r="H27" s="39"/>
      <c r="I27" s="80"/>
      <c r="J27" s="39"/>
      <c r="K27" s="39"/>
      <c r="L27" s="39"/>
      <c r="M27" s="60" t="s">
        <v>22</v>
      </c>
      <c r="N27" s="39"/>
      <c r="O27" s="91" t="s">
        <v>959</v>
      </c>
      <c r="P27" s="39"/>
      <c r="Q27" s="99">
        <f>random_key!A44</f>
        <v>0.2390760191</v>
      </c>
    </row>
    <row r="28">
      <c r="A28" s="124">
        <v>41.0</v>
      </c>
      <c r="B28" s="125" t="s">
        <v>467</v>
      </c>
      <c r="C28" s="39" t="s">
        <v>807</v>
      </c>
      <c r="D28" s="80" t="s">
        <v>469</v>
      </c>
      <c r="E28" s="39" t="s">
        <v>351</v>
      </c>
      <c r="F28" s="111" t="s">
        <v>21</v>
      </c>
      <c r="G28" s="60" t="s">
        <v>22</v>
      </c>
      <c r="H28" s="39"/>
      <c r="I28" s="80"/>
      <c r="J28" s="60" t="s">
        <v>22</v>
      </c>
      <c r="K28" s="39"/>
      <c r="L28" s="39"/>
      <c r="M28" s="60" t="s">
        <v>22</v>
      </c>
      <c r="N28" s="39"/>
      <c r="O28" s="91" t="s">
        <v>956</v>
      </c>
      <c r="P28" s="39"/>
      <c r="Q28" s="99">
        <f>random_key!A41</f>
        <v>0.2504741674</v>
      </c>
    </row>
    <row r="29">
      <c r="A29" s="124">
        <v>20.0</v>
      </c>
      <c r="B29" s="125" t="s">
        <v>402</v>
      </c>
      <c r="C29" s="39" t="s">
        <v>773</v>
      </c>
      <c r="D29" s="80" t="s">
        <v>403</v>
      </c>
      <c r="E29" s="126" t="s">
        <v>351</v>
      </c>
      <c r="F29" s="91" t="s">
        <v>21</v>
      </c>
      <c r="G29" s="39"/>
      <c r="H29" s="60" t="s">
        <v>22</v>
      </c>
      <c r="I29" s="80"/>
      <c r="J29" s="39"/>
      <c r="K29" s="39"/>
      <c r="L29" s="39"/>
      <c r="M29" s="39"/>
      <c r="N29" s="60" t="s">
        <v>22</v>
      </c>
      <c r="O29" s="91" t="s">
        <v>925</v>
      </c>
      <c r="P29" s="39"/>
      <c r="Q29" s="99">
        <f>random_key!A20</f>
        <v>0.2628754448</v>
      </c>
    </row>
    <row r="30">
      <c r="A30" s="124">
        <v>85.0</v>
      </c>
      <c r="B30" s="125" t="s">
        <v>609</v>
      </c>
      <c r="C30" s="39" t="s">
        <v>839</v>
      </c>
      <c r="D30" s="80" t="s">
        <v>611</v>
      </c>
      <c r="E30" s="39" t="s">
        <v>351</v>
      </c>
      <c r="F30" s="111" t="s">
        <v>21</v>
      </c>
      <c r="G30" s="60" t="s">
        <v>22</v>
      </c>
      <c r="H30" s="39"/>
      <c r="I30" s="80"/>
      <c r="J30" s="39"/>
      <c r="K30" s="39"/>
      <c r="L30" s="39"/>
      <c r="M30" s="60" t="s">
        <v>22</v>
      </c>
      <c r="N30" s="39"/>
      <c r="O30" s="91" t="s">
        <v>991</v>
      </c>
      <c r="P30" s="39"/>
      <c r="Q30" s="99">
        <f>random_key!A85</f>
        <v>0.2733204148</v>
      </c>
    </row>
    <row r="31">
      <c r="A31" s="124">
        <v>71.0</v>
      </c>
      <c r="B31" s="125" t="s">
        <v>562</v>
      </c>
      <c r="C31" s="39" t="s">
        <v>827</v>
      </c>
      <c r="D31" s="80" t="s">
        <v>145</v>
      </c>
      <c r="E31" s="39" t="s">
        <v>351</v>
      </c>
      <c r="F31" s="111" t="s">
        <v>21</v>
      </c>
      <c r="G31" s="60" t="s">
        <v>22</v>
      </c>
      <c r="H31" s="39"/>
      <c r="I31" s="80"/>
      <c r="J31" s="60" t="s">
        <v>22</v>
      </c>
      <c r="K31" s="39"/>
      <c r="L31" s="60" t="s">
        <v>22</v>
      </c>
      <c r="M31" s="60" t="s">
        <v>22</v>
      </c>
      <c r="N31" s="39"/>
      <c r="O31" s="127" t="s">
        <v>978</v>
      </c>
      <c r="P31" s="39"/>
      <c r="Q31" s="99">
        <f>random_key!A71</f>
        <v>0.278433439</v>
      </c>
    </row>
    <row r="32">
      <c r="A32" s="124">
        <v>88.0</v>
      </c>
      <c r="B32" s="125" t="s">
        <v>621</v>
      </c>
      <c r="C32" s="39" t="s">
        <v>842</v>
      </c>
      <c r="D32" s="80" t="s">
        <v>623</v>
      </c>
      <c r="E32" s="39" t="s">
        <v>351</v>
      </c>
      <c r="F32" s="111" t="s">
        <v>21</v>
      </c>
      <c r="G32" s="60" t="s">
        <v>22</v>
      </c>
      <c r="H32" s="39"/>
      <c r="I32" s="80"/>
      <c r="J32" s="39"/>
      <c r="K32" s="39"/>
      <c r="L32" s="39"/>
      <c r="M32" s="60" t="s">
        <v>22</v>
      </c>
      <c r="N32" s="39"/>
      <c r="O32" s="91" t="s">
        <v>993</v>
      </c>
      <c r="P32" s="39"/>
      <c r="Q32" s="99">
        <f>random_key!A88</f>
        <v>0.2798860334</v>
      </c>
    </row>
    <row r="33">
      <c r="A33" s="124">
        <v>37.0</v>
      </c>
      <c r="B33" s="125" t="s">
        <v>452</v>
      </c>
      <c r="C33" s="39" t="s">
        <v>769</v>
      </c>
      <c r="D33" s="80" t="s">
        <v>454</v>
      </c>
      <c r="E33" s="39" t="s">
        <v>21</v>
      </c>
      <c r="F33" s="111" t="s">
        <v>20</v>
      </c>
      <c r="G33" s="60" t="s">
        <v>22</v>
      </c>
      <c r="H33" s="39"/>
      <c r="I33" s="80"/>
      <c r="J33" s="39"/>
      <c r="K33" s="60" t="s">
        <v>22</v>
      </c>
      <c r="L33" s="39"/>
      <c r="M33" s="39"/>
      <c r="N33" s="39"/>
      <c r="O33" s="91" t="s">
        <v>953</v>
      </c>
      <c r="P33" s="39"/>
      <c r="Q33" s="99">
        <f>random_key!A37</f>
        <v>0.2853436585</v>
      </c>
    </row>
    <row r="34">
      <c r="A34" s="124">
        <v>2.0</v>
      </c>
      <c r="B34" s="125" t="s">
        <v>348</v>
      </c>
      <c r="C34" s="39" t="s">
        <v>768</v>
      </c>
      <c r="D34" s="80" t="s">
        <v>350</v>
      </c>
      <c r="E34" s="39" t="s">
        <v>351</v>
      </c>
      <c r="F34" s="111" t="s">
        <v>21</v>
      </c>
      <c r="G34" s="60" t="s">
        <v>22</v>
      </c>
      <c r="H34" s="39"/>
      <c r="I34" s="80"/>
      <c r="J34" s="39"/>
      <c r="K34" s="39"/>
      <c r="L34" s="39"/>
      <c r="M34" s="60" t="s">
        <v>22</v>
      </c>
      <c r="N34" s="39"/>
      <c r="O34" s="91" t="s">
        <v>920</v>
      </c>
      <c r="P34" s="39"/>
      <c r="Q34" s="99">
        <f>random_key!A2</f>
        <v>0.3018055165</v>
      </c>
    </row>
    <row r="35">
      <c r="A35" s="124">
        <v>98.0</v>
      </c>
      <c r="B35" s="130" t="s">
        <v>653</v>
      </c>
      <c r="C35" s="39" t="s">
        <v>822</v>
      </c>
      <c r="D35" s="80" t="s">
        <v>654</v>
      </c>
      <c r="E35" s="39" t="s">
        <v>21</v>
      </c>
      <c r="F35" s="111" t="s">
        <v>20</v>
      </c>
      <c r="G35" s="60" t="s">
        <v>22</v>
      </c>
      <c r="H35" s="39"/>
      <c r="I35" s="80"/>
      <c r="J35" s="39"/>
      <c r="K35" s="60" t="s">
        <v>22</v>
      </c>
      <c r="L35" s="39"/>
      <c r="M35" s="39"/>
      <c r="N35" s="39"/>
      <c r="O35" s="91" t="s">
        <v>1002</v>
      </c>
      <c r="P35" s="39"/>
      <c r="Q35" s="99">
        <f>random_key!A98</f>
        <v>0.340759892</v>
      </c>
    </row>
    <row r="36">
      <c r="A36" s="124">
        <v>25.0</v>
      </c>
      <c r="B36" s="125" t="s">
        <v>414</v>
      </c>
      <c r="C36" s="39" t="s">
        <v>790</v>
      </c>
      <c r="D36" s="80" t="s">
        <v>416</v>
      </c>
      <c r="E36" s="39" t="s">
        <v>21</v>
      </c>
      <c r="F36" s="111" t="s">
        <v>20</v>
      </c>
      <c r="G36" s="60" t="s">
        <v>22</v>
      </c>
      <c r="H36" s="39"/>
      <c r="I36" s="80"/>
      <c r="J36" s="39"/>
      <c r="K36" s="39"/>
      <c r="L36" s="39"/>
      <c r="M36" s="39"/>
      <c r="N36" s="39"/>
      <c r="O36" s="91" t="s">
        <v>941</v>
      </c>
      <c r="P36" s="39"/>
      <c r="Q36" s="99">
        <f>random_key!A25</f>
        <v>0.3472535053</v>
      </c>
    </row>
    <row r="37">
      <c r="A37" s="124">
        <v>45.0</v>
      </c>
      <c r="B37" s="125" t="s">
        <v>481</v>
      </c>
      <c r="C37" s="39" t="s">
        <v>811</v>
      </c>
      <c r="D37" s="80" t="s">
        <v>483</v>
      </c>
      <c r="E37" s="126" t="s">
        <v>351</v>
      </c>
      <c r="F37" s="91" t="s">
        <v>21</v>
      </c>
      <c r="G37" s="39"/>
      <c r="H37" s="60" t="s">
        <v>22</v>
      </c>
      <c r="I37" s="80"/>
      <c r="J37" s="39"/>
      <c r="K37" s="39"/>
      <c r="L37" s="60" t="s">
        <v>22</v>
      </c>
      <c r="M37" s="39"/>
      <c r="N37" s="60" t="s">
        <v>22</v>
      </c>
      <c r="O37" s="91" t="s">
        <v>960</v>
      </c>
      <c r="P37" s="39"/>
      <c r="Q37" s="99">
        <f>random_key!A45</f>
        <v>0.3495666817</v>
      </c>
    </row>
    <row r="38">
      <c r="A38" s="124">
        <v>6.0</v>
      </c>
      <c r="B38" s="125" t="s">
        <v>361</v>
      </c>
      <c r="C38" s="39" t="s">
        <v>772</v>
      </c>
      <c r="D38" s="80" t="s">
        <v>347</v>
      </c>
      <c r="E38" s="126" t="s">
        <v>21</v>
      </c>
      <c r="F38" s="91" t="s">
        <v>20</v>
      </c>
      <c r="G38" s="39"/>
      <c r="H38" s="60" t="s">
        <v>22</v>
      </c>
      <c r="I38" s="80"/>
      <c r="J38" s="39"/>
      <c r="K38" s="39"/>
      <c r="L38" s="39"/>
      <c r="M38" s="60" t="s">
        <v>22</v>
      </c>
      <c r="N38" s="39"/>
      <c r="O38" s="91" t="s">
        <v>924</v>
      </c>
      <c r="P38" s="39"/>
      <c r="Q38" s="99">
        <f>random_key!A6</f>
        <v>0.3538941995</v>
      </c>
    </row>
    <row r="39">
      <c r="A39" s="124">
        <v>79.0</v>
      </c>
      <c r="B39" s="125" t="s">
        <v>588</v>
      </c>
      <c r="C39" s="39" t="s">
        <v>802</v>
      </c>
      <c r="D39" s="80" t="s">
        <v>590</v>
      </c>
      <c r="E39" s="39" t="s">
        <v>21</v>
      </c>
      <c r="F39" s="111" t="s">
        <v>20</v>
      </c>
      <c r="G39" s="60" t="s">
        <v>22</v>
      </c>
      <c r="H39" s="39"/>
      <c r="I39" s="80"/>
      <c r="J39" s="39"/>
      <c r="K39" s="39"/>
      <c r="L39" s="39"/>
      <c r="M39" s="39"/>
      <c r="N39" s="39"/>
      <c r="O39" s="91" t="s">
        <v>953</v>
      </c>
      <c r="P39" s="39"/>
      <c r="Q39" s="99">
        <f>random_key!A79</f>
        <v>0.4195941883</v>
      </c>
    </row>
    <row r="40">
      <c r="A40" s="124">
        <v>5.0</v>
      </c>
      <c r="B40" s="125" t="s">
        <v>359</v>
      </c>
      <c r="C40" s="39" t="s">
        <v>771</v>
      </c>
      <c r="D40" s="80" t="s">
        <v>57</v>
      </c>
      <c r="E40" s="126" t="s">
        <v>351</v>
      </c>
      <c r="F40" s="91" t="s">
        <v>21</v>
      </c>
      <c r="G40" s="39"/>
      <c r="H40" s="60" t="s">
        <v>22</v>
      </c>
      <c r="I40" s="80"/>
      <c r="J40" s="39"/>
      <c r="K40" s="39"/>
      <c r="L40" s="39"/>
      <c r="M40" s="39"/>
      <c r="N40" s="60" t="s">
        <v>22</v>
      </c>
      <c r="O40" s="91" t="s">
        <v>923</v>
      </c>
      <c r="P40" s="39"/>
      <c r="Q40" s="99">
        <f>random_key!A5</f>
        <v>0.4200862284</v>
      </c>
    </row>
    <row r="41">
      <c r="A41" s="124">
        <v>81.0</v>
      </c>
      <c r="B41" s="125" t="s">
        <v>595</v>
      </c>
      <c r="C41" s="39" t="s">
        <v>795</v>
      </c>
      <c r="D41" s="80" t="s">
        <v>596</v>
      </c>
      <c r="E41" s="126" t="s">
        <v>351</v>
      </c>
      <c r="F41" s="91" t="s">
        <v>21</v>
      </c>
      <c r="G41" s="39"/>
      <c r="H41" s="60" t="s">
        <v>22</v>
      </c>
      <c r="I41" s="80"/>
      <c r="J41" s="39"/>
      <c r="K41" s="39"/>
      <c r="L41" s="39"/>
      <c r="M41" s="39"/>
      <c r="N41" s="60" t="s">
        <v>22</v>
      </c>
      <c r="O41" s="91" t="s">
        <v>987</v>
      </c>
      <c r="P41" s="39"/>
      <c r="Q41" s="99">
        <f>random_key!A81</f>
        <v>0.4456763806</v>
      </c>
    </row>
    <row r="42">
      <c r="A42" s="124">
        <v>76.0</v>
      </c>
      <c r="B42" s="125" t="s">
        <v>579</v>
      </c>
      <c r="C42" s="39" t="s">
        <v>832</v>
      </c>
      <c r="D42" s="80" t="s">
        <v>110</v>
      </c>
      <c r="E42" s="126" t="s">
        <v>21</v>
      </c>
      <c r="F42" s="111" t="s">
        <v>20</v>
      </c>
      <c r="G42" s="39"/>
      <c r="H42" s="39"/>
      <c r="I42" s="92" t="s">
        <v>22</v>
      </c>
      <c r="J42" s="39"/>
      <c r="K42" s="60" t="s">
        <v>22</v>
      </c>
      <c r="L42" s="39"/>
      <c r="M42" s="60" t="s">
        <v>22</v>
      </c>
      <c r="N42" s="39"/>
      <c r="O42" s="91" t="s">
        <v>983</v>
      </c>
      <c r="P42" s="39"/>
      <c r="Q42" s="99">
        <f>random_key!A76</f>
        <v>0.4472647815</v>
      </c>
    </row>
    <row r="43">
      <c r="A43" s="124">
        <v>21.0</v>
      </c>
      <c r="B43" s="125" t="s">
        <v>404</v>
      </c>
      <c r="C43" s="39" t="s">
        <v>785</v>
      </c>
      <c r="D43" s="80" t="s">
        <v>25</v>
      </c>
      <c r="E43" s="126" t="s">
        <v>21</v>
      </c>
      <c r="F43" s="111" t="s">
        <v>26</v>
      </c>
      <c r="G43" s="39"/>
      <c r="H43" s="39"/>
      <c r="I43" s="92" t="s">
        <v>22</v>
      </c>
      <c r="J43" s="39"/>
      <c r="K43" s="60" t="s">
        <v>22</v>
      </c>
      <c r="L43" s="39"/>
      <c r="M43" s="60" t="s">
        <v>22</v>
      </c>
      <c r="N43" s="39"/>
      <c r="O43" s="91" t="s">
        <v>937</v>
      </c>
      <c r="P43" s="39"/>
      <c r="Q43" s="99">
        <f>random_key!A21</f>
        <v>0.4672776255</v>
      </c>
    </row>
    <row r="44">
      <c r="A44" s="124">
        <v>33.0</v>
      </c>
      <c r="B44" s="125" t="s">
        <v>439</v>
      </c>
      <c r="C44" s="39" t="s">
        <v>798</v>
      </c>
      <c r="D44" s="80" t="s">
        <v>42</v>
      </c>
      <c r="E44" s="126" t="s">
        <v>21</v>
      </c>
      <c r="F44" s="111" t="s">
        <v>20</v>
      </c>
      <c r="G44" s="39"/>
      <c r="H44" s="39"/>
      <c r="I44" s="92" t="s">
        <v>22</v>
      </c>
      <c r="J44" s="39"/>
      <c r="K44" s="60" t="s">
        <v>22</v>
      </c>
      <c r="L44" s="39"/>
      <c r="M44" s="60" t="s">
        <v>22</v>
      </c>
      <c r="N44" s="60" t="s">
        <v>949</v>
      </c>
      <c r="O44" s="91" t="s">
        <v>950</v>
      </c>
      <c r="P44" s="39"/>
      <c r="Q44" s="99">
        <f>random_key!A33</f>
        <v>0.48600759</v>
      </c>
    </row>
    <row r="45">
      <c r="A45" s="124">
        <v>59.0</v>
      </c>
      <c r="B45" s="125" t="s">
        <v>526</v>
      </c>
      <c r="C45" s="39" t="s">
        <v>808</v>
      </c>
      <c r="D45" s="80" t="s">
        <v>527</v>
      </c>
      <c r="E45" s="39" t="s">
        <v>351</v>
      </c>
      <c r="F45" s="111" t="s">
        <v>21</v>
      </c>
      <c r="G45" s="60" t="s">
        <v>22</v>
      </c>
      <c r="H45" s="39"/>
      <c r="I45" s="80"/>
      <c r="J45" s="39"/>
      <c r="K45" s="39"/>
      <c r="L45" s="39"/>
      <c r="M45" s="60" t="s">
        <v>22</v>
      </c>
      <c r="N45" s="39"/>
      <c r="O45" s="91" t="s">
        <v>971</v>
      </c>
      <c r="P45" s="39"/>
      <c r="Q45" s="99">
        <f>random_key!A59</f>
        <v>0.4909575479</v>
      </c>
    </row>
    <row r="46">
      <c r="A46" s="124">
        <v>42.0</v>
      </c>
      <c r="B46" s="125" t="s">
        <v>470</v>
      </c>
      <c r="C46" s="39" t="s">
        <v>808</v>
      </c>
      <c r="D46" s="80" t="s">
        <v>212</v>
      </c>
      <c r="E46" s="126" t="s">
        <v>351</v>
      </c>
      <c r="F46" s="91" t="s">
        <v>21</v>
      </c>
      <c r="G46" s="39"/>
      <c r="H46" s="60" t="s">
        <v>22</v>
      </c>
      <c r="I46" s="80"/>
      <c r="J46" s="39"/>
      <c r="K46" s="39"/>
      <c r="L46" s="60" t="s">
        <v>22</v>
      </c>
      <c r="M46" s="39"/>
      <c r="N46" s="60" t="s">
        <v>22</v>
      </c>
      <c r="O46" s="91" t="s">
        <v>957</v>
      </c>
      <c r="P46" s="39"/>
      <c r="Q46" s="99">
        <f>random_key!A42</f>
        <v>0.5062348543</v>
      </c>
    </row>
    <row r="47">
      <c r="A47" s="124">
        <v>38.0</v>
      </c>
      <c r="B47" s="125" t="s">
        <v>456</v>
      </c>
      <c r="C47" s="39" t="s">
        <v>803</v>
      </c>
      <c r="D47" s="80" t="s">
        <v>458</v>
      </c>
      <c r="E47" s="39" t="s">
        <v>21</v>
      </c>
      <c r="F47" s="111" t="s">
        <v>20</v>
      </c>
      <c r="G47" s="60" t="s">
        <v>22</v>
      </c>
      <c r="H47" s="39"/>
      <c r="I47" s="80"/>
      <c r="J47" s="39"/>
      <c r="K47" s="60" t="s">
        <v>22</v>
      </c>
      <c r="L47" s="39"/>
      <c r="M47" s="39"/>
      <c r="N47" s="39"/>
      <c r="O47" s="91" t="s">
        <v>951</v>
      </c>
      <c r="P47" s="39"/>
      <c r="Q47" s="99">
        <f>random_key!A38</f>
        <v>0.5320225834</v>
      </c>
    </row>
    <row r="48">
      <c r="A48" s="124">
        <v>57.0</v>
      </c>
      <c r="B48" s="125" t="s">
        <v>521</v>
      </c>
      <c r="C48" s="39" t="s">
        <v>819</v>
      </c>
      <c r="D48" s="80" t="s">
        <v>523</v>
      </c>
      <c r="E48" s="39" t="s">
        <v>351</v>
      </c>
      <c r="F48" s="111" t="s">
        <v>21</v>
      </c>
      <c r="G48" s="60" t="s">
        <v>22</v>
      </c>
      <c r="H48" s="39"/>
      <c r="I48" s="80"/>
      <c r="J48" s="60" t="s">
        <v>22</v>
      </c>
      <c r="K48" s="39"/>
      <c r="L48" s="39"/>
      <c r="M48" s="60" t="s">
        <v>22</v>
      </c>
      <c r="N48" s="39"/>
      <c r="O48" s="127" t="s">
        <v>969</v>
      </c>
      <c r="P48" s="39"/>
      <c r="Q48" s="99">
        <f>random_key!A57</f>
        <v>0.5392406636</v>
      </c>
    </row>
    <row r="49">
      <c r="A49" s="124">
        <v>95.0</v>
      </c>
      <c r="B49" s="125" t="s">
        <v>645</v>
      </c>
      <c r="C49" s="39" t="s">
        <v>848</v>
      </c>
      <c r="D49" s="80" t="s">
        <v>647</v>
      </c>
      <c r="E49" s="39" t="s">
        <v>21</v>
      </c>
      <c r="F49" s="111" t="s">
        <v>31</v>
      </c>
      <c r="G49" s="60" t="s">
        <v>22</v>
      </c>
      <c r="H49" s="39"/>
      <c r="I49" s="80"/>
      <c r="J49" s="39"/>
      <c r="K49" s="60" t="s">
        <v>22</v>
      </c>
      <c r="L49" s="39"/>
      <c r="M49" s="39"/>
      <c r="N49" s="39"/>
      <c r="O49" s="91" t="s">
        <v>955</v>
      </c>
      <c r="P49" s="39"/>
      <c r="Q49" s="99">
        <f>random_key!A95</f>
        <v>0.5528709074</v>
      </c>
    </row>
    <row r="50">
      <c r="A50" s="124">
        <v>8.0</v>
      </c>
      <c r="B50" s="125" t="s">
        <v>365</v>
      </c>
      <c r="C50" s="39" t="s">
        <v>773</v>
      </c>
      <c r="D50" s="80" t="s">
        <v>367</v>
      </c>
      <c r="E50" s="126" t="s">
        <v>351</v>
      </c>
      <c r="F50" s="91" t="s">
        <v>21</v>
      </c>
      <c r="G50" s="39"/>
      <c r="H50" s="60" t="s">
        <v>22</v>
      </c>
      <c r="I50" s="80"/>
      <c r="J50" s="39"/>
      <c r="K50" s="39"/>
      <c r="L50" s="60" t="s">
        <v>22</v>
      </c>
      <c r="M50" s="39"/>
      <c r="N50" s="60" t="s">
        <v>22</v>
      </c>
      <c r="O50" s="91" t="s">
        <v>925</v>
      </c>
      <c r="P50" s="39"/>
      <c r="Q50" s="99">
        <f>random_key!A8</f>
        <v>0.554984421</v>
      </c>
    </row>
    <row r="51">
      <c r="A51" s="124">
        <v>11.0</v>
      </c>
      <c r="B51" s="125" t="s">
        <v>374</v>
      </c>
      <c r="C51" s="39" t="s">
        <v>776</v>
      </c>
      <c r="D51" s="80" t="s">
        <v>232</v>
      </c>
      <c r="E51" s="126" t="s">
        <v>21</v>
      </c>
      <c r="F51" s="91" t="s">
        <v>26</v>
      </c>
      <c r="G51" s="60" t="s">
        <v>862</v>
      </c>
      <c r="H51" s="60" t="s">
        <v>22</v>
      </c>
      <c r="I51" s="80"/>
      <c r="J51" s="39"/>
      <c r="K51" s="39"/>
      <c r="L51" s="39"/>
      <c r="M51" s="60" t="s">
        <v>22</v>
      </c>
      <c r="N51" s="39"/>
      <c r="O51" s="91" t="s">
        <v>928</v>
      </c>
      <c r="P51" s="39"/>
      <c r="Q51" s="99">
        <f>random_key!A11</f>
        <v>0.5740921633</v>
      </c>
    </row>
    <row r="52">
      <c r="A52" s="124">
        <v>16.0</v>
      </c>
      <c r="B52" s="125" t="s">
        <v>387</v>
      </c>
      <c r="C52" s="39" t="s">
        <v>780</v>
      </c>
      <c r="D52" s="80" t="s">
        <v>389</v>
      </c>
      <c r="E52" s="39" t="s">
        <v>21</v>
      </c>
      <c r="F52" s="111" t="s">
        <v>20</v>
      </c>
      <c r="G52" s="60" t="s">
        <v>22</v>
      </c>
      <c r="H52" s="39"/>
      <c r="I52" s="80"/>
      <c r="J52" s="39"/>
      <c r="K52" s="39"/>
      <c r="L52" s="39"/>
      <c r="M52" s="39"/>
      <c r="N52" s="39"/>
      <c r="O52" s="91" t="s">
        <v>933</v>
      </c>
      <c r="P52" s="39"/>
      <c r="Q52" s="99">
        <f>random_key!A16</f>
        <v>0.5758198613</v>
      </c>
    </row>
    <row r="53">
      <c r="A53" s="124">
        <v>13.0</v>
      </c>
      <c r="B53" s="125" t="s">
        <v>377</v>
      </c>
      <c r="C53" s="39" t="s">
        <v>777</v>
      </c>
      <c r="D53" s="80" t="s">
        <v>379</v>
      </c>
      <c r="E53" s="39" t="s">
        <v>351</v>
      </c>
      <c r="F53" s="111" t="s">
        <v>21</v>
      </c>
      <c r="G53" s="60" t="s">
        <v>22</v>
      </c>
      <c r="H53" s="39"/>
      <c r="I53" s="80"/>
      <c r="J53" s="39"/>
      <c r="K53" s="39"/>
      <c r="L53" s="39"/>
      <c r="M53" s="60" t="s">
        <v>22</v>
      </c>
      <c r="N53" s="39"/>
      <c r="O53" s="91" t="s">
        <v>930</v>
      </c>
      <c r="P53" s="39"/>
      <c r="Q53" s="99">
        <f>random_key!A13</f>
        <v>0.5806079571</v>
      </c>
    </row>
    <row r="54">
      <c r="A54" s="124">
        <v>83.0</v>
      </c>
      <c r="B54" s="125" t="s">
        <v>602</v>
      </c>
      <c r="C54" s="39" t="s">
        <v>783</v>
      </c>
      <c r="D54" s="80" t="s">
        <v>603</v>
      </c>
      <c r="E54" s="126" t="s">
        <v>351</v>
      </c>
      <c r="F54" s="111" t="s">
        <v>20</v>
      </c>
      <c r="G54" s="39"/>
      <c r="H54" s="39"/>
      <c r="I54" s="92" t="s">
        <v>22</v>
      </c>
      <c r="J54" s="39"/>
      <c r="K54" s="60" t="s">
        <v>22</v>
      </c>
      <c r="L54" s="39"/>
      <c r="M54" s="39"/>
      <c r="N54" s="60" t="s">
        <v>22</v>
      </c>
      <c r="O54" s="91" t="s">
        <v>989</v>
      </c>
      <c r="P54" s="39"/>
      <c r="Q54" s="99">
        <f>random_key!A83</f>
        <v>0.5810969474</v>
      </c>
    </row>
    <row r="55">
      <c r="A55" s="124">
        <v>100.0</v>
      </c>
      <c r="B55" s="125" t="s">
        <v>660</v>
      </c>
      <c r="C55" s="125" t="s">
        <v>813</v>
      </c>
      <c r="D55" s="80" t="s">
        <v>661</v>
      </c>
      <c r="E55" s="39" t="s">
        <v>351</v>
      </c>
      <c r="F55" s="111" t="s">
        <v>21</v>
      </c>
      <c r="G55" s="60" t="s">
        <v>22</v>
      </c>
      <c r="H55" s="39"/>
      <c r="I55" s="80"/>
      <c r="J55" s="39"/>
      <c r="K55" s="39"/>
      <c r="L55" s="39"/>
      <c r="M55" s="60" t="s">
        <v>22</v>
      </c>
      <c r="N55" s="39"/>
      <c r="O55" s="91" t="s">
        <v>1004</v>
      </c>
      <c r="P55" s="132" t="b">
        <f>IFERROR(__xludf.DUMMYFUNCTION("or(and(regexmatch(E52,""OK""),regexmatch(F52,""omission"")),and(regexmatch(E52,""hallucination""),regexmatch(F52,""hallucination"")))"),TRUE)</f>
        <v>1</v>
      </c>
      <c r="Q55" s="99">
        <f>random_key!A100</f>
        <v>0.5847508866</v>
      </c>
    </row>
    <row r="56">
      <c r="A56" s="124">
        <v>18.0</v>
      </c>
      <c r="B56" s="125" t="s">
        <v>394</v>
      </c>
      <c r="C56" s="39" t="s">
        <v>783</v>
      </c>
      <c r="D56" s="80" t="s">
        <v>396</v>
      </c>
      <c r="E56" s="39" t="s">
        <v>21</v>
      </c>
      <c r="F56" s="111" t="s">
        <v>20</v>
      </c>
      <c r="G56" s="60" t="s">
        <v>22</v>
      </c>
      <c r="H56" s="39"/>
      <c r="I56" s="80"/>
      <c r="J56" s="39"/>
      <c r="K56" s="60" t="s">
        <v>22</v>
      </c>
      <c r="L56" s="39"/>
      <c r="M56" s="39"/>
      <c r="N56" s="39"/>
      <c r="O56" s="91" t="s">
        <v>935</v>
      </c>
      <c r="P56" s="39"/>
      <c r="Q56" s="99">
        <f>random_key!A18</f>
        <v>0.586809022</v>
      </c>
    </row>
    <row r="57">
      <c r="A57" s="124">
        <v>99.0</v>
      </c>
      <c r="B57" s="125" t="s">
        <v>656</v>
      </c>
      <c r="C57" s="39" t="s">
        <v>851</v>
      </c>
      <c r="D57" s="80" t="s">
        <v>658</v>
      </c>
      <c r="E57" s="126" t="s">
        <v>21</v>
      </c>
      <c r="F57" s="111" t="s">
        <v>20</v>
      </c>
      <c r="G57" s="39"/>
      <c r="H57" s="39"/>
      <c r="I57" s="92" t="s">
        <v>22</v>
      </c>
      <c r="J57" s="39"/>
      <c r="K57" s="60" t="s">
        <v>22</v>
      </c>
      <c r="L57" s="39"/>
      <c r="M57" s="60" t="s">
        <v>22</v>
      </c>
      <c r="N57" s="39"/>
      <c r="O57" s="91" t="s">
        <v>1003</v>
      </c>
      <c r="P57" s="39"/>
      <c r="Q57" s="99">
        <f>random_key!A99</f>
        <v>0.5960798585</v>
      </c>
    </row>
    <row r="58">
      <c r="A58" s="124">
        <v>1.0</v>
      </c>
      <c r="B58" s="125" t="s">
        <v>345</v>
      </c>
      <c r="C58" s="39" t="s">
        <v>767</v>
      </c>
      <c r="D58" s="80" t="s">
        <v>347</v>
      </c>
      <c r="E58" s="39" t="s">
        <v>21</v>
      </c>
      <c r="F58" s="111" t="s">
        <v>31</v>
      </c>
      <c r="G58" s="60" t="s">
        <v>22</v>
      </c>
      <c r="H58" s="39"/>
      <c r="I58" s="80"/>
      <c r="J58" s="39"/>
      <c r="K58" s="39"/>
      <c r="L58" s="39"/>
      <c r="M58" s="39"/>
      <c r="N58" s="39"/>
      <c r="O58" s="91" t="s">
        <v>919</v>
      </c>
      <c r="P58" s="39"/>
      <c r="Q58" s="99">
        <f>random_key!A1</f>
        <v>0.6058113928</v>
      </c>
    </row>
    <row r="59">
      <c r="A59" s="124">
        <v>28.0</v>
      </c>
      <c r="B59" s="125" t="s">
        <v>424</v>
      </c>
      <c r="C59" s="39" t="s">
        <v>792</v>
      </c>
      <c r="D59" s="80" t="s">
        <v>426</v>
      </c>
      <c r="E59" s="126" t="s">
        <v>21</v>
      </c>
      <c r="F59" s="91" t="s">
        <v>31</v>
      </c>
      <c r="G59" s="39"/>
      <c r="H59" s="60" t="s">
        <v>22</v>
      </c>
      <c r="I59" s="80"/>
      <c r="J59" s="39"/>
      <c r="K59" s="39"/>
      <c r="L59" s="39"/>
      <c r="M59" s="60" t="s">
        <v>22</v>
      </c>
      <c r="N59" s="39"/>
      <c r="O59" s="91" t="s">
        <v>944</v>
      </c>
      <c r="P59" s="39"/>
      <c r="Q59" s="99">
        <f>random_key!A28</f>
        <v>0.6095717857</v>
      </c>
    </row>
    <row r="60">
      <c r="A60" s="124">
        <v>26.0</v>
      </c>
      <c r="B60" s="125" t="s">
        <v>417</v>
      </c>
      <c r="C60" s="39" t="s">
        <v>789</v>
      </c>
      <c r="D60" s="80" t="s">
        <v>418</v>
      </c>
      <c r="E60" s="126" t="s">
        <v>21</v>
      </c>
      <c r="F60" s="111" t="s">
        <v>20</v>
      </c>
      <c r="G60" s="39"/>
      <c r="H60" s="39"/>
      <c r="I60" s="92" t="s">
        <v>22</v>
      </c>
      <c r="J60" s="39"/>
      <c r="K60" s="39"/>
      <c r="L60" s="39"/>
      <c r="M60" s="60" t="s">
        <v>22</v>
      </c>
      <c r="N60" s="39"/>
      <c r="O60" s="91" t="s">
        <v>942</v>
      </c>
      <c r="P60" s="39"/>
      <c r="Q60" s="99">
        <f>random_key!A26</f>
        <v>0.6126845745</v>
      </c>
    </row>
    <row r="61">
      <c r="A61" s="124">
        <v>63.0</v>
      </c>
      <c r="B61" s="125" t="s">
        <v>539</v>
      </c>
      <c r="C61" s="39" t="s">
        <v>823</v>
      </c>
      <c r="D61" s="80" t="s">
        <v>541</v>
      </c>
      <c r="E61" s="39" t="s">
        <v>21</v>
      </c>
      <c r="F61" s="111" t="s">
        <v>31</v>
      </c>
      <c r="G61" s="60" t="s">
        <v>22</v>
      </c>
      <c r="H61" s="39"/>
      <c r="I61" s="80"/>
      <c r="J61" s="39"/>
      <c r="K61" s="60" t="s">
        <v>22</v>
      </c>
      <c r="L61" s="39"/>
      <c r="M61" s="39"/>
      <c r="N61" s="39"/>
      <c r="O61" s="91" t="s">
        <v>973</v>
      </c>
      <c r="P61" s="39"/>
      <c r="Q61" s="99">
        <f>random_key!A63</f>
        <v>0.6156882262</v>
      </c>
    </row>
    <row r="62">
      <c r="A62" s="124">
        <v>65.0</v>
      </c>
      <c r="B62" s="125" t="s">
        <v>545</v>
      </c>
      <c r="C62" s="39" t="s">
        <v>824</v>
      </c>
      <c r="D62" s="80" t="s">
        <v>64</v>
      </c>
      <c r="E62" s="126" t="s">
        <v>21</v>
      </c>
      <c r="F62" s="91" t="s">
        <v>26</v>
      </c>
      <c r="G62" s="39"/>
      <c r="H62" s="60" t="s">
        <v>22</v>
      </c>
      <c r="I62" s="80"/>
      <c r="J62" s="39"/>
      <c r="K62" s="39"/>
      <c r="L62" s="39"/>
      <c r="M62" s="60" t="s">
        <v>22</v>
      </c>
      <c r="N62" s="39"/>
      <c r="O62" s="91" t="s">
        <v>975</v>
      </c>
      <c r="P62" s="39"/>
      <c r="Q62" s="99">
        <f>random_key!A65</f>
        <v>0.6172641741</v>
      </c>
    </row>
    <row r="63">
      <c r="A63" s="124">
        <v>50.0</v>
      </c>
      <c r="B63" s="125" t="s">
        <v>497</v>
      </c>
      <c r="C63" s="39" t="s">
        <v>814</v>
      </c>
      <c r="D63" s="80" t="s">
        <v>499</v>
      </c>
      <c r="E63" s="39" t="s">
        <v>21</v>
      </c>
      <c r="F63" s="111" t="s">
        <v>20</v>
      </c>
      <c r="G63" s="60" t="s">
        <v>22</v>
      </c>
      <c r="H63" s="39"/>
      <c r="I63" s="80"/>
      <c r="J63" s="39"/>
      <c r="K63" s="60" t="s">
        <v>22</v>
      </c>
      <c r="L63" s="39"/>
      <c r="M63" s="39"/>
      <c r="N63" s="39"/>
      <c r="O63" s="91" t="s">
        <v>953</v>
      </c>
      <c r="P63" s="39"/>
      <c r="Q63" s="99">
        <f>random_key!A50</f>
        <v>0.6196514827</v>
      </c>
    </row>
    <row r="64">
      <c r="A64" s="124">
        <v>35.0</v>
      </c>
      <c r="B64" s="125" t="s">
        <v>445</v>
      </c>
      <c r="C64" s="39" t="s">
        <v>801</v>
      </c>
      <c r="D64" s="80" t="s">
        <v>447</v>
      </c>
      <c r="E64" s="126" t="s">
        <v>21</v>
      </c>
      <c r="F64" s="91" t="s">
        <v>20</v>
      </c>
      <c r="G64" s="39"/>
      <c r="H64" s="60" t="s">
        <v>22</v>
      </c>
      <c r="I64" s="80"/>
      <c r="J64" s="39"/>
      <c r="K64" s="39"/>
      <c r="L64" s="39"/>
      <c r="M64" s="60" t="s">
        <v>22</v>
      </c>
      <c r="N64" s="39"/>
      <c r="O64" s="91" t="s">
        <v>952</v>
      </c>
      <c r="P64" s="39"/>
      <c r="Q64" s="99">
        <f>random_key!A35</f>
        <v>0.6326865327</v>
      </c>
    </row>
    <row r="65">
      <c r="A65" s="124">
        <v>53.0</v>
      </c>
      <c r="B65" s="125" t="s">
        <v>508</v>
      </c>
      <c r="C65" s="39" t="s">
        <v>816</v>
      </c>
      <c r="D65" s="80" t="s">
        <v>510</v>
      </c>
      <c r="E65" s="39" t="s">
        <v>21</v>
      </c>
      <c r="F65" s="111" t="s">
        <v>20</v>
      </c>
      <c r="G65" s="60" t="s">
        <v>22</v>
      </c>
      <c r="H65" s="39"/>
      <c r="I65" s="80"/>
      <c r="J65" s="39"/>
      <c r="K65" s="60" t="s">
        <v>22</v>
      </c>
      <c r="L65" s="39"/>
      <c r="M65" s="39"/>
      <c r="N65" s="39"/>
      <c r="O65" s="91" t="s">
        <v>965</v>
      </c>
      <c r="P65" s="39"/>
      <c r="Q65" s="99">
        <f>random_key!A53</f>
        <v>0.6338566744</v>
      </c>
    </row>
    <row r="66">
      <c r="A66" s="124">
        <v>66.0</v>
      </c>
      <c r="B66" s="125" t="s">
        <v>547</v>
      </c>
      <c r="C66" s="39" t="s">
        <v>790</v>
      </c>
      <c r="D66" s="80" t="s">
        <v>548</v>
      </c>
      <c r="E66" s="126" t="s">
        <v>21</v>
      </c>
      <c r="F66" s="91" t="s">
        <v>20</v>
      </c>
      <c r="G66" s="39"/>
      <c r="H66" s="60" t="s">
        <v>22</v>
      </c>
      <c r="I66" s="80"/>
      <c r="J66" s="39"/>
      <c r="K66" s="39"/>
      <c r="L66" s="39"/>
      <c r="M66" s="60" t="s">
        <v>22</v>
      </c>
      <c r="N66" s="39"/>
      <c r="O66" s="91" t="s">
        <v>976</v>
      </c>
      <c r="P66" s="39"/>
      <c r="Q66" s="99">
        <f>random_key!A66</f>
        <v>0.6338980481</v>
      </c>
    </row>
    <row r="67">
      <c r="A67" s="124">
        <v>69.0</v>
      </c>
      <c r="B67" s="125" t="s">
        <v>557</v>
      </c>
      <c r="C67" s="39" t="s">
        <v>814</v>
      </c>
      <c r="D67" s="80" t="s">
        <v>558</v>
      </c>
      <c r="E67" s="39" t="s">
        <v>21</v>
      </c>
      <c r="F67" s="111" t="s">
        <v>31</v>
      </c>
      <c r="G67" s="60" t="s">
        <v>22</v>
      </c>
      <c r="H67" s="39"/>
      <c r="I67" s="80"/>
      <c r="J67" s="39"/>
      <c r="K67" s="60" t="s">
        <v>22</v>
      </c>
      <c r="L67" s="39"/>
      <c r="M67" s="39"/>
      <c r="N67" s="39"/>
      <c r="O67" s="91" t="s">
        <v>955</v>
      </c>
      <c r="P67" s="39"/>
      <c r="Q67" s="99">
        <f>random_key!A69</f>
        <v>0.6380938099</v>
      </c>
    </row>
    <row r="68">
      <c r="A68" s="124">
        <v>75.0</v>
      </c>
      <c r="B68" s="125" t="s">
        <v>575</v>
      </c>
      <c r="C68" s="39" t="s">
        <v>831</v>
      </c>
      <c r="D68" s="80" t="s">
        <v>577</v>
      </c>
      <c r="E68" s="126" t="s">
        <v>351</v>
      </c>
      <c r="F68" s="91" t="s">
        <v>21</v>
      </c>
      <c r="G68" s="39"/>
      <c r="H68" s="60" t="s">
        <v>22</v>
      </c>
      <c r="I68" s="80"/>
      <c r="J68" s="39"/>
      <c r="K68" s="39"/>
      <c r="L68" s="39"/>
      <c r="M68" s="39"/>
      <c r="N68" s="60" t="s">
        <v>22</v>
      </c>
      <c r="O68" s="91" t="s">
        <v>982</v>
      </c>
      <c r="P68" s="39"/>
      <c r="Q68" s="99">
        <f>random_key!A75</f>
        <v>0.647923742</v>
      </c>
    </row>
    <row r="69">
      <c r="A69" s="124">
        <v>58.0</v>
      </c>
      <c r="B69" s="125" t="s">
        <v>525</v>
      </c>
      <c r="C69" s="39" t="s">
        <v>776</v>
      </c>
      <c r="D69" s="80" t="s">
        <v>370</v>
      </c>
      <c r="E69" s="126" t="s">
        <v>351</v>
      </c>
      <c r="F69" s="91" t="s">
        <v>21</v>
      </c>
      <c r="G69" s="39"/>
      <c r="H69" s="60" t="s">
        <v>22</v>
      </c>
      <c r="I69" s="80"/>
      <c r="J69" s="39"/>
      <c r="K69" s="39"/>
      <c r="L69" s="60" t="s">
        <v>22</v>
      </c>
      <c r="M69" s="39"/>
      <c r="N69" s="60" t="s">
        <v>22</v>
      </c>
      <c r="O69" s="129" t="s">
        <v>970</v>
      </c>
      <c r="P69" s="39"/>
      <c r="Q69" s="99">
        <f>random_key!A58</f>
        <v>0.6700016504</v>
      </c>
    </row>
    <row r="70">
      <c r="A70" s="124">
        <v>12.0</v>
      </c>
      <c r="B70" s="125" t="s">
        <v>368</v>
      </c>
      <c r="C70" s="39" t="s">
        <v>774</v>
      </c>
      <c r="D70" s="80" t="s">
        <v>370</v>
      </c>
      <c r="E70" s="126" t="s">
        <v>351</v>
      </c>
      <c r="F70" s="91" t="s">
        <v>21</v>
      </c>
      <c r="G70" s="39"/>
      <c r="H70" s="60" t="s">
        <v>22</v>
      </c>
      <c r="I70" s="80"/>
      <c r="J70" s="39"/>
      <c r="K70" s="39"/>
      <c r="L70" s="39"/>
      <c r="M70" s="39"/>
      <c r="N70" s="60" t="s">
        <v>22</v>
      </c>
      <c r="O70" s="91" t="s">
        <v>929</v>
      </c>
      <c r="P70" s="39"/>
      <c r="Q70" s="99">
        <f>random_key!A12</f>
        <v>0.6836740545</v>
      </c>
    </row>
    <row r="71">
      <c r="A71" s="124">
        <v>10.0</v>
      </c>
      <c r="B71" s="125" t="s">
        <v>371</v>
      </c>
      <c r="C71" s="39" t="s">
        <v>775</v>
      </c>
      <c r="D71" s="80" t="s">
        <v>373</v>
      </c>
      <c r="E71" s="126" t="s">
        <v>351</v>
      </c>
      <c r="F71" s="91" t="s">
        <v>21</v>
      </c>
      <c r="G71" s="39"/>
      <c r="H71" s="60" t="s">
        <v>22</v>
      </c>
      <c r="I71" s="80"/>
      <c r="J71" s="39"/>
      <c r="K71" s="39"/>
      <c r="L71" s="39"/>
      <c r="M71" s="39"/>
      <c r="N71" s="60" t="s">
        <v>22</v>
      </c>
      <c r="O71" s="91" t="s">
        <v>927</v>
      </c>
      <c r="P71" s="39"/>
      <c r="Q71" s="99">
        <f>random_key!A10</f>
        <v>0.6919815096</v>
      </c>
    </row>
    <row r="72">
      <c r="A72" s="124">
        <v>39.0</v>
      </c>
      <c r="B72" s="125" t="s">
        <v>460</v>
      </c>
      <c r="C72" s="39" t="s">
        <v>805</v>
      </c>
      <c r="D72" s="80" t="s">
        <v>462</v>
      </c>
      <c r="E72" s="39" t="s">
        <v>351</v>
      </c>
      <c r="F72" s="111" t="s">
        <v>21</v>
      </c>
      <c r="G72" s="60" t="s">
        <v>22</v>
      </c>
      <c r="H72" s="39"/>
      <c r="I72" s="80"/>
      <c r="J72" s="39"/>
      <c r="K72" s="39"/>
      <c r="L72" s="39"/>
      <c r="M72" s="60" t="s">
        <v>22</v>
      </c>
      <c r="N72" s="39"/>
      <c r="O72" s="91" t="s">
        <v>954</v>
      </c>
      <c r="P72" s="39"/>
      <c r="Q72" s="99">
        <f>random_key!A39</f>
        <v>0.695756292</v>
      </c>
    </row>
    <row r="73">
      <c r="A73" s="124">
        <v>70.0</v>
      </c>
      <c r="B73" s="125" t="s">
        <v>560</v>
      </c>
      <c r="C73" s="39" t="s">
        <v>786</v>
      </c>
      <c r="D73" s="80" t="s">
        <v>561</v>
      </c>
      <c r="E73" s="39" t="s">
        <v>21</v>
      </c>
      <c r="F73" s="111" t="s">
        <v>31</v>
      </c>
      <c r="G73" s="60" t="s">
        <v>22</v>
      </c>
      <c r="H73" s="39"/>
      <c r="I73" s="80"/>
      <c r="J73" s="39"/>
      <c r="K73" s="60" t="s">
        <v>22</v>
      </c>
      <c r="L73" s="39"/>
      <c r="M73" s="39"/>
      <c r="N73" s="39"/>
      <c r="O73" s="91" t="s">
        <v>955</v>
      </c>
      <c r="P73" s="39"/>
      <c r="Q73" s="99">
        <f>random_key!A70</f>
        <v>0.7004230169</v>
      </c>
    </row>
    <row r="74">
      <c r="A74" s="124">
        <v>30.0</v>
      </c>
      <c r="B74" s="125" t="s">
        <v>431</v>
      </c>
      <c r="C74" s="39" t="s">
        <v>795</v>
      </c>
      <c r="D74" s="80" t="s">
        <v>95</v>
      </c>
      <c r="E74" s="126" t="s">
        <v>21</v>
      </c>
      <c r="F74" s="91" t="s">
        <v>20</v>
      </c>
      <c r="G74" s="39"/>
      <c r="H74" s="60" t="s">
        <v>22</v>
      </c>
      <c r="I74" s="80"/>
      <c r="J74" s="39"/>
      <c r="K74" s="39"/>
      <c r="L74" s="39"/>
      <c r="M74" s="60" t="s">
        <v>22</v>
      </c>
      <c r="N74" s="39"/>
      <c r="O74" s="91" t="s">
        <v>946</v>
      </c>
      <c r="P74" s="39"/>
      <c r="Q74" s="99">
        <f>random_key!A30</f>
        <v>0.723421083</v>
      </c>
    </row>
    <row r="75">
      <c r="A75" s="124">
        <v>90.0</v>
      </c>
      <c r="B75" s="125" t="s">
        <v>629</v>
      </c>
      <c r="C75" s="39" t="s">
        <v>844</v>
      </c>
      <c r="D75" s="80" t="s">
        <v>631</v>
      </c>
      <c r="E75" s="126" t="s">
        <v>351</v>
      </c>
      <c r="F75" s="91" t="s">
        <v>21</v>
      </c>
      <c r="G75" s="39"/>
      <c r="H75" s="60" t="s">
        <v>22</v>
      </c>
      <c r="I75" s="80"/>
      <c r="J75" s="39"/>
      <c r="K75" s="39"/>
      <c r="L75" s="39"/>
      <c r="M75" s="39"/>
      <c r="N75" s="60" t="s">
        <v>22</v>
      </c>
      <c r="O75" s="91" t="s">
        <v>995</v>
      </c>
      <c r="P75" s="39"/>
      <c r="Q75" s="99">
        <f>random_key!A90</f>
        <v>0.727142934</v>
      </c>
    </row>
    <row r="76">
      <c r="A76" s="124">
        <v>74.0</v>
      </c>
      <c r="B76" s="125" t="s">
        <v>571</v>
      </c>
      <c r="C76" s="39" t="s">
        <v>830</v>
      </c>
      <c r="D76" s="80" t="s">
        <v>573</v>
      </c>
      <c r="E76" s="39" t="s">
        <v>351</v>
      </c>
      <c r="F76" s="111" t="s">
        <v>21</v>
      </c>
      <c r="G76" s="60" t="s">
        <v>22</v>
      </c>
      <c r="H76" s="39"/>
      <c r="I76" s="80"/>
      <c r="J76" s="39"/>
      <c r="K76" s="39"/>
      <c r="L76" s="39"/>
      <c r="M76" s="60" t="s">
        <v>22</v>
      </c>
      <c r="N76" s="39"/>
      <c r="O76" s="91" t="s">
        <v>981</v>
      </c>
      <c r="P76" s="39"/>
      <c r="Q76" s="99">
        <f>random_key!A74</f>
        <v>0.7435089948</v>
      </c>
    </row>
    <row r="77">
      <c r="A77" s="124">
        <v>62.0</v>
      </c>
      <c r="B77" s="125" t="s">
        <v>536</v>
      </c>
      <c r="C77" s="39" t="s">
        <v>822</v>
      </c>
      <c r="D77" s="80" t="s">
        <v>538</v>
      </c>
      <c r="E77" s="126" t="s">
        <v>351</v>
      </c>
      <c r="F77" s="91" t="s">
        <v>21</v>
      </c>
      <c r="G77" s="39"/>
      <c r="H77" s="60" t="s">
        <v>22</v>
      </c>
      <c r="I77" s="80"/>
      <c r="J77" s="39"/>
      <c r="K77" s="39"/>
      <c r="L77" s="39"/>
      <c r="M77" s="39"/>
      <c r="N77" s="60" t="s">
        <v>22</v>
      </c>
      <c r="O77" s="91" t="s">
        <v>970</v>
      </c>
      <c r="P77" s="39"/>
      <c r="Q77" s="99">
        <f>random_key!A62</f>
        <v>0.7471633311</v>
      </c>
    </row>
    <row r="78">
      <c r="A78" s="124">
        <v>23.0</v>
      </c>
      <c r="B78" s="125" t="s">
        <v>408</v>
      </c>
      <c r="C78" s="39" t="s">
        <v>788</v>
      </c>
      <c r="D78" s="80" t="s">
        <v>410</v>
      </c>
      <c r="E78" s="39" t="s">
        <v>21</v>
      </c>
      <c r="F78" s="111" t="s">
        <v>31</v>
      </c>
      <c r="G78" s="60" t="s">
        <v>22</v>
      </c>
      <c r="H78" s="39"/>
      <c r="I78" s="80"/>
      <c r="J78" s="39"/>
      <c r="K78" s="60" t="s">
        <v>22</v>
      </c>
      <c r="L78" s="39"/>
      <c r="M78" s="39"/>
      <c r="N78" s="39"/>
      <c r="O78" s="91" t="s">
        <v>939</v>
      </c>
      <c r="P78" s="39"/>
      <c r="Q78" s="99">
        <f>random_key!A23</f>
        <v>0.7541920884</v>
      </c>
    </row>
    <row r="79">
      <c r="A79" s="124">
        <v>55.0</v>
      </c>
      <c r="B79" s="125" t="s">
        <v>513</v>
      </c>
      <c r="C79" s="39" t="s">
        <v>789</v>
      </c>
      <c r="D79" s="80" t="s">
        <v>515</v>
      </c>
      <c r="E79" s="126" t="s">
        <v>351</v>
      </c>
      <c r="F79" s="91" t="s">
        <v>21</v>
      </c>
      <c r="G79" s="39"/>
      <c r="H79" s="60" t="s">
        <v>22</v>
      </c>
      <c r="I79" s="80"/>
      <c r="J79" s="39"/>
      <c r="K79" s="39"/>
      <c r="L79" s="39"/>
      <c r="M79" s="39"/>
      <c r="N79" s="60" t="s">
        <v>22</v>
      </c>
      <c r="O79" s="91" t="s">
        <v>967</v>
      </c>
      <c r="P79" s="39"/>
      <c r="Q79" s="99">
        <f>random_key!A55</f>
        <v>0.7605468318</v>
      </c>
    </row>
    <row r="80">
      <c r="A80" s="124">
        <v>4.0</v>
      </c>
      <c r="B80" s="125" t="s">
        <v>356</v>
      </c>
      <c r="C80" s="39" t="s">
        <v>770</v>
      </c>
      <c r="D80" s="80" t="s">
        <v>358</v>
      </c>
      <c r="E80" s="126" t="s">
        <v>351</v>
      </c>
      <c r="F80" s="91" t="s">
        <v>21</v>
      </c>
      <c r="G80" s="39"/>
      <c r="H80" s="60" t="s">
        <v>22</v>
      </c>
      <c r="I80" s="80"/>
      <c r="J80" s="39"/>
      <c r="K80" s="39"/>
      <c r="L80" s="39"/>
      <c r="M80" s="39"/>
      <c r="N80" s="60" t="s">
        <v>22</v>
      </c>
      <c r="O80" s="91" t="s">
        <v>922</v>
      </c>
      <c r="P80" s="39"/>
      <c r="Q80" s="99">
        <f>random_key!A4</f>
        <v>0.7622668932</v>
      </c>
    </row>
    <row r="81">
      <c r="A81" s="124">
        <v>22.0</v>
      </c>
      <c r="B81" s="125" t="s">
        <v>406</v>
      </c>
      <c r="C81" s="39" t="s">
        <v>786</v>
      </c>
      <c r="D81" s="80" t="s">
        <v>114</v>
      </c>
      <c r="E81" s="39" t="s">
        <v>21</v>
      </c>
      <c r="F81" s="111" t="s">
        <v>31</v>
      </c>
      <c r="G81" s="60" t="s">
        <v>22</v>
      </c>
      <c r="H81" s="39"/>
      <c r="I81" s="80"/>
      <c r="J81" s="39"/>
      <c r="K81" s="60" t="s">
        <v>22</v>
      </c>
      <c r="L81" s="39"/>
      <c r="M81" s="39"/>
      <c r="N81" s="39"/>
      <c r="O81" s="91" t="s">
        <v>938</v>
      </c>
      <c r="P81" s="39"/>
      <c r="Q81" s="99">
        <f>random_key!A22</f>
        <v>0.7884075586</v>
      </c>
    </row>
    <row r="82">
      <c r="A82" s="124">
        <v>84.0</v>
      </c>
      <c r="B82" s="125" t="s">
        <v>605</v>
      </c>
      <c r="C82" s="39" t="s">
        <v>838</v>
      </c>
      <c r="D82" s="80" t="s">
        <v>607</v>
      </c>
      <c r="E82" s="39" t="s">
        <v>351</v>
      </c>
      <c r="F82" s="111" t="s">
        <v>21</v>
      </c>
      <c r="G82" s="60" t="s">
        <v>22</v>
      </c>
      <c r="H82" s="39"/>
      <c r="I82" s="80"/>
      <c r="J82" s="39"/>
      <c r="K82" s="39"/>
      <c r="L82" s="60" t="s">
        <v>22</v>
      </c>
      <c r="M82" s="60" t="s">
        <v>22</v>
      </c>
      <c r="N82" s="39"/>
      <c r="O82" s="91" t="s">
        <v>990</v>
      </c>
      <c r="P82" s="39"/>
      <c r="Q82" s="99">
        <f>random_key!A84</f>
        <v>0.7958894172</v>
      </c>
    </row>
    <row r="83">
      <c r="A83" s="124">
        <v>51.0</v>
      </c>
      <c r="B83" s="125" t="s">
        <v>501</v>
      </c>
      <c r="C83" s="39" t="s">
        <v>815</v>
      </c>
      <c r="D83" s="80" t="s">
        <v>503</v>
      </c>
      <c r="E83" s="39" t="s">
        <v>21</v>
      </c>
      <c r="F83" s="111" t="s">
        <v>31</v>
      </c>
      <c r="G83" s="60" t="s">
        <v>22</v>
      </c>
      <c r="H83" s="39"/>
      <c r="I83" s="80"/>
      <c r="J83" s="39"/>
      <c r="K83" s="60" t="s">
        <v>22</v>
      </c>
      <c r="L83" s="39"/>
      <c r="M83" s="39"/>
      <c r="N83" s="39"/>
      <c r="O83" s="91" t="s">
        <v>955</v>
      </c>
      <c r="P83" s="39"/>
      <c r="Q83" s="99">
        <f>random_key!A51</f>
        <v>0.799996192</v>
      </c>
    </row>
    <row r="84">
      <c r="A84" s="124">
        <v>68.0</v>
      </c>
      <c r="B84" s="125" t="s">
        <v>554</v>
      </c>
      <c r="C84" s="39" t="s">
        <v>826</v>
      </c>
      <c r="D84" s="80" t="s">
        <v>556</v>
      </c>
      <c r="E84" s="126" t="s">
        <v>351</v>
      </c>
      <c r="F84" s="91" t="s">
        <v>21</v>
      </c>
      <c r="G84" s="39"/>
      <c r="H84" s="60" t="s">
        <v>22</v>
      </c>
      <c r="I84" s="80"/>
      <c r="J84" s="39"/>
      <c r="K84" s="39"/>
      <c r="L84" s="39"/>
      <c r="M84" s="39"/>
      <c r="N84" s="60" t="s">
        <v>22</v>
      </c>
      <c r="O84" s="91" t="s">
        <v>947</v>
      </c>
      <c r="P84" s="39"/>
      <c r="Q84" s="99">
        <f>random_key!A68</f>
        <v>0.8182745013</v>
      </c>
    </row>
    <row r="85">
      <c r="A85" s="124">
        <v>43.0</v>
      </c>
      <c r="B85" s="125" t="s">
        <v>473</v>
      </c>
      <c r="C85" s="39" t="s">
        <v>809</v>
      </c>
      <c r="D85" s="80" t="s">
        <v>475</v>
      </c>
      <c r="E85" s="126" t="s">
        <v>21</v>
      </c>
      <c r="F85" s="91" t="s">
        <v>20</v>
      </c>
      <c r="G85" s="39"/>
      <c r="H85" s="60" t="s">
        <v>22</v>
      </c>
      <c r="I85" s="80"/>
      <c r="J85" s="39"/>
      <c r="K85" s="39"/>
      <c r="L85" s="39"/>
      <c r="M85" s="60" t="s">
        <v>22</v>
      </c>
      <c r="N85" s="39"/>
      <c r="O85" s="91" t="s">
        <v>958</v>
      </c>
      <c r="P85" s="39"/>
      <c r="Q85" s="99">
        <f>random_key!A43</f>
        <v>0.8376744095</v>
      </c>
    </row>
    <row r="86">
      <c r="A86" s="124">
        <v>89.0</v>
      </c>
      <c r="B86" s="125" t="s">
        <v>625</v>
      </c>
      <c r="C86" s="39" t="s">
        <v>843</v>
      </c>
      <c r="D86" s="80" t="s">
        <v>627</v>
      </c>
      <c r="E86" s="39" t="s">
        <v>351</v>
      </c>
      <c r="F86" s="111" t="s">
        <v>21</v>
      </c>
      <c r="G86" s="60" t="s">
        <v>22</v>
      </c>
      <c r="H86" s="39"/>
      <c r="I86" s="80"/>
      <c r="J86" s="39"/>
      <c r="K86" s="39"/>
      <c r="L86" s="39"/>
      <c r="M86" s="60" t="s">
        <v>22</v>
      </c>
      <c r="N86" s="39"/>
      <c r="O86" s="91" t="s">
        <v>994</v>
      </c>
      <c r="P86" s="39"/>
      <c r="Q86" s="99">
        <f>random_key!A89</f>
        <v>0.8543904858</v>
      </c>
    </row>
    <row r="87">
      <c r="A87" s="124">
        <v>40.0</v>
      </c>
      <c r="B87" s="125" t="s">
        <v>464</v>
      </c>
      <c r="C87" s="39" t="s">
        <v>806</v>
      </c>
      <c r="D87" s="80" t="s">
        <v>466</v>
      </c>
      <c r="E87" s="39" t="s">
        <v>21</v>
      </c>
      <c r="F87" s="111" t="s">
        <v>31</v>
      </c>
      <c r="G87" s="60" t="s">
        <v>22</v>
      </c>
      <c r="H87" s="39"/>
      <c r="I87" s="80"/>
      <c r="J87" s="39"/>
      <c r="K87" s="60" t="s">
        <v>22</v>
      </c>
      <c r="L87" s="39"/>
      <c r="M87" s="39"/>
      <c r="N87" s="39"/>
      <c r="O87" s="91" t="s">
        <v>955</v>
      </c>
      <c r="P87" s="39"/>
      <c r="Q87" s="99">
        <f>random_key!A40</f>
        <v>0.8587903714</v>
      </c>
    </row>
    <row r="88">
      <c r="A88" s="124">
        <v>67.0</v>
      </c>
      <c r="B88" s="125" t="s">
        <v>550</v>
      </c>
      <c r="C88" s="39" t="s">
        <v>825</v>
      </c>
      <c r="D88" s="80" t="s">
        <v>552</v>
      </c>
      <c r="E88" s="126" t="s">
        <v>351</v>
      </c>
      <c r="F88" s="91" t="s">
        <v>21</v>
      </c>
      <c r="G88" s="39"/>
      <c r="H88" s="60" t="s">
        <v>22</v>
      </c>
      <c r="I88" s="80"/>
      <c r="J88" s="39"/>
      <c r="K88" s="39"/>
      <c r="L88" s="60" t="s">
        <v>22</v>
      </c>
      <c r="M88" s="39"/>
      <c r="N88" s="60" t="s">
        <v>22</v>
      </c>
      <c r="O88" s="91" t="s">
        <v>977</v>
      </c>
      <c r="P88" s="39"/>
      <c r="Q88" s="99">
        <f>random_key!A67</f>
        <v>0.8642436393</v>
      </c>
    </row>
    <row r="89">
      <c r="A89" s="124">
        <v>86.0</v>
      </c>
      <c r="B89" s="125" t="s">
        <v>613</v>
      </c>
      <c r="C89" s="39" t="s">
        <v>840</v>
      </c>
      <c r="D89" s="80" t="s">
        <v>615</v>
      </c>
      <c r="E89" s="39" t="s">
        <v>351</v>
      </c>
      <c r="F89" s="111" t="s">
        <v>21</v>
      </c>
      <c r="G89" s="60" t="s">
        <v>22</v>
      </c>
      <c r="H89" s="39"/>
      <c r="I89" s="80"/>
      <c r="J89" s="39"/>
      <c r="K89" s="39"/>
      <c r="L89" s="39"/>
      <c r="M89" s="60" t="s">
        <v>22</v>
      </c>
      <c r="N89" s="39"/>
      <c r="O89" s="91" t="s">
        <v>992</v>
      </c>
      <c r="P89" s="39"/>
      <c r="Q89" s="99">
        <f>random_key!A86</f>
        <v>0.8755905375</v>
      </c>
    </row>
    <row r="90">
      <c r="A90" s="124">
        <v>72.0</v>
      </c>
      <c r="B90" s="125" t="s">
        <v>565</v>
      </c>
      <c r="C90" s="39" t="s">
        <v>828</v>
      </c>
      <c r="D90" s="80" t="s">
        <v>209</v>
      </c>
      <c r="E90" s="39" t="s">
        <v>21</v>
      </c>
      <c r="F90" s="111" t="s">
        <v>31</v>
      </c>
      <c r="G90" s="60" t="s">
        <v>22</v>
      </c>
      <c r="H90" s="39"/>
      <c r="I90" s="80"/>
      <c r="J90" s="39"/>
      <c r="K90" s="60" t="s">
        <v>22</v>
      </c>
      <c r="L90" s="39"/>
      <c r="M90" s="39"/>
      <c r="N90" s="39"/>
      <c r="O90" s="91" t="s">
        <v>979</v>
      </c>
      <c r="P90" s="39"/>
      <c r="Q90" s="99">
        <f>random_key!A72</f>
        <v>0.8871378581</v>
      </c>
    </row>
    <row r="91">
      <c r="A91" s="124">
        <v>80.0</v>
      </c>
      <c r="B91" s="125" t="s">
        <v>592</v>
      </c>
      <c r="C91" s="39" t="s">
        <v>819</v>
      </c>
      <c r="D91" s="80" t="s">
        <v>593</v>
      </c>
      <c r="E91" s="126" t="s">
        <v>351</v>
      </c>
      <c r="F91" s="91" t="s">
        <v>21</v>
      </c>
      <c r="G91" s="39"/>
      <c r="H91" s="60" t="s">
        <v>22</v>
      </c>
      <c r="I91" s="80"/>
      <c r="J91" s="39"/>
      <c r="K91" s="39"/>
      <c r="L91" s="39"/>
      <c r="M91" s="39"/>
      <c r="N91" s="60" t="s">
        <v>22</v>
      </c>
      <c r="O91" s="91" t="s">
        <v>986</v>
      </c>
      <c r="P91" s="39"/>
      <c r="Q91" s="99">
        <f>random_key!A80</f>
        <v>0.89023684</v>
      </c>
    </row>
    <row r="92">
      <c r="A92" s="124">
        <v>61.0</v>
      </c>
      <c r="B92" s="125" t="s">
        <v>532</v>
      </c>
      <c r="C92" s="39" t="s">
        <v>821</v>
      </c>
      <c r="D92" s="80" t="s">
        <v>534</v>
      </c>
      <c r="E92" s="126" t="s">
        <v>21</v>
      </c>
      <c r="F92" s="91" t="s">
        <v>26</v>
      </c>
      <c r="G92" s="39"/>
      <c r="H92" s="60" t="s">
        <v>22</v>
      </c>
      <c r="I92" s="80"/>
      <c r="J92" s="39"/>
      <c r="K92" s="39"/>
      <c r="L92" s="39"/>
      <c r="M92" s="60" t="s">
        <v>22</v>
      </c>
      <c r="N92" s="39"/>
      <c r="O92" s="91" t="s">
        <v>972</v>
      </c>
      <c r="P92" s="39"/>
      <c r="Q92" s="99">
        <f>random_key!A61</f>
        <v>0.8920769635</v>
      </c>
    </row>
    <row r="93">
      <c r="A93" s="124">
        <v>48.0</v>
      </c>
      <c r="B93" s="125" t="s">
        <v>491</v>
      </c>
      <c r="C93" s="39" t="s">
        <v>767</v>
      </c>
      <c r="D93" s="80" t="s">
        <v>492</v>
      </c>
      <c r="E93" s="126" t="s">
        <v>351</v>
      </c>
      <c r="F93" s="91" t="s">
        <v>21</v>
      </c>
      <c r="G93" s="39"/>
      <c r="H93" s="60" t="s">
        <v>22</v>
      </c>
      <c r="I93" s="80"/>
      <c r="J93" s="39"/>
      <c r="K93" s="39"/>
      <c r="L93" s="39"/>
      <c r="M93" s="39"/>
      <c r="N93" s="60" t="s">
        <v>22</v>
      </c>
      <c r="O93" s="91" t="s">
        <v>947</v>
      </c>
      <c r="P93" s="39"/>
      <c r="Q93" s="99">
        <f>random_key!A48</f>
        <v>0.9080452284</v>
      </c>
    </row>
    <row r="94">
      <c r="A94" s="124">
        <v>77.0</v>
      </c>
      <c r="B94" s="125" t="s">
        <v>581</v>
      </c>
      <c r="C94" s="39" t="s">
        <v>772</v>
      </c>
      <c r="D94" s="80" t="s">
        <v>582</v>
      </c>
      <c r="E94" s="39" t="s">
        <v>21</v>
      </c>
      <c r="F94" s="111" t="s">
        <v>20</v>
      </c>
      <c r="G94" s="60" t="s">
        <v>22</v>
      </c>
      <c r="H94" s="39"/>
      <c r="I94" s="80"/>
      <c r="J94" s="60" t="s">
        <v>22</v>
      </c>
      <c r="K94" s="60" t="s">
        <v>22</v>
      </c>
      <c r="L94" s="39"/>
      <c r="M94" s="39"/>
      <c r="N94" s="39"/>
      <c r="O94" s="91" t="s">
        <v>984</v>
      </c>
      <c r="P94" s="39"/>
      <c r="Q94" s="99">
        <f>random_key!A77</f>
        <v>0.9113679883</v>
      </c>
    </row>
    <row r="95">
      <c r="A95" s="124">
        <v>64.0</v>
      </c>
      <c r="B95" s="125" t="s">
        <v>542</v>
      </c>
      <c r="C95" s="39" t="s">
        <v>781</v>
      </c>
      <c r="D95" s="80" t="s">
        <v>543</v>
      </c>
      <c r="E95" s="39" t="s">
        <v>351</v>
      </c>
      <c r="F95" s="111" t="s">
        <v>21</v>
      </c>
      <c r="G95" s="60" t="s">
        <v>22</v>
      </c>
      <c r="H95" s="39"/>
      <c r="I95" s="80"/>
      <c r="J95" s="60" t="s">
        <v>22</v>
      </c>
      <c r="K95" s="39"/>
      <c r="L95" s="39"/>
      <c r="M95" s="60" t="s">
        <v>22</v>
      </c>
      <c r="N95" s="39"/>
      <c r="O95" s="91" t="s">
        <v>974</v>
      </c>
      <c r="P95" s="39"/>
      <c r="Q95" s="99">
        <f>random_key!A64</f>
        <v>0.9147453114</v>
      </c>
    </row>
    <row r="96">
      <c r="A96" s="124">
        <v>97.0</v>
      </c>
      <c r="B96" s="125" t="s">
        <v>650</v>
      </c>
      <c r="C96" s="39" t="s">
        <v>849</v>
      </c>
      <c r="D96" s="80" t="s">
        <v>652</v>
      </c>
      <c r="E96" s="126" t="s">
        <v>351</v>
      </c>
      <c r="F96" s="91" t="s">
        <v>21</v>
      </c>
      <c r="G96" s="39"/>
      <c r="H96" s="60" t="s">
        <v>22</v>
      </c>
      <c r="I96" s="80"/>
      <c r="J96" s="39"/>
      <c r="K96" s="39"/>
      <c r="L96" s="39"/>
      <c r="M96" s="39"/>
      <c r="N96" s="60" t="s">
        <v>22</v>
      </c>
      <c r="O96" s="91" t="s">
        <v>1001</v>
      </c>
      <c r="P96" s="39"/>
      <c r="Q96" s="99">
        <f>random_key!A97</f>
        <v>0.9230041158</v>
      </c>
    </row>
    <row r="97">
      <c r="A97" s="124">
        <v>96.0</v>
      </c>
      <c r="B97" s="125" t="s">
        <v>649</v>
      </c>
      <c r="C97" s="39" t="s">
        <v>783</v>
      </c>
      <c r="D97" s="80" t="s">
        <v>127</v>
      </c>
      <c r="E97" s="39" t="s">
        <v>21</v>
      </c>
      <c r="F97" s="111" t="s">
        <v>20</v>
      </c>
      <c r="G97" s="60" t="s">
        <v>22</v>
      </c>
      <c r="H97" s="39"/>
      <c r="I97" s="80"/>
      <c r="J97" s="39"/>
      <c r="K97" s="60" t="s">
        <v>22</v>
      </c>
      <c r="L97" s="39"/>
      <c r="M97" s="39"/>
      <c r="N97" s="39"/>
      <c r="O97" s="91" t="s">
        <v>1000</v>
      </c>
      <c r="P97" s="39"/>
      <c r="Q97" s="99">
        <f>random_key!A96</f>
        <v>0.92778417</v>
      </c>
    </row>
    <row r="98">
      <c r="A98" s="124">
        <v>94.0</v>
      </c>
      <c r="B98" s="125" t="s">
        <v>641</v>
      </c>
      <c r="C98" s="39" t="s">
        <v>846</v>
      </c>
      <c r="D98" s="80" t="s">
        <v>643</v>
      </c>
      <c r="E98" s="126" t="s">
        <v>21</v>
      </c>
      <c r="F98" s="111" t="s">
        <v>20</v>
      </c>
      <c r="G98" s="39"/>
      <c r="H98" s="39"/>
      <c r="I98" s="92" t="s">
        <v>22</v>
      </c>
      <c r="J98" s="39"/>
      <c r="K98" s="39"/>
      <c r="L98" s="39"/>
      <c r="M98" s="60" t="s">
        <v>22</v>
      </c>
      <c r="N98" s="39"/>
      <c r="O98" s="91" t="s">
        <v>999</v>
      </c>
      <c r="P98" s="39"/>
      <c r="Q98" s="99">
        <f>random_key!A94</f>
        <v>0.9413106865</v>
      </c>
    </row>
    <row r="99">
      <c r="A99" s="124">
        <v>93.0</v>
      </c>
      <c r="B99" s="125" t="s">
        <v>638</v>
      </c>
      <c r="C99" s="39" t="s">
        <v>845</v>
      </c>
      <c r="D99" s="80" t="s">
        <v>134</v>
      </c>
      <c r="E99" s="126" t="s">
        <v>351</v>
      </c>
      <c r="F99" s="91" t="s">
        <v>21</v>
      </c>
      <c r="G99" s="39"/>
      <c r="H99" s="60" t="s">
        <v>22</v>
      </c>
      <c r="I99" s="80"/>
      <c r="J99" s="39"/>
      <c r="K99" s="39"/>
      <c r="L99" s="39"/>
      <c r="M99" s="39"/>
      <c r="N99" s="60" t="s">
        <v>22</v>
      </c>
      <c r="O99" s="91" t="s">
        <v>998</v>
      </c>
      <c r="P99" s="39"/>
      <c r="Q99" s="99">
        <f>random_key!A93</f>
        <v>0.9602527706</v>
      </c>
    </row>
    <row r="100">
      <c r="A100" s="124">
        <v>46.0</v>
      </c>
      <c r="B100" s="125" t="s">
        <v>485</v>
      </c>
      <c r="C100" s="39" t="s">
        <v>772</v>
      </c>
      <c r="D100" s="80" t="s">
        <v>486</v>
      </c>
      <c r="E100" s="39" t="s">
        <v>21</v>
      </c>
      <c r="F100" s="111" t="s">
        <v>20</v>
      </c>
      <c r="G100" s="60" t="s">
        <v>22</v>
      </c>
      <c r="H100" s="39"/>
      <c r="I100" s="80"/>
      <c r="J100" s="39"/>
      <c r="K100" s="60" t="s">
        <v>22</v>
      </c>
      <c r="L100" s="39"/>
      <c r="M100" s="39"/>
      <c r="N100" s="39"/>
      <c r="O100" s="91" t="s">
        <v>961</v>
      </c>
      <c r="P100" s="39"/>
      <c r="Q100" s="99">
        <f>random_key!A46</f>
        <v>0.9629101769</v>
      </c>
    </row>
    <row r="101">
      <c r="A101" s="124">
        <v>27.0</v>
      </c>
      <c r="B101" s="125" t="s">
        <v>420</v>
      </c>
      <c r="C101" s="39" t="s">
        <v>791</v>
      </c>
      <c r="D101" s="80" t="s">
        <v>422</v>
      </c>
      <c r="E101" s="39" t="s">
        <v>351</v>
      </c>
      <c r="F101" s="111" t="s">
        <v>21</v>
      </c>
      <c r="G101" s="60" t="s">
        <v>22</v>
      </c>
      <c r="H101" s="39"/>
      <c r="I101" s="80"/>
      <c r="J101" s="39"/>
      <c r="K101" s="39"/>
      <c r="L101" s="39"/>
      <c r="M101" s="60" t="s">
        <v>22</v>
      </c>
      <c r="N101" s="39"/>
      <c r="O101" s="91" t="s">
        <v>943</v>
      </c>
      <c r="P101" s="39"/>
      <c r="Q101" s="99">
        <f>random_key!A27</f>
        <v>0.9854616735</v>
      </c>
    </row>
    <row r="102">
      <c r="A102" s="124">
        <v>3.0</v>
      </c>
      <c r="B102" s="125" t="s">
        <v>352</v>
      </c>
      <c r="C102" s="39" t="s">
        <v>769</v>
      </c>
      <c r="D102" s="80" t="s">
        <v>354</v>
      </c>
      <c r="E102" s="39" t="s">
        <v>351</v>
      </c>
      <c r="F102" s="111" t="s">
        <v>21</v>
      </c>
      <c r="G102" s="60" t="s">
        <v>22</v>
      </c>
      <c r="H102" s="39"/>
      <c r="I102" s="80"/>
      <c r="J102" s="39"/>
      <c r="K102" s="39"/>
      <c r="L102" s="39"/>
      <c r="M102" s="60" t="s">
        <v>22</v>
      </c>
      <c r="N102" s="39"/>
      <c r="O102" s="91" t="s">
        <v>921</v>
      </c>
      <c r="P102" s="39"/>
      <c r="Q102" s="99">
        <f>random_key!A3</f>
        <v>0.9970902728</v>
      </c>
    </row>
    <row r="103">
      <c r="A103" s="123">
        <v>54.0</v>
      </c>
      <c r="B103" s="131" t="s">
        <v>511</v>
      </c>
      <c r="C103" s="85" t="s">
        <v>817</v>
      </c>
      <c r="D103" s="87" t="s">
        <v>80</v>
      </c>
      <c r="E103" s="39" t="s">
        <v>351</v>
      </c>
      <c r="F103" s="117" t="s">
        <v>21</v>
      </c>
      <c r="G103" s="68" t="s">
        <v>22</v>
      </c>
      <c r="H103" s="85"/>
      <c r="I103" s="85"/>
      <c r="J103" s="134" t="s">
        <v>22</v>
      </c>
      <c r="K103" s="85"/>
      <c r="L103" s="85"/>
      <c r="M103" s="68" t="s">
        <v>22</v>
      </c>
      <c r="N103" s="85"/>
      <c r="O103" s="115" t="s">
        <v>966</v>
      </c>
      <c r="P103" s="39"/>
      <c r="Q103" s="99">
        <f>random_key!A54</f>
        <v>0.9973993648</v>
      </c>
    </row>
    <row r="104">
      <c r="A104" s="39"/>
      <c r="B104" s="39"/>
      <c r="C104" s="39"/>
      <c r="D104" s="60" t="s">
        <v>917</v>
      </c>
      <c r="E104" s="133">
        <f t="shared" ref="E104:F104" si="1">countif(E4:E103,"=OK")</f>
        <v>45</v>
      </c>
      <c r="F104" s="70">
        <f t="shared" si="1"/>
        <v>54</v>
      </c>
      <c r="G104" s="39">
        <f t="shared" ref="G104:N104" si="2">countif(G4:G103,"=x")</f>
        <v>55</v>
      </c>
      <c r="H104" s="39">
        <f t="shared" si="2"/>
        <v>37</v>
      </c>
      <c r="I104" s="39">
        <f t="shared" si="2"/>
        <v>8</v>
      </c>
      <c r="J104" s="39">
        <f t="shared" si="2"/>
        <v>7</v>
      </c>
      <c r="K104" s="39">
        <f t="shared" si="2"/>
        <v>26</v>
      </c>
      <c r="L104" s="39">
        <f t="shared" si="2"/>
        <v>9</v>
      </c>
      <c r="M104" s="39">
        <f t="shared" si="2"/>
        <v>48</v>
      </c>
      <c r="N104" s="39">
        <f t="shared" si="2"/>
        <v>26</v>
      </c>
      <c r="O104" s="39"/>
      <c r="P104" s="39"/>
    </row>
    <row r="105">
      <c r="A105" s="39"/>
      <c r="B105" s="39"/>
      <c r="C105" s="39"/>
      <c r="D105" s="60" t="s">
        <v>1005</v>
      </c>
      <c r="E105" s="113">
        <f t="shared" ref="E105:F105" si="3">countif(E4:E103,"=not ok")</f>
        <v>55</v>
      </c>
      <c r="F105" s="70">
        <f t="shared" si="3"/>
        <v>0</v>
      </c>
      <c r="G105" s="39"/>
      <c r="H105" s="39"/>
      <c r="I105" s="39"/>
      <c r="J105" s="39"/>
      <c r="K105" s="39"/>
      <c r="L105" s="39"/>
      <c r="M105" s="39"/>
      <c r="N105" s="39"/>
      <c r="O105" s="39"/>
      <c r="P105" s="39"/>
    </row>
    <row r="106">
      <c r="A106" s="39"/>
      <c r="B106" s="39"/>
      <c r="C106" s="39"/>
      <c r="D106" s="60"/>
      <c r="E106" s="39"/>
      <c r="F106" s="116">
        <f>countif(F4:F103,"=hallucination+omission")</f>
        <v>4</v>
      </c>
      <c r="G106" s="39"/>
      <c r="H106" s="39"/>
      <c r="I106" s="39"/>
      <c r="J106" s="39"/>
      <c r="K106" s="39"/>
      <c r="L106" s="39"/>
      <c r="M106" s="39"/>
      <c r="N106" s="39"/>
      <c r="O106" s="39"/>
      <c r="P106" s="39"/>
    </row>
    <row r="107">
      <c r="A107" s="39"/>
      <c r="B107" s="39"/>
      <c r="C107" s="39"/>
      <c r="D107" s="60"/>
      <c r="E107" s="39"/>
      <c r="F107" s="116">
        <f>countif(F4:F103,"=omission")</f>
        <v>29</v>
      </c>
      <c r="G107" s="39"/>
      <c r="H107" s="39"/>
      <c r="I107" s="39"/>
      <c r="J107" s="39"/>
      <c r="K107" s="39"/>
      <c r="L107" s="39"/>
      <c r="M107" s="39"/>
      <c r="N107" s="39"/>
      <c r="O107" s="39"/>
      <c r="P107" s="39"/>
    </row>
  </sheetData>
  <mergeCells count="3">
    <mergeCell ref="E2:F2"/>
    <mergeCell ref="G2:I2"/>
    <mergeCell ref="J2:N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sheetData>
    <row r="1">
      <c r="A1" s="80"/>
      <c r="B1" s="39"/>
      <c r="C1" s="39"/>
      <c r="D1" s="80"/>
      <c r="E1" s="39"/>
      <c r="F1" s="91"/>
      <c r="G1" s="79"/>
      <c r="H1" s="39"/>
      <c r="I1" s="80"/>
      <c r="J1" s="39"/>
      <c r="K1" s="39"/>
      <c r="L1" s="39"/>
      <c r="M1" s="39"/>
      <c r="N1" s="39"/>
      <c r="O1" s="39"/>
      <c r="P1" s="80"/>
    </row>
    <row r="2">
      <c r="A2" s="80"/>
      <c r="B2" s="120" t="s">
        <v>0</v>
      </c>
      <c r="C2" s="120" t="s">
        <v>1</v>
      </c>
      <c r="D2" s="135" t="s">
        <v>2</v>
      </c>
      <c r="E2" s="83" t="s">
        <v>3</v>
      </c>
      <c r="F2" s="8"/>
      <c r="G2" s="82" t="s">
        <v>4</v>
      </c>
      <c r="I2" s="8"/>
      <c r="J2" s="83" t="s">
        <v>5</v>
      </c>
      <c r="P2" s="80"/>
    </row>
    <row r="3">
      <c r="A3" s="122" t="s">
        <v>6</v>
      </c>
      <c r="B3" s="85"/>
      <c r="C3" s="85"/>
      <c r="D3" s="87"/>
      <c r="E3" s="85" t="s">
        <v>7</v>
      </c>
      <c r="F3" s="115" t="s">
        <v>8</v>
      </c>
      <c r="G3" s="86" t="s">
        <v>7</v>
      </c>
      <c r="H3" s="85" t="s">
        <v>8</v>
      </c>
      <c r="I3" s="87" t="s">
        <v>9</v>
      </c>
      <c r="J3" s="85" t="s">
        <v>10</v>
      </c>
      <c r="K3" s="85" t="s">
        <v>11</v>
      </c>
      <c r="L3" s="85" t="s">
        <v>12</v>
      </c>
      <c r="M3" s="85" t="s">
        <v>13</v>
      </c>
      <c r="N3" s="85" t="s">
        <v>14</v>
      </c>
      <c r="O3" s="85" t="s">
        <v>15</v>
      </c>
      <c r="P3" s="87" t="s">
        <v>16</v>
      </c>
    </row>
    <row r="4">
      <c r="A4" s="80">
        <v>2.0</v>
      </c>
      <c r="B4" s="136" t="s">
        <v>17</v>
      </c>
      <c r="C4" s="136" t="s">
        <v>662</v>
      </c>
      <c r="D4" s="92" t="s">
        <v>19</v>
      </c>
      <c r="E4" s="39" t="s">
        <v>20</v>
      </c>
      <c r="F4" s="91" t="s">
        <v>21</v>
      </c>
      <c r="G4" s="79"/>
      <c r="H4" s="39" t="s">
        <v>22</v>
      </c>
      <c r="I4" s="92"/>
      <c r="J4" s="39"/>
      <c r="K4" s="39"/>
      <c r="L4" s="39"/>
      <c r="M4" s="39"/>
      <c r="N4" s="39"/>
      <c r="O4" s="39"/>
      <c r="P4" s="80"/>
      <c r="Q4" s="60"/>
    </row>
    <row r="5">
      <c r="A5" s="80">
        <v>3.0</v>
      </c>
      <c r="B5" s="136" t="s">
        <v>23</v>
      </c>
      <c r="C5" s="136" t="s">
        <v>663</v>
      </c>
      <c r="D5" s="92" t="s">
        <v>25</v>
      </c>
      <c r="E5" s="39" t="s">
        <v>20</v>
      </c>
      <c r="F5" s="91" t="s">
        <v>26</v>
      </c>
      <c r="G5" s="79"/>
      <c r="H5" s="39" t="s">
        <v>22</v>
      </c>
      <c r="I5" s="92"/>
      <c r="J5" s="39"/>
      <c r="K5" s="39"/>
      <c r="L5" s="39"/>
      <c r="M5" s="39"/>
      <c r="N5" s="39" t="s">
        <v>22</v>
      </c>
      <c r="O5" s="39" t="s">
        <v>22</v>
      </c>
      <c r="P5" s="80"/>
      <c r="Q5" s="60"/>
    </row>
    <row r="6">
      <c r="A6" s="80">
        <v>4.0</v>
      </c>
      <c r="B6" s="136" t="s">
        <v>28</v>
      </c>
      <c r="C6" s="136" t="s">
        <v>664</v>
      </c>
      <c r="D6" s="92" t="s">
        <v>30</v>
      </c>
      <c r="E6" s="39" t="s">
        <v>31</v>
      </c>
      <c r="F6" s="91" t="s">
        <v>21</v>
      </c>
      <c r="G6" s="79"/>
      <c r="H6" s="39" t="s">
        <v>22</v>
      </c>
      <c r="I6" s="92"/>
      <c r="J6" s="39"/>
      <c r="K6" s="39"/>
      <c r="L6" s="39"/>
      <c r="M6" s="39"/>
      <c r="N6" s="39"/>
      <c r="O6" s="39"/>
      <c r="P6" s="80"/>
      <c r="Q6" s="60"/>
    </row>
    <row r="7">
      <c r="A7" s="80">
        <v>5.0</v>
      </c>
      <c r="B7" s="136" t="s">
        <v>32</v>
      </c>
      <c r="C7" s="136" t="s">
        <v>665</v>
      </c>
      <c r="D7" s="92" t="s">
        <v>34</v>
      </c>
      <c r="E7" s="39" t="s">
        <v>20</v>
      </c>
      <c r="F7" s="91" t="s">
        <v>21</v>
      </c>
      <c r="G7" s="79" t="s">
        <v>22</v>
      </c>
      <c r="H7" s="39"/>
      <c r="I7" s="92"/>
      <c r="J7" s="39"/>
      <c r="K7" s="39"/>
      <c r="L7" s="39"/>
      <c r="M7" s="39"/>
      <c r="N7" s="39" t="s">
        <v>22</v>
      </c>
      <c r="O7" s="39"/>
      <c r="P7" s="80" t="s">
        <v>1006</v>
      </c>
      <c r="Q7" s="60"/>
    </row>
    <row r="8">
      <c r="A8" s="80">
        <v>6.0</v>
      </c>
      <c r="B8" s="136" t="s">
        <v>36</v>
      </c>
      <c r="C8" s="136" t="s">
        <v>666</v>
      </c>
      <c r="D8" s="92" t="s">
        <v>38</v>
      </c>
      <c r="E8" s="39" t="s">
        <v>20</v>
      </c>
      <c r="F8" s="91" t="s">
        <v>21</v>
      </c>
      <c r="G8" s="79" t="s">
        <v>22</v>
      </c>
      <c r="H8" s="39"/>
      <c r="I8" s="92"/>
      <c r="J8" s="39"/>
      <c r="K8" s="39"/>
      <c r="L8" s="39"/>
      <c r="M8" s="39"/>
      <c r="N8" s="39" t="s">
        <v>22</v>
      </c>
      <c r="O8" s="39"/>
      <c r="P8" s="80" t="s">
        <v>1006</v>
      </c>
      <c r="Q8" s="60"/>
    </row>
    <row r="9">
      <c r="A9" s="80">
        <v>7.0</v>
      </c>
      <c r="B9" s="136" t="s">
        <v>40</v>
      </c>
      <c r="C9" s="136" t="s">
        <v>668</v>
      </c>
      <c r="D9" s="92" t="s">
        <v>42</v>
      </c>
      <c r="E9" s="39" t="s">
        <v>21</v>
      </c>
      <c r="F9" s="91" t="s">
        <v>20</v>
      </c>
      <c r="G9" s="79" t="s">
        <v>22</v>
      </c>
      <c r="H9" s="39"/>
      <c r="I9" s="92"/>
      <c r="J9" s="39"/>
      <c r="K9" s="39"/>
      <c r="L9" s="39"/>
      <c r="M9" s="39"/>
      <c r="N9" s="39"/>
      <c r="O9" s="39"/>
      <c r="P9" s="80"/>
      <c r="Q9" s="60"/>
    </row>
    <row r="10">
      <c r="A10" s="80">
        <v>8.0</v>
      </c>
      <c r="B10" s="136" t="s">
        <v>43</v>
      </c>
      <c r="C10" s="136" t="s">
        <v>669</v>
      </c>
      <c r="D10" s="92" t="s">
        <v>45</v>
      </c>
      <c r="E10" s="39" t="s">
        <v>21</v>
      </c>
      <c r="F10" s="91" t="s">
        <v>20</v>
      </c>
      <c r="G10" s="79" t="s">
        <v>22</v>
      </c>
      <c r="H10" s="39"/>
      <c r="I10" s="92"/>
      <c r="J10" s="39"/>
      <c r="K10" s="39"/>
      <c r="L10" s="39"/>
      <c r="M10" s="39"/>
      <c r="N10" s="39"/>
      <c r="O10" s="39"/>
      <c r="P10" s="80"/>
      <c r="Q10" s="60"/>
    </row>
    <row r="11">
      <c r="A11" s="80">
        <v>9.0</v>
      </c>
      <c r="B11" s="136" t="s">
        <v>46</v>
      </c>
      <c r="C11" s="136" t="s">
        <v>670</v>
      </c>
      <c r="D11" s="92" t="s">
        <v>48</v>
      </c>
      <c r="E11" s="39" t="s">
        <v>31</v>
      </c>
      <c r="F11" s="91" t="s">
        <v>21</v>
      </c>
      <c r="G11" s="79" t="s">
        <v>22</v>
      </c>
      <c r="H11" s="39"/>
      <c r="I11" s="92"/>
      <c r="J11" s="39" t="s">
        <v>22</v>
      </c>
      <c r="K11" s="39"/>
      <c r="L11" s="39"/>
      <c r="M11" s="39"/>
      <c r="N11" s="39"/>
      <c r="O11" s="39"/>
      <c r="P11" s="80" t="s">
        <v>1007</v>
      </c>
      <c r="Q11" s="60"/>
    </row>
    <row r="12">
      <c r="A12" s="80">
        <v>10.0</v>
      </c>
      <c r="B12" s="136" t="s">
        <v>49</v>
      </c>
      <c r="C12" s="136" t="s">
        <v>671</v>
      </c>
      <c r="D12" s="92" t="s">
        <v>51</v>
      </c>
      <c r="E12" s="39" t="s">
        <v>21</v>
      </c>
      <c r="F12" s="91" t="s">
        <v>20</v>
      </c>
      <c r="G12" s="79" t="s">
        <v>22</v>
      </c>
      <c r="H12" s="39"/>
      <c r="I12" s="92"/>
      <c r="J12" s="39"/>
      <c r="K12" s="39"/>
      <c r="L12" s="39"/>
      <c r="M12" s="39"/>
      <c r="N12" s="39"/>
      <c r="O12" s="39"/>
      <c r="P12" s="80"/>
      <c r="Q12" s="60"/>
    </row>
    <row r="13">
      <c r="A13" s="80">
        <v>11.0</v>
      </c>
      <c r="B13" s="136" t="s">
        <v>52</v>
      </c>
      <c r="C13" s="136" t="s">
        <v>672</v>
      </c>
      <c r="D13" s="92" t="s">
        <v>54</v>
      </c>
      <c r="E13" s="39" t="s">
        <v>20</v>
      </c>
      <c r="F13" s="91" t="s">
        <v>21</v>
      </c>
      <c r="G13" s="79"/>
      <c r="H13" s="39" t="s">
        <v>22</v>
      </c>
      <c r="I13" s="92"/>
      <c r="J13" s="39"/>
      <c r="K13" s="39"/>
      <c r="L13" s="39"/>
      <c r="M13" s="39"/>
      <c r="N13" s="39"/>
      <c r="O13" s="39"/>
      <c r="P13" s="80"/>
      <c r="Q13" s="60"/>
    </row>
    <row r="14">
      <c r="A14" s="80">
        <v>12.0</v>
      </c>
      <c r="B14" s="136" t="s">
        <v>55</v>
      </c>
      <c r="C14" s="136" t="s">
        <v>673</v>
      </c>
      <c r="D14" s="92" t="s">
        <v>57</v>
      </c>
      <c r="E14" s="39" t="s">
        <v>31</v>
      </c>
      <c r="F14" s="91" t="s">
        <v>21</v>
      </c>
      <c r="G14" s="79"/>
      <c r="H14" s="39" t="s">
        <v>22</v>
      </c>
      <c r="I14" s="92"/>
      <c r="J14" s="39"/>
      <c r="K14" s="39"/>
      <c r="L14" s="39"/>
      <c r="M14" s="39"/>
      <c r="N14" s="39"/>
      <c r="O14" s="39"/>
      <c r="P14" s="80"/>
      <c r="Q14" s="60"/>
    </row>
    <row r="15">
      <c r="A15" s="80">
        <v>13.0</v>
      </c>
      <c r="B15" s="136" t="s">
        <v>58</v>
      </c>
      <c r="C15" s="136" t="s">
        <v>674</v>
      </c>
      <c r="D15" s="92" t="s">
        <v>60</v>
      </c>
      <c r="E15" s="39" t="s">
        <v>20</v>
      </c>
      <c r="F15" s="91" t="s">
        <v>21</v>
      </c>
      <c r="G15" s="79" t="s">
        <v>22</v>
      </c>
      <c r="H15" s="39"/>
      <c r="I15" s="92"/>
      <c r="J15" s="39"/>
      <c r="K15" s="39"/>
      <c r="L15" s="39" t="s">
        <v>22</v>
      </c>
      <c r="M15" s="39"/>
      <c r="N15" s="39"/>
      <c r="O15" s="39"/>
      <c r="P15" s="80"/>
      <c r="Q15" s="60"/>
    </row>
    <row r="16">
      <c r="A16" s="80">
        <v>14.0</v>
      </c>
      <c r="B16" s="136" t="s">
        <v>62</v>
      </c>
      <c r="C16" s="136" t="s">
        <v>676</v>
      </c>
      <c r="D16" s="92" t="s">
        <v>64</v>
      </c>
      <c r="E16" s="39" t="s">
        <v>20</v>
      </c>
      <c r="F16" s="91" t="s">
        <v>26</v>
      </c>
      <c r="G16" s="79"/>
      <c r="H16" s="39" t="s">
        <v>22</v>
      </c>
      <c r="I16" s="92"/>
      <c r="J16" s="39"/>
      <c r="K16" s="39"/>
      <c r="L16" s="39"/>
      <c r="M16" s="39"/>
      <c r="N16" s="39" t="s">
        <v>22</v>
      </c>
      <c r="O16" s="39" t="s">
        <v>22</v>
      </c>
      <c r="P16" s="80"/>
      <c r="Q16" s="60"/>
    </row>
    <row r="17">
      <c r="A17" s="80">
        <v>15.0</v>
      </c>
      <c r="B17" s="136" t="s">
        <v>66</v>
      </c>
      <c r="C17" s="136" t="s">
        <v>677</v>
      </c>
      <c r="D17" s="92" t="s">
        <v>42</v>
      </c>
      <c r="E17" s="39" t="s">
        <v>21</v>
      </c>
      <c r="F17" s="91" t="s">
        <v>20</v>
      </c>
      <c r="G17" s="79" t="s">
        <v>22</v>
      </c>
      <c r="H17" s="39"/>
      <c r="I17" s="92"/>
      <c r="J17" s="39"/>
      <c r="K17" s="39"/>
      <c r="L17" s="39"/>
      <c r="M17" s="39"/>
      <c r="N17" s="39"/>
      <c r="O17" s="39"/>
      <c r="P17" s="80"/>
      <c r="Q17" s="60"/>
    </row>
    <row r="18">
      <c r="A18" s="80">
        <v>16.0</v>
      </c>
      <c r="B18" s="136" t="s">
        <v>68</v>
      </c>
      <c r="C18" s="136" t="s">
        <v>678</v>
      </c>
      <c r="D18" s="92" t="s">
        <v>70</v>
      </c>
      <c r="E18" s="39" t="s">
        <v>20</v>
      </c>
      <c r="F18" s="91" t="s">
        <v>21</v>
      </c>
      <c r="G18" s="79" t="s">
        <v>22</v>
      </c>
      <c r="H18" s="39"/>
      <c r="I18" s="92"/>
      <c r="J18" s="39"/>
      <c r="K18" s="39" t="s">
        <v>22</v>
      </c>
      <c r="L18" s="39"/>
      <c r="M18" s="39"/>
      <c r="N18" s="39"/>
      <c r="O18" s="39"/>
      <c r="P18" s="80"/>
      <c r="Q18" s="60"/>
    </row>
    <row r="19">
      <c r="A19" s="80">
        <v>17.0</v>
      </c>
      <c r="B19" s="136" t="s">
        <v>72</v>
      </c>
      <c r="C19" s="136" t="s">
        <v>679</v>
      </c>
      <c r="D19" s="92" t="s">
        <v>74</v>
      </c>
      <c r="E19" s="39" t="s">
        <v>20</v>
      </c>
      <c r="F19" s="91" t="s">
        <v>21</v>
      </c>
      <c r="G19" s="79"/>
      <c r="H19" s="39" t="s">
        <v>22</v>
      </c>
      <c r="I19" s="92"/>
      <c r="J19" s="39"/>
      <c r="K19" s="39"/>
      <c r="L19" s="39"/>
      <c r="M19" s="39"/>
      <c r="N19" s="39"/>
      <c r="O19" s="39"/>
      <c r="P19" s="80"/>
      <c r="Q19" s="60"/>
    </row>
    <row r="20">
      <c r="A20" s="80">
        <v>18.0</v>
      </c>
      <c r="B20" s="137" t="s">
        <v>75</v>
      </c>
      <c r="C20" s="136" t="s">
        <v>680</v>
      </c>
      <c r="D20" s="92" t="s">
        <v>77</v>
      </c>
      <c r="E20" s="39" t="s">
        <v>21</v>
      </c>
      <c r="F20" s="91" t="s">
        <v>20</v>
      </c>
      <c r="G20" s="79" t="s">
        <v>22</v>
      </c>
      <c r="H20" s="39"/>
      <c r="I20" s="92"/>
      <c r="J20" s="39"/>
      <c r="K20" s="39"/>
      <c r="L20" s="39"/>
      <c r="M20" s="39"/>
      <c r="N20" s="39"/>
      <c r="O20" s="39"/>
      <c r="P20" s="80"/>
      <c r="Q20" s="60"/>
    </row>
    <row r="21">
      <c r="A21" s="80">
        <v>19.0</v>
      </c>
      <c r="B21" s="136" t="s">
        <v>78</v>
      </c>
      <c r="C21" s="136" t="s">
        <v>681</v>
      </c>
      <c r="D21" s="92" t="s">
        <v>80</v>
      </c>
      <c r="E21" s="39" t="s">
        <v>20</v>
      </c>
      <c r="F21" s="91" t="s">
        <v>21</v>
      </c>
      <c r="G21" s="79"/>
      <c r="H21" s="39" t="s">
        <v>22</v>
      </c>
      <c r="I21" s="92"/>
      <c r="J21" s="39"/>
      <c r="K21" s="39"/>
      <c r="L21" s="39"/>
      <c r="M21" s="39"/>
      <c r="N21" s="39"/>
      <c r="O21" s="39"/>
      <c r="P21" s="80"/>
      <c r="Q21" s="60"/>
    </row>
    <row r="22">
      <c r="A22" s="80">
        <v>20.0</v>
      </c>
      <c r="B22" s="136" t="s">
        <v>81</v>
      </c>
      <c r="C22" s="136" t="s">
        <v>673</v>
      </c>
      <c r="D22" s="92" t="s">
        <v>80</v>
      </c>
      <c r="E22" s="39" t="s">
        <v>31</v>
      </c>
      <c r="F22" s="91" t="s">
        <v>21</v>
      </c>
      <c r="G22" s="79"/>
      <c r="H22" s="39" t="s">
        <v>22</v>
      </c>
      <c r="I22" s="92"/>
      <c r="J22" s="39"/>
      <c r="K22" s="39"/>
      <c r="L22" s="39"/>
      <c r="M22" s="39"/>
      <c r="N22" s="39"/>
      <c r="O22" s="39"/>
      <c r="P22" s="80"/>
      <c r="Q22" s="60"/>
    </row>
    <row r="23">
      <c r="A23" s="80">
        <v>21.0</v>
      </c>
      <c r="B23" s="136" t="s">
        <v>83</v>
      </c>
      <c r="C23" s="136" t="s">
        <v>682</v>
      </c>
      <c r="D23" s="92" t="s">
        <v>85</v>
      </c>
      <c r="E23" s="39" t="s">
        <v>20</v>
      </c>
      <c r="F23" s="91" t="s">
        <v>21</v>
      </c>
      <c r="G23" s="79"/>
      <c r="H23" s="39" t="s">
        <v>22</v>
      </c>
      <c r="I23" s="92"/>
      <c r="J23" s="39"/>
      <c r="K23" s="39"/>
      <c r="L23" s="39"/>
      <c r="M23" s="39"/>
      <c r="N23" s="39"/>
      <c r="O23" s="39"/>
      <c r="P23" s="80"/>
      <c r="Q23" s="60"/>
    </row>
    <row r="24">
      <c r="A24" s="80">
        <v>22.0</v>
      </c>
      <c r="B24" s="136" t="s">
        <v>86</v>
      </c>
      <c r="C24" s="136" t="s">
        <v>683</v>
      </c>
      <c r="D24" s="92" t="s">
        <v>88</v>
      </c>
      <c r="E24" s="39" t="s">
        <v>21</v>
      </c>
      <c r="F24" s="91" t="s">
        <v>31</v>
      </c>
      <c r="G24" s="79" t="s">
        <v>22</v>
      </c>
      <c r="H24" s="39"/>
      <c r="I24" s="92"/>
      <c r="J24" s="39"/>
      <c r="K24" s="39"/>
      <c r="L24" s="39"/>
      <c r="M24" s="39"/>
      <c r="N24" s="39"/>
      <c r="O24" s="39"/>
      <c r="P24" s="80"/>
      <c r="Q24" s="60"/>
    </row>
    <row r="25">
      <c r="A25" s="80">
        <v>23.0</v>
      </c>
      <c r="B25" s="136" t="s">
        <v>90</v>
      </c>
      <c r="C25" s="136" t="s">
        <v>685</v>
      </c>
      <c r="D25" s="92" t="s">
        <v>92</v>
      </c>
      <c r="E25" s="39" t="s">
        <v>31</v>
      </c>
      <c r="F25" s="91" t="s">
        <v>21</v>
      </c>
      <c r="G25" s="79"/>
      <c r="H25" s="39" t="s">
        <v>22</v>
      </c>
      <c r="I25" s="92"/>
      <c r="J25" s="39"/>
      <c r="K25" s="39"/>
      <c r="L25" s="39"/>
      <c r="M25" s="39"/>
      <c r="N25" s="39"/>
      <c r="O25" s="39"/>
      <c r="P25" s="80"/>
      <c r="Q25" s="60"/>
    </row>
    <row r="26">
      <c r="A26" s="80">
        <v>24.0</v>
      </c>
      <c r="B26" s="136" t="s">
        <v>93</v>
      </c>
      <c r="C26" s="136" t="s">
        <v>686</v>
      </c>
      <c r="D26" s="92" t="s">
        <v>95</v>
      </c>
      <c r="E26" s="39" t="s">
        <v>21</v>
      </c>
      <c r="F26" s="91" t="s">
        <v>20</v>
      </c>
      <c r="G26" s="79"/>
      <c r="H26" s="39"/>
      <c r="I26" s="92" t="s">
        <v>22</v>
      </c>
      <c r="J26" s="39" t="s">
        <v>22</v>
      </c>
      <c r="K26" s="39"/>
      <c r="L26" s="39"/>
      <c r="M26" s="39"/>
      <c r="N26" s="39"/>
      <c r="O26" s="39"/>
      <c r="P26" s="80"/>
      <c r="Q26" s="60"/>
    </row>
    <row r="27">
      <c r="A27" s="80">
        <v>25.0</v>
      </c>
      <c r="B27" s="136" t="s">
        <v>97</v>
      </c>
      <c r="C27" s="136" t="s">
        <v>688</v>
      </c>
      <c r="D27" s="92" t="s">
        <v>99</v>
      </c>
      <c r="E27" s="39" t="s">
        <v>20</v>
      </c>
      <c r="F27" s="91" t="s">
        <v>21</v>
      </c>
      <c r="G27" s="79" t="s">
        <v>22</v>
      </c>
      <c r="H27" s="39"/>
      <c r="I27" s="92"/>
      <c r="J27" s="39"/>
      <c r="K27" s="39" t="s">
        <v>22</v>
      </c>
      <c r="L27" s="39"/>
      <c r="M27" s="39"/>
      <c r="N27" s="39"/>
      <c r="O27" s="39"/>
      <c r="P27" s="80"/>
      <c r="Q27" s="60"/>
    </row>
    <row r="28">
      <c r="A28" s="80">
        <v>27.0</v>
      </c>
      <c r="B28" s="136" t="s">
        <v>101</v>
      </c>
      <c r="C28" s="136" t="s">
        <v>690</v>
      </c>
      <c r="D28" s="92" t="s">
        <v>103</v>
      </c>
      <c r="E28" s="39" t="s">
        <v>20</v>
      </c>
      <c r="F28" s="91" t="s">
        <v>21</v>
      </c>
      <c r="G28" s="79"/>
      <c r="H28" s="39" t="s">
        <v>22</v>
      </c>
      <c r="I28" s="92"/>
      <c r="J28" s="39"/>
      <c r="K28" s="39"/>
      <c r="L28" s="39"/>
      <c r="M28" s="39"/>
      <c r="N28" s="39"/>
      <c r="O28" s="39"/>
      <c r="P28" s="80"/>
      <c r="Q28" s="60"/>
    </row>
    <row r="29">
      <c r="A29" s="80">
        <v>28.0</v>
      </c>
      <c r="B29" s="136" t="s">
        <v>105</v>
      </c>
      <c r="C29" s="136" t="s">
        <v>692</v>
      </c>
      <c r="D29" s="92" t="s">
        <v>107</v>
      </c>
      <c r="E29" s="39" t="s">
        <v>31</v>
      </c>
      <c r="F29" s="91" t="s">
        <v>21</v>
      </c>
      <c r="G29" s="79"/>
      <c r="H29" s="39" t="s">
        <v>22</v>
      </c>
      <c r="I29" s="92"/>
      <c r="J29" s="39"/>
      <c r="K29" s="39"/>
      <c r="L29" s="39"/>
      <c r="M29" s="39"/>
      <c r="N29" s="39"/>
      <c r="O29" s="39"/>
      <c r="P29" s="80"/>
      <c r="Q29" s="60"/>
    </row>
    <row r="30">
      <c r="A30" s="80">
        <v>29.0</v>
      </c>
      <c r="B30" s="136" t="s">
        <v>108</v>
      </c>
      <c r="C30" s="136" t="s">
        <v>693</v>
      </c>
      <c r="D30" s="92" t="s">
        <v>110</v>
      </c>
      <c r="E30" s="39" t="s">
        <v>20</v>
      </c>
      <c r="F30" s="91" t="s">
        <v>26</v>
      </c>
      <c r="G30" s="79"/>
      <c r="H30" s="39" t="s">
        <v>22</v>
      </c>
      <c r="I30" s="92"/>
      <c r="J30" s="39"/>
      <c r="K30" s="39"/>
      <c r="L30" s="39"/>
      <c r="M30" s="39"/>
      <c r="N30" s="39" t="s">
        <v>22</v>
      </c>
      <c r="O30" s="39" t="s">
        <v>22</v>
      </c>
      <c r="P30" s="80" t="s">
        <v>1008</v>
      </c>
      <c r="Q30" s="60"/>
    </row>
    <row r="31">
      <c r="A31" s="80">
        <v>30.0</v>
      </c>
      <c r="B31" s="136" t="s">
        <v>112</v>
      </c>
      <c r="C31" s="136" t="s">
        <v>694</v>
      </c>
      <c r="D31" s="92" t="s">
        <v>114</v>
      </c>
      <c r="E31" s="39" t="s">
        <v>21</v>
      </c>
      <c r="F31" s="91" t="s">
        <v>20</v>
      </c>
      <c r="G31" s="79" t="s">
        <v>22</v>
      </c>
      <c r="H31" s="39"/>
      <c r="I31" s="92"/>
      <c r="J31" s="39"/>
      <c r="K31" s="39"/>
      <c r="L31" s="39"/>
      <c r="M31" s="39"/>
      <c r="N31" s="39"/>
      <c r="O31" s="39"/>
      <c r="P31" s="80"/>
      <c r="Q31" s="60"/>
    </row>
    <row r="32">
      <c r="A32" s="80">
        <v>31.0</v>
      </c>
      <c r="B32" s="136" t="s">
        <v>115</v>
      </c>
      <c r="C32" s="136" t="s">
        <v>695</v>
      </c>
      <c r="D32" s="92" t="s">
        <v>117</v>
      </c>
      <c r="E32" s="39" t="s">
        <v>31</v>
      </c>
      <c r="F32" s="91" t="s">
        <v>21</v>
      </c>
      <c r="G32" s="79"/>
      <c r="H32" s="39" t="s">
        <v>22</v>
      </c>
      <c r="I32" s="92"/>
      <c r="J32" s="39"/>
      <c r="K32" s="39"/>
      <c r="L32" s="39"/>
      <c r="M32" s="39"/>
      <c r="N32" s="39"/>
      <c r="O32" s="39"/>
      <c r="P32" s="80"/>
      <c r="Q32" s="60"/>
    </row>
    <row r="33">
      <c r="A33" s="80">
        <v>33.0</v>
      </c>
      <c r="B33" s="136" t="s">
        <v>118</v>
      </c>
      <c r="C33" s="136" t="s">
        <v>696</v>
      </c>
      <c r="D33" s="92" t="s">
        <v>120</v>
      </c>
      <c r="E33" s="39" t="s">
        <v>21</v>
      </c>
      <c r="F33" s="91" t="s">
        <v>20</v>
      </c>
      <c r="G33" s="79" t="s">
        <v>22</v>
      </c>
      <c r="H33" s="39"/>
      <c r="I33" s="92"/>
      <c r="J33" s="39"/>
      <c r="K33" s="39"/>
      <c r="L33" s="39"/>
      <c r="M33" s="39"/>
      <c r="N33" s="39"/>
      <c r="O33" s="39"/>
      <c r="P33" s="80"/>
      <c r="Q33" s="60"/>
    </row>
    <row r="34">
      <c r="A34" s="80">
        <v>34.0</v>
      </c>
      <c r="B34" s="136" t="s">
        <v>121</v>
      </c>
      <c r="C34" s="136" t="s">
        <v>697</v>
      </c>
      <c r="D34" s="92" t="s">
        <v>123</v>
      </c>
      <c r="E34" s="39" t="s">
        <v>20</v>
      </c>
      <c r="F34" s="91" t="s">
        <v>21</v>
      </c>
      <c r="G34" s="79"/>
      <c r="H34" s="39" t="s">
        <v>22</v>
      </c>
      <c r="I34" s="92"/>
      <c r="J34" s="39"/>
      <c r="K34" s="39"/>
      <c r="L34" s="39"/>
      <c r="M34" s="39"/>
      <c r="N34" s="39"/>
      <c r="O34" s="39"/>
      <c r="P34" s="80"/>
      <c r="Q34" s="60"/>
    </row>
    <row r="35">
      <c r="A35" s="80">
        <v>36.0</v>
      </c>
      <c r="B35" s="136" t="s">
        <v>125</v>
      </c>
      <c r="C35" s="136" t="s">
        <v>699</v>
      </c>
      <c r="D35" s="92" t="s">
        <v>127</v>
      </c>
      <c r="E35" s="39" t="s">
        <v>21</v>
      </c>
      <c r="F35" s="91" t="s">
        <v>20</v>
      </c>
      <c r="G35" s="79" t="s">
        <v>22</v>
      </c>
      <c r="H35" s="39"/>
      <c r="I35" s="92"/>
      <c r="J35" s="39"/>
      <c r="K35" s="39"/>
      <c r="L35" s="39"/>
      <c r="M35" s="39"/>
      <c r="N35" s="39"/>
      <c r="O35" s="39"/>
      <c r="P35" s="80"/>
      <c r="Q35" s="60"/>
    </row>
    <row r="36">
      <c r="A36" s="80">
        <v>37.0</v>
      </c>
      <c r="B36" s="136" t="s">
        <v>128</v>
      </c>
      <c r="C36" s="136" t="s">
        <v>700</v>
      </c>
      <c r="D36" s="92" t="s">
        <v>64</v>
      </c>
      <c r="E36" s="39" t="s">
        <v>21</v>
      </c>
      <c r="F36" s="91" t="s">
        <v>20</v>
      </c>
      <c r="G36" s="79" t="s">
        <v>22</v>
      </c>
      <c r="H36" s="39"/>
      <c r="I36" s="92"/>
      <c r="J36" s="39"/>
      <c r="K36" s="39"/>
      <c r="L36" s="39"/>
      <c r="M36" s="39"/>
      <c r="N36" s="39"/>
      <c r="O36" s="39"/>
      <c r="P36" s="80"/>
      <c r="Q36" s="60"/>
    </row>
    <row r="37">
      <c r="A37" s="80">
        <v>38.0</v>
      </c>
      <c r="B37" s="136" t="s">
        <v>130</v>
      </c>
      <c r="C37" s="136" t="s">
        <v>701</v>
      </c>
      <c r="D37" s="92" t="s">
        <v>132</v>
      </c>
      <c r="E37" s="39" t="s">
        <v>21</v>
      </c>
      <c r="F37" s="91" t="s">
        <v>20</v>
      </c>
      <c r="G37" s="79" t="s">
        <v>22</v>
      </c>
      <c r="H37" s="39"/>
      <c r="I37" s="92"/>
      <c r="J37" s="39"/>
      <c r="K37" s="39"/>
      <c r="L37" s="39"/>
      <c r="M37" s="39"/>
      <c r="N37" s="39"/>
      <c r="O37" s="39"/>
      <c r="P37" s="80"/>
      <c r="Q37" s="60"/>
    </row>
    <row r="38">
      <c r="A38" s="80">
        <v>40.0</v>
      </c>
      <c r="B38" s="136" t="s">
        <v>133</v>
      </c>
      <c r="C38" s="136" t="s">
        <v>688</v>
      </c>
      <c r="D38" s="92" t="s">
        <v>134</v>
      </c>
      <c r="E38" s="39" t="s">
        <v>31</v>
      </c>
      <c r="F38" s="91" t="s">
        <v>21</v>
      </c>
      <c r="G38" s="79"/>
      <c r="H38" s="39" t="s">
        <v>22</v>
      </c>
      <c r="I38" s="92"/>
      <c r="J38" s="39"/>
      <c r="K38" s="39"/>
      <c r="L38" s="39"/>
      <c r="M38" s="39"/>
      <c r="N38" s="39"/>
      <c r="O38" s="39"/>
      <c r="P38" s="80"/>
      <c r="Q38" s="60"/>
    </row>
    <row r="39">
      <c r="A39" s="80">
        <v>41.0</v>
      </c>
      <c r="B39" s="136" t="s">
        <v>135</v>
      </c>
      <c r="C39" s="136" t="s">
        <v>702</v>
      </c>
      <c r="D39" s="92" t="s">
        <v>137</v>
      </c>
      <c r="E39" s="39" t="s">
        <v>21</v>
      </c>
      <c r="F39" s="91" t="s">
        <v>31</v>
      </c>
      <c r="G39" s="79" t="s">
        <v>22</v>
      </c>
      <c r="H39" s="39"/>
      <c r="I39" s="92"/>
      <c r="J39" s="39"/>
      <c r="K39" s="39"/>
      <c r="L39" s="39"/>
      <c r="M39" s="39"/>
      <c r="N39" s="39"/>
      <c r="O39" s="39"/>
      <c r="P39" s="80"/>
      <c r="Q39" s="60"/>
    </row>
    <row r="40">
      <c r="A40" s="80">
        <v>42.0</v>
      </c>
      <c r="B40" s="136" t="s">
        <v>139</v>
      </c>
      <c r="C40" s="136" t="s">
        <v>703</v>
      </c>
      <c r="D40" s="92" t="s">
        <v>141</v>
      </c>
      <c r="E40" s="39" t="s">
        <v>31</v>
      </c>
      <c r="F40" s="91" t="s">
        <v>21</v>
      </c>
      <c r="G40" s="79" t="s">
        <v>22</v>
      </c>
      <c r="H40" s="39"/>
      <c r="I40" s="92"/>
      <c r="J40" s="39"/>
      <c r="K40" s="39"/>
      <c r="L40" s="39"/>
      <c r="M40" s="39"/>
      <c r="N40" s="39"/>
      <c r="O40" s="39"/>
      <c r="P40" s="80" t="s">
        <v>1009</v>
      </c>
      <c r="Q40" s="60"/>
    </row>
    <row r="41">
      <c r="A41" s="80">
        <v>43.0</v>
      </c>
      <c r="B41" s="136" t="s">
        <v>143</v>
      </c>
      <c r="C41" s="136" t="s">
        <v>705</v>
      </c>
      <c r="D41" s="92" t="s">
        <v>145</v>
      </c>
      <c r="E41" s="39" t="s">
        <v>20</v>
      </c>
      <c r="F41" s="91" t="s">
        <v>21</v>
      </c>
      <c r="G41" s="79" t="s">
        <v>22</v>
      </c>
      <c r="H41" s="39"/>
      <c r="I41" s="92"/>
      <c r="J41" s="39" t="s">
        <v>22</v>
      </c>
      <c r="K41" s="39"/>
      <c r="L41" s="39"/>
      <c r="M41" s="39"/>
      <c r="N41" s="39"/>
      <c r="O41" s="39"/>
      <c r="P41" s="80"/>
      <c r="Q41" s="60"/>
    </row>
    <row r="42">
      <c r="A42" s="80">
        <v>44.0</v>
      </c>
      <c r="B42" s="136" t="s">
        <v>146</v>
      </c>
      <c r="C42" s="136" t="s">
        <v>706</v>
      </c>
      <c r="D42" s="92" t="s">
        <v>148</v>
      </c>
      <c r="E42" s="39" t="s">
        <v>21</v>
      </c>
      <c r="F42" s="91" t="s">
        <v>20</v>
      </c>
      <c r="G42" s="79" t="s">
        <v>22</v>
      </c>
      <c r="H42" s="39"/>
      <c r="I42" s="92"/>
      <c r="J42" s="39"/>
      <c r="K42" s="39"/>
      <c r="L42" s="39"/>
      <c r="M42" s="39"/>
      <c r="N42" s="39"/>
      <c r="O42" s="39"/>
      <c r="P42" s="80"/>
      <c r="Q42" s="60"/>
    </row>
    <row r="43">
      <c r="A43" s="80">
        <v>45.0</v>
      </c>
      <c r="B43" s="136" t="s">
        <v>149</v>
      </c>
      <c r="C43" s="136" t="s">
        <v>707</v>
      </c>
      <c r="D43" s="92" t="s">
        <v>151</v>
      </c>
      <c r="E43" s="39" t="s">
        <v>20</v>
      </c>
      <c r="F43" s="91" t="s">
        <v>21</v>
      </c>
      <c r="G43" s="79"/>
      <c r="H43" s="39" t="s">
        <v>22</v>
      </c>
      <c r="I43" s="92"/>
      <c r="J43" s="39"/>
      <c r="K43" s="39"/>
      <c r="L43" s="39"/>
      <c r="M43" s="39"/>
      <c r="N43" s="39"/>
      <c r="O43" s="39"/>
      <c r="P43" s="80"/>
      <c r="Q43" s="60"/>
    </row>
    <row r="44">
      <c r="A44" s="80">
        <v>46.0</v>
      </c>
      <c r="B44" s="136" t="s">
        <v>153</v>
      </c>
      <c r="C44" s="136" t="s">
        <v>708</v>
      </c>
      <c r="D44" s="92" t="s">
        <v>42</v>
      </c>
      <c r="E44" s="39" t="s">
        <v>21</v>
      </c>
      <c r="F44" s="91" t="s">
        <v>20</v>
      </c>
      <c r="G44" s="79" t="s">
        <v>22</v>
      </c>
      <c r="H44" s="39"/>
      <c r="I44" s="92"/>
      <c r="J44" s="39"/>
      <c r="K44" s="39"/>
      <c r="L44" s="39"/>
      <c r="M44" s="39"/>
      <c r="N44" s="39"/>
      <c r="O44" s="39"/>
      <c r="P44" s="80"/>
      <c r="Q44" s="60"/>
    </row>
    <row r="45">
      <c r="A45" s="80">
        <v>47.0</v>
      </c>
      <c r="B45" s="136" t="s">
        <v>155</v>
      </c>
      <c r="C45" s="136" t="s">
        <v>709</v>
      </c>
      <c r="D45" s="92" t="s">
        <v>157</v>
      </c>
      <c r="E45" s="39" t="s">
        <v>21</v>
      </c>
      <c r="F45" s="91" t="s">
        <v>20</v>
      </c>
      <c r="G45" s="79" t="s">
        <v>22</v>
      </c>
      <c r="H45" s="39"/>
      <c r="I45" s="92"/>
      <c r="J45" s="39"/>
      <c r="K45" s="39"/>
      <c r="L45" s="39"/>
      <c r="M45" s="39"/>
      <c r="N45" s="39"/>
      <c r="O45" s="39"/>
      <c r="P45" s="80"/>
      <c r="Q45" s="60"/>
    </row>
    <row r="46">
      <c r="A46" s="80">
        <v>48.0</v>
      </c>
      <c r="B46" s="136" t="s">
        <v>158</v>
      </c>
      <c r="C46" s="136" t="s">
        <v>710</v>
      </c>
      <c r="D46" s="92" t="s">
        <v>160</v>
      </c>
      <c r="E46" s="39" t="s">
        <v>20</v>
      </c>
      <c r="F46" s="91" t="s">
        <v>21</v>
      </c>
      <c r="G46" s="79" t="s">
        <v>22</v>
      </c>
      <c r="H46" s="39"/>
      <c r="I46" s="92"/>
      <c r="J46" s="39" t="s">
        <v>22</v>
      </c>
      <c r="K46" s="39"/>
      <c r="L46" s="39"/>
      <c r="M46" s="39"/>
      <c r="N46" s="39"/>
      <c r="O46" s="39"/>
      <c r="P46" s="80"/>
      <c r="Q46" s="60"/>
    </row>
    <row r="47">
      <c r="A47" s="80">
        <v>49.0</v>
      </c>
      <c r="B47" s="136" t="s">
        <v>162</v>
      </c>
      <c r="C47" s="136" t="s">
        <v>711</v>
      </c>
      <c r="D47" s="92" t="s">
        <v>164</v>
      </c>
      <c r="E47" s="39" t="s">
        <v>20</v>
      </c>
      <c r="F47" s="91" t="s">
        <v>21</v>
      </c>
      <c r="G47" s="79"/>
      <c r="H47" s="39" t="s">
        <v>22</v>
      </c>
      <c r="I47" s="92"/>
      <c r="J47" s="39"/>
      <c r="K47" s="39"/>
      <c r="L47" s="39"/>
      <c r="M47" s="39"/>
      <c r="N47" s="39"/>
      <c r="O47" s="39"/>
      <c r="P47" s="80"/>
      <c r="Q47" s="60"/>
    </row>
    <row r="48">
      <c r="A48" s="80">
        <v>51.0</v>
      </c>
      <c r="B48" s="136" t="s">
        <v>166</v>
      </c>
      <c r="C48" s="136" t="s">
        <v>713</v>
      </c>
      <c r="D48" s="92" t="s">
        <v>168</v>
      </c>
      <c r="E48" s="39" t="s">
        <v>21</v>
      </c>
      <c r="F48" s="91" t="s">
        <v>31</v>
      </c>
      <c r="G48" s="79" t="s">
        <v>22</v>
      </c>
      <c r="H48" s="39"/>
      <c r="I48" s="92"/>
      <c r="J48" s="39"/>
      <c r="K48" s="39"/>
      <c r="L48" s="39"/>
      <c r="M48" s="39"/>
      <c r="N48" s="39"/>
      <c r="O48" s="39"/>
      <c r="P48" s="80"/>
      <c r="Q48" s="60"/>
    </row>
    <row r="49">
      <c r="A49" s="80">
        <v>52.0</v>
      </c>
      <c r="B49" s="136" t="s">
        <v>170</v>
      </c>
      <c r="C49" s="136" t="s">
        <v>714</v>
      </c>
      <c r="D49" s="92" t="s">
        <v>172</v>
      </c>
      <c r="E49" s="39" t="s">
        <v>20</v>
      </c>
      <c r="F49" s="91" t="s">
        <v>21</v>
      </c>
      <c r="G49" s="79"/>
      <c r="H49" s="39" t="s">
        <v>22</v>
      </c>
      <c r="I49" s="92"/>
      <c r="J49" s="39"/>
      <c r="K49" s="39"/>
      <c r="L49" s="39"/>
      <c r="M49" s="39"/>
      <c r="N49" s="39"/>
      <c r="O49" s="39"/>
      <c r="P49" s="80"/>
      <c r="Q49" s="60"/>
    </row>
    <row r="50">
      <c r="A50" s="80">
        <v>54.0</v>
      </c>
      <c r="B50" s="136" t="s">
        <v>173</v>
      </c>
      <c r="C50" s="136" t="s">
        <v>715</v>
      </c>
      <c r="D50" s="92" t="s">
        <v>175</v>
      </c>
      <c r="E50" s="39" t="s">
        <v>20</v>
      </c>
      <c r="F50" s="91" t="s">
        <v>21</v>
      </c>
      <c r="G50" s="79"/>
      <c r="H50" s="39" t="s">
        <v>22</v>
      </c>
      <c r="I50" s="92"/>
      <c r="J50" s="39"/>
      <c r="K50" s="39"/>
      <c r="L50" s="39"/>
      <c r="M50" s="39"/>
      <c r="N50" s="39"/>
      <c r="O50" s="39"/>
      <c r="P50" s="80"/>
      <c r="Q50" s="60"/>
    </row>
    <row r="51">
      <c r="A51" s="80">
        <v>55.0</v>
      </c>
      <c r="B51" s="136" t="s">
        <v>176</v>
      </c>
      <c r="C51" s="136" t="s">
        <v>716</v>
      </c>
      <c r="D51" s="92" t="s">
        <v>120</v>
      </c>
      <c r="E51" s="39" t="s">
        <v>21</v>
      </c>
      <c r="F51" s="91" t="s">
        <v>20</v>
      </c>
      <c r="G51" s="79" t="s">
        <v>22</v>
      </c>
      <c r="H51" s="39"/>
      <c r="I51" s="92"/>
      <c r="J51" s="39"/>
      <c r="K51" s="39"/>
      <c r="L51" s="39"/>
      <c r="M51" s="39"/>
      <c r="N51" s="39"/>
      <c r="O51" s="39"/>
      <c r="P51" s="80"/>
      <c r="Q51" s="60"/>
    </row>
    <row r="52">
      <c r="A52" s="80">
        <v>56.0</v>
      </c>
      <c r="B52" s="136" t="s">
        <v>178</v>
      </c>
      <c r="C52" s="136" t="s">
        <v>717</v>
      </c>
      <c r="D52" s="92" t="s">
        <v>180</v>
      </c>
      <c r="E52" s="39" t="s">
        <v>20</v>
      </c>
      <c r="F52" s="91" t="s">
        <v>26</v>
      </c>
      <c r="G52" s="79"/>
      <c r="H52" s="39" t="s">
        <v>22</v>
      </c>
      <c r="I52" s="92"/>
      <c r="J52" s="39"/>
      <c r="K52" s="39" t="s">
        <v>22</v>
      </c>
      <c r="L52" s="39"/>
      <c r="M52" s="39"/>
      <c r="N52" s="39"/>
      <c r="O52" s="39"/>
      <c r="P52" s="80" t="s">
        <v>1010</v>
      </c>
      <c r="Q52" s="60"/>
    </row>
    <row r="53">
      <c r="A53" s="80">
        <v>57.0</v>
      </c>
      <c r="B53" s="136" t="s">
        <v>182</v>
      </c>
      <c r="C53" s="136" t="s">
        <v>718</v>
      </c>
      <c r="D53" s="92" t="s">
        <v>184</v>
      </c>
      <c r="E53" s="39" t="s">
        <v>21</v>
      </c>
      <c r="F53" s="91" t="s">
        <v>20</v>
      </c>
      <c r="G53" s="79" t="s">
        <v>22</v>
      </c>
      <c r="H53" s="39"/>
      <c r="I53" s="92"/>
      <c r="J53" s="39"/>
      <c r="K53" s="39"/>
      <c r="L53" s="39"/>
      <c r="M53" s="39"/>
      <c r="N53" s="39"/>
      <c r="O53" s="39"/>
      <c r="P53" s="80"/>
      <c r="Q53" s="60"/>
    </row>
    <row r="54">
      <c r="A54" s="80">
        <v>58.0</v>
      </c>
      <c r="B54" s="136" t="s">
        <v>185</v>
      </c>
      <c r="C54" s="136" t="s">
        <v>719</v>
      </c>
      <c r="D54" s="92" t="s">
        <v>187</v>
      </c>
      <c r="E54" s="39" t="s">
        <v>31</v>
      </c>
      <c r="F54" s="91" t="s">
        <v>21</v>
      </c>
      <c r="G54" s="79"/>
      <c r="H54" s="39" t="s">
        <v>22</v>
      </c>
      <c r="I54" s="92"/>
      <c r="J54" s="39"/>
      <c r="K54" s="39"/>
      <c r="L54" s="39"/>
      <c r="M54" s="39"/>
      <c r="N54" s="39"/>
      <c r="O54" s="39"/>
      <c r="P54" s="80"/>
      <c r="Q54" s="60"/>
    </row>
    <row r="55">
      <c r="A55" s="80">
        <v>59.0</v>
      </c>
      <c r="B55" s="136" t="s">
        <v>188</v>
      </c>
      <c r="C55" s="136" t="s">
        <v>720</v>
      </c>
      <c r="D55" s="92" t="s">
        <v>190</v>
      </c>
      <c r="E55" s="39" t="s">
        <v>20</v>
      </c>
      <c r="F55" s="91" t="s">
        <v>21</v>
      </c>
      <c r="G55" s="79"/>
      <c r="H55" s="39" t="s">
        <v>22</v>
      </c>
      <c r="I55" s="92"/>
      <c r="J55" s="39"/>
      <c r="K55" s="39"/>
      <c r="L55" s="39"/>
      <c r="M55" s="39"/>
      <c r="N55" s="39"/>
      <c r="O55" s="39"/>
      <c r="P55" s="80"/>
      <c r="Q55" s="60"/>
    </row>
    <row r="56">
      <c r="A56" s="80">
        <v>61.0</v>
      </c>
      <c r="B56" s="136" t="s">
        <v>191</v>
      </c>
      <c r="C56" s="136" t="s">
        <v>721</v>
      </c>
      <c r="D56" s="92" t="s">
        <v>64</v>
      </c>
      <c r="E56" s="39" t="s">
        <v>20</v>
      </c>
      <c r="F56" s="91" t="s">
        <v>26</v>
      </c>
      <c r="G56" s="79"/>
      <c r="H56" s="39" t="s">
        <v>22</v>
      </c>
      <c r="I56" s="92"/>
      <c r="J56" s="39" t="s">
        <v>22</v>
      </c>
      <c r="K56" s="39"/>
      <c r="L56" s="39"/>
      <c r="M56" s="39"/>
      <c r="N56" s="39"/>
      <c r="O56" s="39"/>
      <c r="P56" s="80"/>
      <c r="Q56" s="60"/>
    </row>
    <row r="57">
      <c r="A57" s="80">
        <v>62.0</v>
      </c>
      <c r="B57" s="136" t="s">
        <v>194</v>
      </c>
      <c r="C57" s="136" t="s">
        <v>722</v>
      </c>
      <c r="D57" s="92" t="s">
        <v>42</v>
      </c>
      <c r="E57" s="39" t="s">
        <v>21</v>
      </c>
      <c r="F57" s="91" t="s">
        <v>20</v>
      </c>
      <c r="G57" s="79" t="s">
        <v>22</v>
      </c>
      <c r="H57" s="39"/>
      <c r="I57" s="92"/>
      <c r="J57" s="39"/>
      <c r="K57" s="39"/>
      <c r="L57" s="39"/>
      <c r="M57" s="39"/>
      <c r="N57" s="39"/>
      <c r="O57" s="39"/>
      <c r="P57" s="80"/>
      <c r="Q57" s="60"/>
    </row>
    <row r="58">
      <c r="A58" s="80">
        <v>63.0</v>
      </c>
      <c r="B58" s="136" t="s">
        <v>196</v>
      </c>
      <c r="C58" s="136" t="s">
        <v>723</v>
      </c>
      <c r="D58" s="92" t="s">
        <v>198</v>
      </c>
      <c r="E58" s="39" t="s">
        <v>21</v>
      </c>
      <c r="F58" s="91" t="s">
        <v>20</v>
      </c>
      <c r="G58" s="79" t="s">
        <v>22</v>
      </c>
      <c r="H58" s="39"/>
      <c r="I58" s="92"/>
      <c r="J58" s="39"/>
      <c r="K58" s="39"/>
      <c r="L58" s="39"/>
      <c r="M58" s="39"/>
      <c r="N58" s="39"/>
      <c r="O58" s="39"/>
      <c r="P58" s="80"/>
      <c r="Q58" s="60"/>
    </row>
    <row r="59">
      <c r="A59" s="80">
        <v>64.0</v>
      </c>
      <c r="B59" s="136" t="s">
        <v>199</v>
      </c>
      <c r="C59" s="136" t="s">
        <v>724</v>
      </c>
      <c r="D59" s="92" t="s">
        <v>201</v>
      </c>
      <c r="E59" s="39" t="s">
        <v>20</v>
      </c>
      <c r="F59" s="91" t="s">
        <v>21</v>
      </c>
      <c r="G59" s="79"/>
      <c r="H59" s="39" t="s">
        <v>22</v>
      </c>
      <c r="I59" s="92"/>
      <c r="J59" s="39"/>
      <c r="K59" s="39"/>
      <c r="L59" s="39"/>
      <c r="M59" s="39"/>
      <c r="N59" s="39"/>
      <c r="O59" s="39"/>
      <c r="P59" s="80"/>
      <c r="Q59" s="60"/>
    </row>
    <row r="60">
      <c r="A60" s="80">
        <v>66.0</v>
      </c>
      <c r="B60" s="136" t="s">
        <v>202</v>
      </c>
      <c r="C60" s="136" t="s">
        <v>725</v>
      </c>
      <c r="D60" s="92" t="s">
        <v>204</v>
      </c>
      <c r="E60" s="39" t="s">
        <v>21</v>
      </c>
      <c r="F60" s="91" t="s">
        <v>20</v>
      </c>
      <c r="G60" s="79" t="s">
        <v>22</v>
      </c>
      <c r="H60" s="39"/>
      <c r="I60" s="92"/>
      <c r="J60" s="39"/>
      <c r="K60" s="39"/>
      <c r="L60" s="39"/>
      <c r="M60" s="39"/>
      <c r="N60" s="39"/>
      <c r="O60" s="39"/>
      <c r="P60" s="80"/>
      <c r="Q60" s="60"/>
    </row>
    <row r="61">
      <c r="A61" s="80">
        <v>67.0</v>
      </c>
      <c r="B61" s="136" t="s">
        <v>205</v>
      </c>
      <c r="C61" s="136" t="s">
        <v>726</v>
      </c>
      <c r="D61" s="92" t="s">
        <v>64</v>
      </c>
      <c r="E61" s="39" t="s">
        <v>26</v>
      </c>
      <c r="F61" s="91" t="s">
        <v>20</v>
      </c>
      <c r="G61" s="79"/>
      <c r="H61" s="39" t="s">
        <v>22</v>
      </c>
      <c r="I61" s="92"/>
      <c r="J61" s="39"/>
      <c r="K61" s="39"/>
      <c r="L61" s="39"/>
      <c r="M61" s="39"/>
      <c r="N61" s="39"/>
      <c r="O61" s="39"/>
      <c r="P61" s="80" t="s">
        <v>1010</v>
      </c>
      <c r="Q61" s="60"/>
    </row>
    <row r="62">
      <c r="A62" s="80">
        <v>69.0</v>
      </c>
      <c r="B62" s="136" t="s">
        <v>207</v>
      </c>
      <c r="C62" s="136" t="s">
        <v>727</v>
      </c>
      <c r="D62" s="92" t="s">
        <v>209</v>
      </c>
      <c r="E62" s="39" t="s">
        <v>21</v>
      </c>
      <c r="F62" s="91" t="s">
        <v>31</v>
      </c>
      <c r="G62" s="79" t="s">
        <v>22</v>
      </c>
      <c r="H62" s="39"/>
      <c r="I62" s="92"/>
      <c r="J62" s="39"/>
      <c r="K62" s="39"/>
      <c r="L62" s="39"/>
      <c r="M62" s="39"/>
      <c r="N62" s="39"/>
      <c r="O62" s="39"/>
      <c r="P62" s="80"/>
      <c r="Q62" s="60"/>
    </row>
    <row r="63">
      <c r="A63" s="80">
        <v>70.0</v>
      </c>
      <c r="B63" s="136" t="s">
        <v>210</v>
      </c>
      <c r="C63" s="136" t="s">
        <v>728</v>
      </c>
      <c r="D63" s="92" t="s">
        <v>212</v>
      </c>
      <c r="E63" s="39" t="s">
        <v>31</v>
      </c>
      <c r="F63" s="91" t="s">
        <v>21</v>
      </c>
      <c r="G63" s="79"/>
      <c r="H63" s="39" t="s">
        <v>22</v>
      </c>
      <c r="I63" s="92"/>
      <c r="J63" s="39"/>
      <c r="K63" s="39"/>
      <c r="L63" s="39"/>
      <c r="M63" s="39"/>
      <c r="N63" s="39"/>
      <c r="O63" s="39"/>
      <c r="P63" s="80"/>
      <c r="Q63" s="60"/>
    </row>
    <row r="64">
      <c r="A64" s="80">
        <v>71.0</v>
      </c>
      <c r="B64" s="136" t="s">
        <v>213</v>
      </c>
      <c r="C64" s="136" t="s">
        <v>682</v>
      </c>
      <c r="D64" s="92" t="s">
        <v>107</v>
      </c>
      <c r="E64" s="39" t="s">
        <v>31</v>
      </c>
      <c r="F64" s="91" t="s">
        <v>21</v>
      </c>
      <c r="G64" s="79"/>
      <c r="H64" s="39" t="s">
        <v>22</v>
      </c>
      <c r="I64" s="92"/>
      <c r="J64" s="39"/>
      <c r="K64" s="39"/>
      <c r="L64" s="39"/>
      <c r="M64" s="39"/>
      <c r="N64" s="39"/>
      <c r="O64" s="39"/>
      <c r="P64" s="80"/>
      <c r="Q64" s="60"/>
    </row>
    <row r="65">
      <c r="A65" s="80">
        <v>72.0</v>
      </c>
      <c r="B65" s="136" t="s">
        <v>214</v>
      </c>
      <c r="C65" s="136" t="s">
        <v>729</v>
      </c>
      <c r="D65" s="92" t="s">
        <v>216</v>
      </c>
      <c r="E65" s="39" t="s">
        <v>20</v>
      </c>
      <c r="F65" s="91" t="s">
        <v>26</v>
      </c>
      <c r="G65" s="79"/>
      <c r="H65" s="39" t="s">
        <v>22</v>
      </c>
      <c r="I65" s="92"/>
      <c r="J65" s="39"/>
      <c r="K65" s="39" t="s">
        <v>22</v>
      </c>
      <c r="L65" s="39"/>
      <c r="M65" s="39"/>
      <c r="N65" s="39"/>
      <c r="O65" s="39"/>
      <c r="P65" s="80"/>
      <c r="Q65" s="60"/>
    </row>
    <row r="66">
      <c r="A66" s="80">
        <v>73.0</v>
      </c>
      <c r="B66" s="136" t="s">
        <v>218</v>
      </c>
      <c r="C66" s="136" t="s">
        <v>730</v>
      </c>
      <c r="D66" s="92" t="s">
        <v>220</v>
      </c>
      <c r="E66" s="39" t="s">
        <v>20</v>
      </c>
      <c r="F66" s="91" t="s">
        <v>21</v>
      </c>
      <c r="G66" s="79"/>
      <c r="H66" s="39" t="s">
        <v>22</v>
      </c>
      <c r="I66" s="92"/>
      <c r="J66" s="39"/>
      <c r="K66" s="39"/>
      <c r="L66" s="39"/>
      <c r="M66" s="39"/>
      <c r="N66" s="39"/>
      <c r="O66" s="39"/>
      <c r="P66" s="80"/>
      <c r="Q66" s="60"/>
    </row>
    <row r="67">
      <c r="A67" s="80">
        <v>74.0</v>
      </c>
      <c r="B67" s="136" t="s">
        <v>221</v>
      </c>
      <c r="C67" s="136" t="s">
        <v>731</v>
      </c>
      <c r="D67" s="92" t="s">
        <v>223</v>
      </c>
      <c r="E67" s="39" t="s">
        <v>20</v>
      </c>
      <c r="F67" s="91" t="s">
        <v>21</v>
      </c>
      <c r="G67" s="79"/>
      <c r="H67" s="39"/>
      <c r="I67" s="92" t="s">
        <v>22</v>
      </c>
      <c r="J67" s="39"/>
      <c r="K67" s="39" t="s">
        <v>22</v>
      </c>
      <c r="L67" s="39"/>
      <c r="M67" s="39"/>
      <c r="N67" s="39" t="s">
        <v>22</v>
      </c>
      <c r="O67" s="39" t="s">
        <v>22</v>
      </c>
      <c r="P67" s="80"/>
      <c r="Q67" s="60"/>
    </row>
    <row r="68">
      <c r="A68" s="80">
        <v>75.0</v>
      </c>
      <c r="B68" s="136" t="s">
        <v>225</v>
      </c>
      <c r="C68" s="136" t="s">
        <v>733</v>
      </c>
      <c r="D68" s="92" t="s">
        <v>227</v>
      </c>
      <c r="E68" s="39" t="s">
        <v>21</v>
      </c>
      <c r="F68" s="91" t="s">
        <v>20</v>
      </c>
      <c r="G68" s="79" t="s">
        <v>22</v>
      </c>
      <c r="H68" s="39"/>
      <c r="I68" s="92"/>
      <c r="J68" s="39"/>
      <c r="K68" s="39"/>
      <c r="L68" s="39"/>
      <c r="M68" s="39"/>
      <c r="N68" s="39"/>
      <c r="O68" s="39"/>
      <c r="P68" s="80"/>
      <c r="Q68" s="60"/>
    </row>
    <row r="69">
      <c r="A69" s="80">
        <v>76.0</v>
      </c>
      <c r="B69" s="136" t="s">
        <v>228</v>
      </c>
      <c r="C69" s="136" t="s">
        <v>734</v>
      </c>
      <c r="D69" s="92" t="s">
        <v>212</v>
      </c>
      <c r="E69" s="39" t="s">
        <v>20</v>
      </c>
      <c r="F69" s="91" t="s">
        <v>21</v>
      </c>
      <c r="G69" s="79"/>
      <c r="H69" s="39" t="s">
        <v>22</v>
      </c>
      <c r="I69" s="92"/>
      <c r="J69" s="39"/>
      <c r="K69" s="39"/>
      <c r="L69" s="39"/>
      <c r="M69" s="39"/>
      <c r="N69" s="39"/>
      <c r="O69" s="39"/>
      <c r="P69" s="80"/>
      <c r="Q69" s="60"/>
    </row>
    <row r="70">
      <c r="A70" s="80">
        <v>77.0</v>
      </c>
      <c r="B70" s="136" t="s">
        <v>230</v>
      </c>
      <c r="C70" s="136" t="s">
        <v>735</v>
      </c>
      <c r="D70" s="92" t="s">
        <v>232</v>
      </c>
      <c r="E70" s="39" t="s">
        <v>21</v>
      </c>
      <c r="F70" s="91" t="s">
        <v>20</v>
      </c>
      <c r="G70" s="79" t="s">
        <v>22</v>
      </c>
      <c r="H70" s="39"/>
      <c r="I70" s="92"/>
      <c r="J70" s="39"/>
      <c r="K70" s="39"/>
      <c r="L70" s="39"/>
      <c r="M70" s="39"/>
      <c r="N70" s="39"/>
      <c r="O70" s="39"/>
      <c r="P70" s="80"/>
      <c r="Q70" s="60"/>
    </row>
    <row r="71">
      <c r="A71" s="80">
        <v>78.0</v>
      </c>
      <c r="B71" s="136" t="s">
        <v>233</v>
      </c>
      <c r="C71" s="136" t="s">
        <v>736</v>
      </c>
      <c r="D71" s="92" t="s">
        <v>110</v>
      </c>
      <c r="E71" s="39" t="s">
        <v>21</v>
      </c>
      <c r="F71" s="91" t="s">
        <v>31</v>
      </c>
      <c r="G71" s="79" t="s">
        <v>22</v>
      </c>
      <c r="H71" s="39"/>
      <c r="I71" s="92"/>
      <c r="J71" s="39"/>
      <c r="K71" s="39"/>
      <c r="L71" s="39"/>
      <c r="M71" s="39"/>
      <c r="N71" s="39"/>
      <c r="O71" s="39"/>
      <c r="P71" s="80"/>
      <c r="Q71" s="60"/>
    </row>
    <row r="72">
      <c r="A72" s="80">
        <v>79.0</v>
      </c>
      <c r="B72" s="136" t="s">
        <v>236</v>
      </c>
      <c r="C72" s="136" t="s">
        <v>715</v>
      </c>
      <c r="D72" s="92" t="s">
        <v>25</v>
      </c>
      <c r="E72" s="39" t="s">
        <v>21</v>
      </c>
      <c r="F72" s="91" t="s">
        <v>20</v>
      </c>
      <c r="G72" s="79" t="s">
        <v>22</v>
      </c>
      <c r="H72" s="39"/>
      <c r="I72" s="92"/>
      <c r="J72" s="39"/>
      <c r="K72" s="39"/>
      <c r="L72" s="39"/>
      <c r="M72" s="39"/>
      <c r="N72" s="39"/>
      <c r="O72" s="39"/>
      <c r="P72" s="80"/>
      <c r="Q72" s="60"/>
    </row>
    <row r="73">
      <c r="A73" s="80">
        <v>80.0</v>
      </c>
      <c r="B73" s="136" t="s">
        <v>237</v>
      </c>
      <c r="C73" s="136" t="s">
        <v>673</v>
      </c>
      <c r="D73" s="92" t="s">
        <v>238</v>
      </c>
      <c r="E73" s="39" t="s">
        <v>31</v>
      </c>
      <c r="F73" s="91" t="s">
        <v>21</v>
      </c>
      <c r="G73" s="79"/>
      <c r="H73" s="39" t="s">
        <v>22</v>
      </c>
      <c r="I73" s="92"/>
      <c r="J73" s="39"/>
      <c r="K73" s="39"/>
      <c r="L73" s="39"/>
      <c r="M73" s="39"/>
      <c r="N73" s="39"/>
      <c r="O73" s="39"/>
      <c r="P73" s="80"/>
      <c r="Q73" s="60"/>
    </row>
    <row r="74">
      <c r="A74" s="80">
        <v>81.0</v>
      </c>
      <c r="B74" s="136" t="s">
        <v>240</v>
      </c>
      <c r="C74" s="136" t="s">
        <v>737</v>
      </c>
      <c r="D74" s="92" t="s">
        <v>242</v>
      </c>
      <c r="E74" s="39" t="s">
        <v>20</v>
      </c>
      <c r="F74" s="91" t="s">
        <v>21</v>
      </c>
      <c r="G74" s="79"/>
      <c r="H74" s="39" t="s">
        <v>22</v>
      </c>
      <c r="I74" s="92"/>
      <c r="J74" s="39"/>
      <c r="K74" s="39"/>
      <c r="L74" s="39"/>
      <c r="M74" s="39"/>
      <c r="N74" s="39"/>
      <c r="O74" s="39"/>
      <c r="P74" s="80"/>
      <c r="Q74" s="60"/>
    </row>
    <row r="75">
      <c r="A75" s="80">
        <v>82.0</v>
      </c>
      <c r="B75" s="136" t="s">
        <v>244</v>
      </c>
      <c r="C75" s="136" t="s">
        <v>738</v>
      </c>
      <c r="D75" s="92" t="s">
        <v>246</v>
      </c>
      <c r="E75" s="39" t="s">
        <v>20</v>
      </c>
      <c r="F75" s="91" t="s">
        <v>21</v>
      </c>
      <c r="G75" s="79"/>
      <c r="H75" s="39" t="s">
        <v>22</v>
      </c>
      <c r="I75" s="92"/>
      <c r="J75" s="39"/>
      <c r="K75" s="39"/>
      <c r="L75" s="39"/>
      <c r="M75" s="39"/>
      <c r="N75" s="39"/>
      <c r="O75" s="39"/>
      <c r="P75" s="80"/>
      <c r="Q75" s="60"/>
    </row>
    <row r="76">
      <c r="A76" s="80">
        <v>83.0</v>
      </c>
      <c r="B76" s="136" t="s">
        <v>248</v>
      </c>
      <c r="C76" s="136" t="s">
        <v>739</v>
      </c>
      <c r="D76" s="92" t="s">
        <v>250</v>
      </c>
      <c r="E76" s="39" t="s">
        <v>20</v>
      </c>
      <c r="F76" s="91" t="s">
        <v>21</v>
      </c>
      <c r="G76" s="79" t="s">
        <v>22</v>
      </c>
      <c r="H76" s="39"/>
      <c r="I76" s="92"/>
      <c r="J76" s="39"/>
      <c r="K76" s="39" t="s">
        <v>22</v>
      </c>
      <c r="L76" s="39"/>
      <c r="M76" s="39"/>
      <c r="N76" s="39"/>
      <c r="O76" s="39"/>
      <c r="P76" s="80"/>
      <c r="Q76" s="60"/>
    </row>
    <row r="77">
      <c r="A77" s="80">
        <v>86.0</v>
      </c>
      <c r="B77" s="136" t="s">
        <v>252</v>
      </c>
      <c r="C77" s="136" t="s">
        <v>740</v>
      </c>
      <c r="D77" s="92" t="s">
        <v>254</v>
      </c>
      <c r="E77" s="39" t="s">
        <v>20</v>
      </c>
      <c r="F77" s="91" t="s">
        <v>21</v>
      </c>
      <c r="G77" s="79"/>
      <c r="H77" s="39" t="s">
        <v>22</v>
      </c>
      <c r="I77" s="92"/>
      <c r="J77" s="39"/>
      <c r="K77" s="39"/>
      <c r="L77" s="39"/>
      <c r="M77" s="39"/>
      <c r="N77" s="39"/>
      <c r="O77" s="39"/>
      <c r="P77" s="80"/>
      <c r="Q77" s="60"/>
    </row>
    <row r="78">
      <c r="A78" s="80">
        <v>89.0</v>
      </c>
      <c r="B78" s="136" t="s">
        <v>256</v>
      </c>
      <c r="C78" s="136" t="s">
        <v>688</v>
      </c>
      <c r="D78" s="92" t="s">
        <v>220</v>
      </c>
      <c r="E78" s="39" t="s">
        <v>31</v>
      </c>
      <c r="F78" s="91" t="s">
        <v>21</v>
      </c>
      <c r="G78" s="79"/>
      <c r="H78" s="39" t="s">
        <v>22</v>
      </c>
      <c r="I78" s="92"/>
      <c r="J78" s="39"/>
      <c r="K78" s="39"/>
      <c r="L78" s="39"/>
      <c r="M78" s="39"/>
      <c r="N78" s="39"/>
      <c r="O78" s="39"/>
      <c r="P78" s="80"/>
      <c r="Q78" s="60"/>
    </row>
    <row r="79">
      <c r="A79" s="80">
        <v>90.0</v>
      </c>
      <c r="B79" s="136" t="s">
        <v>257</v>
      </c>
      <c r="C79" s="136" t="s">
        <v>741</v>
      </c>
      <c r="D79" s="92" t="s">
        <v>259</v>
      </c>
      <c r="E79" s="39" t="s">
        <v>20</v>
      </c>
      <c r="F79" s="91" t="s">
        <v>26</v>
      </c>
      <c r="G79" s="79"/>
      <c r="H79" s="39" t="s">
        <v>22</v>
      </c>
      <c r="I79" s="92"/>
      <c r="J79" s="39"/>
      <c r="K79" s="39"/>
      <c r="L79" s="39"/>
      <c r="M79" s="39"/>
      <c r="N79" s="39"/>
      <c r="O79" s="39"/>
      <c r="P79" s="80" t="s">
        <v>12</v>
      </c>
      <c r="Q79" s="60"/>
    </row>
    <row r="80">
      <c r="A80" s="80">
        <v>91.0</v>
      </c>
      <c r="B80" s="136" t="s">
        <v>261</v>
      </c>
      <c r="C80" s="136" t="s">
        <v>742</v>
      </c>
      <c r="D80" s="92" t="s">
        <v>250</v>
      </c>
      <c r="E80" s="39" t="s">
        <v>20</v>
      </c>
      <c r="F80" s="91" t="s">
        <v>21</v>
      </c>
      <c r="G80" s="79"/>
      <c r="H80" s="39" t="s">
        <v>22</v>
      </c>
      <c r="I80" s="92"/>
      <c r="J80" s="39"/>
      <c r="K80" s="39"/>
      <c r="L80" s="39"/>
      <c r="M80" s="39"/>
      <c r="N80" s="39"/>
      <c r="O80" s="39"/>
      <c r="P80" s="80"/>
      <c r="Q80" s="60"/>
    </row>
    <row r="81">
      <c r="A81" s="80">
        <v>92.0</v>
      </c>
      <c r="B81" s="136" t="s">
        <v>264</v>
      </c>
      <c r="C81" s="136" t="s">
        <v>743</v>
      </c>
      <c r="D81" s="92" t="s">
        <v>266</v>
      </c>
      <c r="E81" s="39" t="s">
        <v>20</v>
      </c>
      <c r="F81" s="91" t="s">
        <v>31</v>
      </c>
      <c r="G81" s="79"/>
      <c r="H81" s="39"/>
      <c r="I81" s="92" t="s">
        <v>22</v>
      </c>
      <c r="J81" s="39"/>
      <c r="K81" s="39"/>
      <c r="L81" s="39"/>
      <c r="M81" s="39"/>
      <c r="N81" s="39"/>
      <c r="O81" s="39"/>
      <c r="P81" s="80"/>
      <c r="Q81" s="60"/>
    </row>
    <row r="82">
      <c r="A82" s="80">
        <v>94.0</v>
      </c>
      <c r="B82" s="136" t="s">
        <v>268</v>
      </c>
      <c r="C82" s="136" t="s">
        <v>744</v>
      </c>
      <c r="D82" s="92" t="s">
        <v>270</v>
      </c>
      <c r="E82" s="39" t="s">
        <v>20</v>
      </c>
      <c r="F82" s="91" t="s">
        <v>21</v>
      </c>
      <c r="G82" s="79" t="s">
        <v>22</v>
      </c>
      <c r="H82" s="39"/>
      <c r="I82" s="92"/>
      <c r="J82" s="39"/>
      <c r="K82" s="39" t="s">
        <v>22</v>
      </c>
      <c r="L82" s="39"/>
      <c r="M82" s="39"/>
      <c r="N82" s="39"/>
      <c r="O82" s="39"/>
      <c r="P82" s="80"/>
      <c r="Q82" s="60"/>
    </row>
    <row r="83">
      <c r="A83" s="80">
        <v>95.0</v>
      </c>
      <c r="B83" s="136" t="s">
        <v>271</v>
      </c>
      <c r="C83" s="136" t="s">
        <v>726</v>
      </c>
      <c r="D83" s="92" t="s">
        <v>272</v>
      </c>
      <c r="E83" s="39" t="s">
        <v>31</v>
      </c>
      <c r="F83" s="91" t="s">
        <v>21</v>
      </c>
      <c r="G83" s="79"/>
      <c r="H83" s="39" t="s">
        <v>22</v>
      </c>
      <c r="I83" s="92"/>
      <c r="J83" s="39"/>
      <c r="K83" s="39"/>
      <c r="L83" s="39"/>
      <c r="M83" s="39"/>
      <c r="N83" s="39"/>
      <c r="O83" s="39"/>
      <c r="P83" s="80"/>
      <c r="Q83" s="60"/>
    </row>
    <row r="84">
      <c r="A84" s="80">
        <v>96.0</v>
      </c>
      <c r="B84" s="137" t="s">
        <v>273</v>
      </c>
      <c r="C84" s="136" t="s">
        <v>745</v>
      </c>
      <c r="D84" s="92" t="s">
        <v>275</v>
      </c>
      <c r="E84" s="39" t="s">
        <v>21</v>
      </c>
      <c r="F84" s="91" t="s">
        <v>20</v>
      </c>
      <c r="G84" s="79" t="s">
        <v>22</v>
      </c>
      <c r="H84" s="39"/>
      <c r="I84" s="92"/>
      <c r="J84" s="39"/>
      <c r="K84" s="39"/>
      <c r="L84" s="39"/>
      <c r="M84" s="39"/>
      <c r="N84" s="39"/>
      <c r="O84" s="39"/>
      <c r="P84" s="80"/>
      <c r="Q84" s="60"/>
    </row>
    <row r="85">
      <c r="A85" s="80">
        <v>98.0</v>
      </c>
      <c r="B85" s="136" t="s">
        <v>277</v>
      </c>
      <c r="C85" s="136" t="s">
        <v>746</v>
      </c>
      <c r="D85" s="92" t="s">
        <v>279</v>
      </c>
      <c r="E85" s="39" t="s">
        <v>21</v>
      </c>
      <c r="F85" s="91" t="s">
        <v>20</v>
      </c>
      <c r="G85" s="79" t="s">
        <v>22</v>
      </c>
      <c r="H85" s="39"/>
      <c r="I85" s="92"/>
      <c r="J85" s="39"/>
      <c r="K85" s="39"/>
      <c r="L85" s="39"/>
      <c r="M85" s="39"/>
      <c r="N85" s="39"/>
      <c r="O85" s="39"/>
      <c r="P85" s="80"/>
      <c r="Q85" s="60"/>
    </row>
    <row r="86">
      <c r="A86" s="80">
        <v>99.0</v>
      </c>
      <c r="B86" s="136" t="s">
        <v>281</v>
      </c>
      <c r="C86" s="136" t="s">
        <v>747</v>
      </c>
      <c r="D86" s="92" t="s">
        <v>57</v>
      </c>
      <c r="E86" s="39" t="s">
        <v>31</v>
      </c>
      <c r="F86" s="91" t="s">
        <v>21</v>
      </c>
      <c r="G86" s="79"/>
      <c r="H86" s="39" t="s">
        <v>22</v>
      </c>
      <c r="I86" s="92"/>
      <c r="J86" s="39"/>
      <c r="K86" s="39"/>
      <c r="L86" s="39"/>
      <c r="M86" s="39"/>
      <c r="N86" s="39"/>
      <c r="O86" s="39"/>
      <c r="P86" s="80"/>
      <c r="Q86" s="60"/>
    </row>
    <row r="87">
      <c r="A87" s="138">
        <v>100.0</v>
      </c>
      <c r="B87" s="136" t="s">
        <v>283</v>
      </c>
      <c r="C87" s="136" t="s">
        <v>748</v>
      </c>
      <c r="D87" s="92" t="s">
        <v>285</v>
      </c>
      <c r="E87" s="39" t="s">
        <v>21</v>
      </c>
      <c r="F87" s="91" t="s">
        <v>20</v>
      </c>
      <c r="G87" s="79" t="s">
        <v>22</v>
      </c>
      <c r="H87" s="39"/>
      <c r="I87" s="92"/>
      <c r="J87" s="39"/>
      <c r="K87" s="39"/>
      <c r="L87" s="39"/>
      <c r="M87" s="39"/>
      <c r="N87" s="39"/>
      <c r="O87" s="39"/>
      <c r="P87" s="80"/>
      <c r="Q87" s="60"/>
    </row>
    <row r="88">
      <c r="A88" s="80">
        <v>101.0</v>
      </c>
      <c r="B88" s="125" t="s">
        <v>286</v>
      </c>
      <c r="C88" s="125" t="s">
        <v>749</v>
      </c>
      <c r="D88" s="80" t="s">
        <v>38</v>
      </c>
      <c r="E88" s="39" t="s">
        <v>31</v>
      </c>
      <c r="F88" s="91" t="s">
        <v>21</v>
      </c>
      <c r="G88" s="79" t="s">
        <v>22</v>
      </c>
      <c r="H88" s="39"/>
      <c r="I88" s="92"/>
      <c r="J88" s="39"/>
      <c r="K88" s="39"/>
      <c r="L88" s="39"/>
      <c r="M88" s="39"/>
      <c r="N88" s="39"/>
      <c r="O88" s="39"/>
      <c r="P88" s="80" t="s">
        <v>1011</v>
      </c>
      <c r="Q88" s="60"/>
    </row>
    <row r="89">
      <c r="A89" s="80">
        <v>102.0</v>
      </c>
      <c r="B89" s="125" t="s">
        <v>288</v>
      </c>
      <c r="C89" s="125" t="s">
        <v>750</v>
      </c>
      <c r="D89" s="80" t="s">
        <v>290</v>
      </c>
      <c r="E89" s="39" t="s">
        <v>20</v>
      </c>
      <c r="F89" s="91" t="s">
        <v>21</v>
      </c>
      <c r="G89" s="79" t="s">
        <v>22</v>
      </c>
      <c r="H89" s="39"/>
      <c r="I89" s="92"/>
      <c r="J89" s="39"/>
      <c r="K89" s="39" t="s">
        <v>22</v>
      </c>
      <c r="L89" s="39"/>
      <c r="M89" s="39"/>
      <c r="N89" s="39"/>
      <c r="O89" s="39"/>
      <c r="P89" s="80"/>
      <c r="Q89" s="60"/>
    </row>
    <row r="90">
      <c r="A90" s="80">
        <v>103.0</v>
      </c>
      <c r="B90" s="125" t="s">
        <v>292</v>
      </c>
      <c r="C90" s="125" t="s">
        <v>752</v>
      </c>
      <c r="D90" s="80" t="s">
        <v>294</v>
      </c>
      <c r="E90" s="39" t="s">
        <v>21</v>
      </c>
      <c r="F90" s="91" t="s">
        <v>31</v>
      </c>
      <c r="G90" s="79"/>
      <c r="H90" s="39" t="s">
        <v>22</v>
      </c>
      <c r="I90" s="92"/>
      <c r="J90" s="39"/>
      <c r="K90" s="39"/>
      <c r="L90" s="39"/>
      <c r="M90" s="39"/>
      <c r="N90" s="39"/>
      <c r="O90" s="39"/>
      <c r="P90" s="80" t="s">
        <v>1010</v>
      </c>
      <c r="Q90" s="60"/>
    </row>
    <row r="91">
      <c r="A91" s="80">
        <v>104.0</v>
      </c>
      <c r="B91" s="125" t="s">
        <v>296</v>
      </c>
      <c r="C91" s="125" t="s">
        <v>753</v>
      </c>
      <c r="D91" s="80" t="s">
        <v>298</v>
      </c>
      <c r="E91" s="39" t="s">
        <v>20</v>
      </c>
      <c r="F91" s="91" t="s">
        <v>21</v>
      </c>
      <c r="G91" s="79"/>
      <c r="H91" s="39" t="s">
        <v>22</v>
      </c>
      <c r="I91" s="92"/>
      <c r="J91" s="39"/>
      <c r="K91" s="39"/>
      <c r="L91" s="39"/>
      <c r="M91" s="39"/>
      <c r="N91" s="39"/>
      <c r="O91" s="39"/>
      <c r="P91" s="80"/>
      <c r="Q91" s="60"/>
    </row>
    <row r="92">
      <c r="A92" s="80">
        <v>105.0</v>
      </c>
      <c r="B92" s="125" t="s">
        <v>300</v>
      </c>
      <c r="C92" s="125" t="s">
        <v>754</v>
      </c>
      <c r="D92" s="80" t="s">
        <v>302</v>
      </c>
      <c r="E92" s="39" t="s">
        <v>20</v>
      </c>
      <c r="F92" s="91" t="s">
        <v>21</v>
      </c>
      <c r="G92" s="79"/>
      <c r="H92" s="39" t="s">
        <v>22</v>
      </c>
      <c r="I92" s="92"/>
      <c r="J92" s="39"/>
      <c r="K92" s="39"/>
      <c r="L92" s="39"/>
      <c r="M92" s="39"/>
      <c r="N92" s="39"/>
      <c r="O92" s="39"/>
      <c r="P92" s="80"/>
      <c r="Q92" s="60"/>
    </row>
    <row r="93">
      <c r="A93" s="80">
        <v>106.0</v>
      </c>
      <c r="B93" s="125" t="s">
        <v>304</v>
      </c>
      <c r="C93" s="125" t="s">
        <v>755</v>
      </c>
      <c r="D93" s="80" t="s">
        <v>25</v>
      </c>
      <c r="E93" s="39" t="s">
        <v>26</v>
      </c>
      <c r="F93" s="91" t="s">
        <v>20</v>
      </c>
      <c r="G93" s="79" t="s">
        <v>22</v>
      </c>
      <c r="H93" s="39"/>
      <c r="I93" s="92"/>
      <c r="J93" s="39" t="s">
        <v>22</v>
      </c>
      <c r="K93" s="39"/>
      <c r="L93" s="39"/>
      <c r="M93" s="39"/>
      <c r="N93" s="39"/>
      <c r="O93" s="39"/>
      <c r="P93" s="80"/>
      <c r="Q93" s="60"/>
    </row>
    <row r="94">
      <c r="A94" s="80">
        <v>107.0</v>
      </c>
      <c r="B94" s="125" t="s">
        <v>307</v>
      </c>
      <c r="C94" s="125" t="s">
        <v>756</v>
      </c>
      <c r="D94" s="80" t="s">
        <v>309</v>
      </c>
      <c r="E94" s="39" t="s">
        <v>20</v>
      </c>
      <c r="F94" s="91" t="s">
        <v>21</v>
      </c>
      <c r="G94" s="79"/>
      <c r="H94" s="39" t="s">
        <v>22</v>
      </c>
      <c r="I94" s="92"/>
      <c r="J94" s="39"/>
      <c r="K94" s="39"/>
      <c r="L94" s="39"/>
      <c r="M94" s="39"/>
      <c r="N94" s="39"/>
      <c r="O94" s="39"/>
      <c r="P94" s="80"/>
      <c r="Q94" s="60"/>
    </row>
    <row r="95">
      <c r="A95" s="80">
        <v>110.0</v>
      </c>
      <c r="B95" s="125" t="s">
        <v>310</v>
      </c>
      <c r="C95" s="125" t="s">
        <v>757</v>
      </c>
      <c r="D95" s="80" t="s">
        <v>312</v>
      </c>
      <c r="E95" s="39" t="s">
        <v>21</v>
      </c>
      <c r="F95" s="91" t="s">
        <v>20</v>
      </c>
      <c r="G95" s="79" t="s">
        <v>22</v>
      </c>
      <c r="H95" s="39"/>
      <c r="I95" s="92"/>
      <c r="J95" s="39"/>
      <c r="K95" s="39"/>
      <c r="L95" s="39"/>
      <c r="M95" s="39"/>
      <c r="N95" s="39"/>
      <c r="O95" s="39"/>
      <c r="P95" s="80"/>
      <c r="Q95" s="60"/>
    </row>
    <row r="96">
      <c r="A96" s="80">
        <v>111.0</v>
      </c>
      <c r="B96" s="130" t="s">
        <v>314</v>
      </c>
      <c r="C96" s="125" t="s">
        <v>758</v>
      </c>
      <c r="D96" s="80" t="s">
        <v>316</v>
      </c>
      <c r="E96" s="39" t="s">
        <v>20</v>
      </c>
      <c r="F96" s="91" t="s">
        <v>21</v>
      </c>
      <c r="G96" s="79" t="s">
        <v>22</v>
      </c>
      <c r="H96" s="39"/>
      <c r="I96" s="92"/>
      <c r="J96" s="39" t="s">
        <v>22</v>
      </c>
      <c r="K96" s="39"/>
      <c r="L96" s="39"/>
      <c r="M96" s="39"/>
      <c r="N96" s="39"/>
      <c r="O96" s="39"/>
      <c r="P96" s="80"/>
      <c r="Q96" s="60"/>
    </row>
    <row r="97">
      <c r="A97" s="80">
        <v>112.0</v>
      </c>
      <c r="B97" s="130" t="s">
        <v>317</v>
      </c>
      <c r="C97" s="125" t="s">
        <v>756</v>
      </c>
      <c r="D97" s="80" t="s">
        <v>216</v>
      </c>
      <c r="E97" s="39" t="s">
        <v>26</v>
      </c>
      <c r="F97" s="91" t="s">
        <v>20</v>
      </c>
      <c r="G97" s="79" t="s">
        <v>22</v>
      </c>
      <c r="H97" s="39"/>
      <c r="I97" s="92"/>
      <c r="J97" s="39" t="s">
        <v>22</v>
      </c>
      <c r="K97" s="39"/>
      <c r="L97" s="39"/>
      <c r="M97" s="39"/>
      <c r="N97" s="39"/>
      <c r="O97" s="39"/>
      <c r="P97" s="80"/>
      <c r="Q97" s="60"/>
    </row>
    <row r="98">
      <c r="A98" s="80">
        <v>113.0</v>
      </c>
      <c r="B98" s="125" t="s">
        <v>318</v>
      </c>
      <c r="C98" s="125" t="s">
        <v>759</v>
      </c>
      <c r="D98" s="80" t="s">
        <v>95</v>
      </c>
      <c r="E98" s="39" t="s">
        <v>21</v>
      </c>
      <c r="F98" s="91" t="s">
        <v>20</v>
      </c>
      <c r="G98" s="79" t="s">
        <v>22</v>
      </c>
      <c r="H98" s="39"/>
      <c r="I98" s="92"/>
      <c r="J98" s="39"/>
      <c r="K98" s="39"/>
      <c r="L98" s="39"/>
      <c r="M98" s="39"/>
      <c r="N98" s="39"/>
      <c r="O98" s="39"/>
      <c r="P98" s="80"/>
      <c r="Q98" s="60"/>
    </row>
    <row r="99">
      <c r="A99" s="80">
        <v>114.0</v>
      </c>
      <c r="B99" s="125" t="s">
        <v>321</v>
      </c>
      <c r="C99" s="125" t="s">
        <v>760</v>
      </c>
      <c r="D99" s="80" t="s">
        <v>323</v>
      </c>
      <c r="E99" s="39" t="s">
        <v>26</v>
      </c>
      <c r="F99" s="91" t="s">
        <v>20</v>
      </c>
      <c r="G99" s="79" t="s">
        <v>22</v>
      </c>
      <c r="H99" s="39"/>
      <c r="I99" s="92"/>
      <c r="J99" s="39"/>
      <c r="K99" s="39"/>
      <c r="L99" s="39"/>
      <c r="M99" s="39"/>
      <c r="N99" s="39"/>
      <c r="O99" s="39"/>
      <c r="P99" s="80" t="s">
        <v>1011</v>
      </c>
      <c r="Q99" s="60"/>
    </row>
    <row r="100">
      <c r="A100" s="93">
        <v>115.0</v>
      </c>
      <c r="B100" s="125" t="s">
        <v>325</v>
      </c>
      <c r="C100" s="125" t="s">
        <v>762</v>
      </c>
      <c r="D100" s="80" t="s">
        <v>327</v>
      </c>
      <c r="E100" s="39" t="s">
        <v>26</v>
      </c>
      <c r="F100" s="91" t="s">
        <v>21</v>
      </c>
      <c r="G100" s="79"/>
      <c r="H100" s="39" t="s">
        <v>22</v>
      </c>
      <c r="I100" s="92"/>
      <c r="J100" s="39"/>
      <c r="K100" s="39"/>
      <c r="L100" s="39"/>
      <c r="M100" s="39"/>
      <c r="N100" s="39"/>
      <c r="O100" s="39"/>
      <c r="P100" s="80"/>
      <c r="Q100" s="60"/>
    </row>
    <row r="101">
      <c r="A101" s="93">
        <v>116.0</v>
      </c>
      <c r="B101" s="125" t="s">
        <v>329</v>
      </c>
      <c r="C101" s="125" t="s">
        <v>763</v>
      </c>
      <c r="D101" s="80" t="s">
        <v>331</v>
      </c>
      <c r="E101" s="39" t="s">
        <v>26</v>
      </c>
      <c r="F101" s="91" t="s">
        <v>21</v>
      </c>
      <c r="G101" s="79"/>
      <c r="H101" s="39" t="s">
        <v>22</v>
      </c>
      <c r="I101" s="92"/>
      <c r="J101" s="39"/>
      <c r="K101" s="39"/>
      <c r="L101" s="39"/>
      <c r="M101" s="39"/>
      <c r="N101" s="39"/>
      <c r="O101" s="39"/>
      <c r="P101" s="80"/>
      <c r="Q101" s="60"/>
    </row>
    <row r="102">
      <c r="A102" s="93">
        <v>117.0</v>
      </c>
      <c r="B102" s="125" t="s">
        <v>333</v>
      </c>
      <c r="C102" s="125" t="s">
        <v>764</v>
      </c>
      <c r="D102" s="80" t="s">
        <v>110</v>
      </c>
      <c r="E102" s="39" t="s">
        <v>26</v>
      </c>
      <c r="F102" s="91" t="s">
        <v>20</v>
      </c>
      <c r="G102" s="79" t="s">
        <v>22</v>
      </c>
      <c r="H102" s="39"/>
      <c r="I102" s="92"/>
      <c r="J102" s="39"/>
      <c r="K102" s="39" t="s">
        <v>22</v>
      </c>
      <c r="L102" s="39"/>
      <c r="M102" s="39"/>
      <c r="N102" s="39"/>
      <c r="O102" s="39"/>
      <c r="P102" s="80"/>
      <c r="Q102" s="60"/>
    </row>
    <row r="103">
      <c r="A103" s="94">
        <v>118.0</v>
      </c>
      <c r="B103" s="131" t="s">
        <v>336</v>
      </c>
      <c r="C103" s="131" t="s">
        <v>765</v>
      </c>
      <c r="D103" s="109" t="s">
        <v>338</v>
      </c>
      <c r="E103" s="85" t="s">
        <v>26</v>
      </c>
      <c r="F103" s="115" t="s">
        <v>21</v>
      </c>
      <c r="G103" s="134" t="s">
        <v>22</v>
      </c>
      <c r="H103" s="68"/>
      <c r="I103" s="87"/>
      <c r="J103" s="68"/>
      <c r="K103" s="68"/>
      <c r="L103" s="68"/>
      <c r="M103" s="68"/>
      <c r="N103" s="68"/>
      <c r="O103" s="68"/>
      <c r="P103" s="87"/>
      <c r="Q103" s="60"/>
    </row>
    <row r="104">
      <c r="A104" s="39"/>
      <c r="B104" s="39"/>
      <c r="C104" s="39"/>
      <c r="D104" s="39"/>
      <c r="E104" s="39"/>
      <c r="F104" s="125"/>
      <c r="G104" s="97">
        <f t="shared" ref="G104:O104" si="1">COUNTIF(G4:G103,"x")</f>
        <v>50</v>
      </c>
      <c r="H104" s="97">
        <f t="shared" si="1"/>
        <v>47</v>
      </c>
      <c r="I104" s="97">
        <f t="shared" si="1"/>
        <v>3</v>
      </c>
      <c r="J104" s="39">
        <f t="shared" si="1"/>
        <v>8</v>
      </c>
      <c r="K104" s="39">
        <f t="shared" si="1"/>
        <v>9</v>
      </c>
      <c r="L104" s="97">
        <f t="shared" si="1"/>
        <v>1</v>
      </c>
      <c r="M104" s="39">
        <f t="shared" si="1"/>
        <v>0</v>
      </c>
      <c r="N104" s="39">
        <f t="shared" si="1"/>
        <v>6</v>
      </c>
      <c r="O104" s="39">
        <f t="shared" si="1"/>
        <v>4</v>
      </c>
      <c r="P104" s="39"/>
    </row>
    <row r="105">
      <c r="F105" s="139"/>
    </row>
    <row r="106">
      <c r="F106" s="139"/>
    </row>
    <row r="107">
      <c r="F107" s="139"/>
    </row>
    <row r="108">
      <c r="F108" s="139"/>
    </row>
    <row r="109">
      <c r="F109" s="139"/>
    </row>
    <row r="110">
      <c r="F110" s="139"/>
    </row>
    <row r="111">
      <c r="F111" s="139"/>
    </row>
    <row r="112">
      <c r="F112" s="139"/>
    </row>
    <row r="113">
      <c r="F113" s="139"/>
    </row>
    <row r="114">
      <c r="F114" s="139"/>
    </row>
    <row r="115">
      <c r="F115" s="139"/>
    </row>
    <row r="116">
      <c r="F116" s="139"/>
    </row>
    <row r="117">
      <c r="F117" s="139"/>
    </row>
    <row r="118">
      <c r="F118" s="139"/>
    </row>
    <row r="119">
      <c r="F119" s="139"/>
    </row>
    <row r="120">
      <c r="F120" s="139"/>
    </row>
    <row r="121">
      <c r="F121" s="139"/>
    </row>
    <row r="122">
      <c r="F122" s="139"/>
    </row>
    <row r="123">
      <c r="F123" s="139"/>
    </row>
    <row r="124">
      <c r="F124" s="139"/>
    </row>
    <row r="125">
      <c r="F125" s="139"/>
    </row>
    <row r="126">
      <c r="F126" s="139"/>
    </row>
    <row r="127">
      <c r="F127" s="139"/>
    </row>
    <row r="128">
      <c r="F128" s="139"/>
    </row>
    <row r="129">
      <c r="F129" s="139"/>
    </row>
    <row r="130">
      <c r="F130" s="139"/>
    </row>
    <row r="131">
      <c r="F131" s="139"/>
    </row>
    <row r="132">
      <c r="F132" s="139"/>
    </row>
    <row r="133">
      <c r="F133" s="139"/>
    </row>
    <row r="134">
      <c r="F134" s="139"/>
    </row>
    <row r="135">
      <c r="F135" s="139"/>
    </row>
    <row r="136">
      <c r="F136" s="139"/>
    </row>
    <row r="137">
      <c r="F137" s="139"/>
    </row>
    <row r="138">
      <c r="F138" s="139"/>
    </row>
    <row r="139">
      <c r="F139" s="139"/>
    </row>
    <row r="140">
      <c r="F140" s="139"/>
    </row>
    <row r="141">
      <c r="F141" s="139"/>
    </row>
    <row r="142">
      <c r="F142" s="139"/>
    </row>
    <row r="143">
      <c r="F143" s="139"/>
    </row>
    <row r="144">
      <c r="F144" s="139"/>
    </row>
    <row r="145">
      <c r="F145" s="139"/>
    </row>
    <row r="146">
      <c r="F146" s="139"/>
    </row>
    <row r="147">
      <c r="F147" s="139"/>
    </row>
    <row r="148">
      <c r="F148" s="139"/>
    </row>
    <row r="149">
      <c r="F149" s="139"/>
    </row>
    <row r="150">
      <c r="F150" s="139"/>
    </row>
    <row r="151">
      <c r="F151" s="139"/>
    </row>
    <row r="152">
      <c r="F152" s="139"/>
    </row>
    <row r="153">
      <c r="F153" s="139"/>
    </row>
    <row r="154">
      <c r="F154" s="139"/>
    </row>
    <row r="155">
      <c r="F155" s="139"/>
    </row>
    <row r="156">
      <c r="F156" s="139"/>
    </row>
    <row r="157">
      <c r="F157" s="139"/>
    </row>
    <row r="158">
      <c r="F158" s="139"/>
    </row>
    <row r="159">
      <c r="F159" s="139"/>
    </row>
    <row r="160">
      <c r="F160" s="139"/>
    </row>
    <row r="161">
      <c r="F161" s="139"/>
    </row>
    <row r="162">
      <c r="F162" s="139"/>
    </row>
    <row r="163">
      <c r="F163" s="139"/>
    </row>
    <row r="164">
      <c r="F164" s="139"/>
    </row>
    <row r="165">
      <c r="F165" s="139"/>
    </row>
    <row r="166">
      <c r="F166" s="139"/>
    </row>
    <row r="167">
      <c r="F167" s="139"/>
    </row>
    <row r="168">
      <c r="F168" s="139"/>
    </row>
    <row r="169">
      <c r="F169" s="139"/>
    </row>
    <row r="170">
      <c r="F170" s="139"/>
    </row>
    <row r="171">
      <c r="F171" s="139"/>
    </row>
    <row r="172">
      <c r="F172" s="139"/>
    </row>
    <row r="173">
      <c r="F173" s="139"/>
    </row>
    <row r="174">
      <c r="F174" s="139"/>
    </row>
    <row r="175">
      <c r="F175" s="139"/>
    </row>
    <row r="176">
      <c r="F176" s="139"/>
    </row>
    <row r="177">
      <c r="F177" s="139"/>
    </row>
    <row r="178">
      <c r="F178" s="139"/>
    </row>
    <row r="179">
      <c r="F179" s="139"/>
    </row>
    <row r="180">
      <c r="F180" s="139"/>
    </row>
    <row r="181">
      <c r="F181" s="139"/>
    </row>
    <row r="182">
      <c r="F182" s="139"/>
    </row>
    <row r="183">
      <c r="F183" s="139"/>
    </row>
    <row r="184">
      <c r="F184" s="139"/>
    </row>
    <row r="185">
      <c r="F185" s="139"/>
    </row>
    <row r="186">
      <c r="F186" s="139"/>
    </row>
    <row r="187">
      <c r="F187" s="139"/>
    </row>
    <row r="188">
      <c r="F188" s="139"/>
    </row>
    <row r="189">
      <c r="F189" s="139"/>
    </row>
    <row r="190">
      <c r="F190" s="139"/>
    </row>
    <row r="191">
      <c r="F191" s="139"/>
    </row>
    <row r="192">
      <c r="F192" s="139"/>
    </row>
    <row r="193">
      <c r="F193" s="139"/>
    </row>
    <row r="194">
      <c r="F194" s="139"/>
    </row>
    <row r="195">
      <c r="F195" s="139"/>
    </row>
    <row r="196">
      <c r="F196" s="139"/>
    </row>
    <row r="197">
      <c r="F197" s="139"/>
    </row>
    <row r="198">
      <c r="F198" s="139"/>
    </row>
    <row r="199">
      <c r="F199" s="139"/>
    </row>
    <row r="200">
      <c r="F200" s="139"/>
    </row>
    <row r="201">
      <c r="F201" s="139"/>
    </row>
    <row r="202">
      <c r="F202" s="139"/>
    </row>
    <row r="203">
      <c r="F203" s="139"/>
    </row>
    <row r="204">
      <c r="F204" s="139"/>
    </row>
    <row r="205">
      <c r="F205" s="139"/>
    </row>
    <row r="206">
      <c r="F206" s="139"/>
    </row>
    <row r="207">
      <c r="F207" s="139"/>
    </row>
    <row r="208">
      <c r="F208" s="139"/>
    </row>
    <row r="209">
      <c r="F209" s="139"/>
    </row>
    <row r="210">
      <c r="F210" s="139"/>
    </row>
    <row r="211">
      <c r="F211" s="139"/>
    </row>
    <row r="212">
      <c r="F212" s="139"/>
    </row>
    <row r="213">
      <c r="F213" s="139"/>
    </row>
    <row r="214">
      <c r="F214" s="139"/>
    </row>
    <row r="215">
      <c r="F215" s="139"/>
    </row>
    <row r="216">
      <c r="F216" s="139"/>
    </row>
    <row r="217">
      <c r="F217" s="139"/>
    </row>
    <row r="218">
      <c r="F218" s="139"/>
    </row>
    <row r="219">
      <c r="F219" s="139"/>
    </row>
    <row r="220">
      <c r="F220" s="139"/>
    </row>
    <row r="221">
      <c r="F221" s="139"/>
    </row>
    <row r="222">
      <c r="F222" s="139"/>
    </row>
    <row r="223">
      <c r="F223" s="139"/>
    </row>
    <row r="224">
      <c r="F224" s="139"/>
    </row>
    <row r="225">
      <c r="F225" s="139"/>
    </row>
    <row r="226">
      <c r="F226" s="139"/>
    </row>
    <row r="227">
      <c r="F227" s="139"/>
    </row>
    <row r="228">
      <c r="F228" s="139"/>
    </row>
    <row r="229">
      <c r="F229" s="139"/>
    </row>
    <row r="230">
      <c r="F230" s="139"/>
    </row>
    <row r="231">
      <c r="F231" s="139"/>
    </row>
    <row r="232">
      <c r="F232" s="139"/>
    </row>
    <row r="233">
      <c r="F233" s="139"/>
    </row>
    <row r="234">
      <c r="F234" s="139"/>
    </row>
    <row r="235">
      <c r="F235" s="139"/>
    </row>
    <row r="236">
      <c r="F236" s="139"/>
    </row>
    <row r="237">
      <c r="F237" s="139"/>
    </row>
    <row r="238">
      <c r="F238" s="139"/>
    </row>
    <row r="239">
      <c r="F239" s="139"/>
    </row>
    <row r="240">
      <c r="F240" s="139"/>
    </row>
    <row r="241">
      <c r="F241" s="139"/>
    </row>
    <row r="242">
      <c r="F242" s="139"/>
    </row>
    <row r="243">
      <c r="F243" s="139"/>
    </row>
    <row r="244">
      <c r="F244" s="139"/>
    </row>
    <row r="245">
      <c r="F245" s="139"/>
    </row>
    <row r="246">
      <c r="F246" s="139"/>
    </row>
    <row r="247">
      <c r="F247" s="139"/>
    </row>
    <row r="248">
      <c r="F248" s="139"/>
    </row>
    <row r="249">
      <c r="F249" s="139"/>
    </row>
    <row r="250">
      <c r="F250" s="139"/>
    </row>
    <row r="251">
      <c r="F251" s="139"/>
    </row>
    <row r="252">
      <c r="F252" s="139"/>
    </row>
    <row r="253">
      <c r="F253" s="139"/>
    </row>
    <row r="254">
      <c r="F254" s="139"/>
    </row>
    <row r="255">
      <c r="F255" s="139"/>
    </row>
    <row r="256">
      <c r="F256" s="139"/>
    </row>
    <row r="257">
      <c r="F257" s="139"/>
    </row>
    <row r="258">
      <c r="F258" s="139"/>
    </row>
    <row r="259">
      <c r="F259" s="139"/>
    </row>
    <row r="260">
      <c r="F260" s="139"/>
    </row>
    <row r="261">
      <c r="F261" s="139"/>
    </row>
    <row r="262">
      <c r="F262" s="139"/>
    </row>
    <row r="263">
      <c r="F263" s="139"/>
    </row>
    <row r="264">
      <c r="F264" s="139"/>
    </row>
    <row r="265">
      <c r="F265" s="139"/>
    </row>
    <row r="266">
      <c r="F266" s="139"/>
    </row>
    <row r="267">
      <c r="F267" s="139"/>
    </row>
    <row r="268">
      <c r="F268" s="139"/>
    </row>
    <row r="269">
      <c r="F269" s="139"/>
    </row>
    <row r="270">
      <c r="F270" s="139"/>
    </row>
    <row r="271">
      <c r="F271" s="139"/>
    </row>
    <row r="272">
      <c r="F272" s="139"/>
    </row>
    <row r="273">
      <c r="F273" s="139"/>
    </row>
    <row r="274">
      <c r="F274" s="139"/>
    </row>
    <row r="275">
      <c r="F275" s="139"/>
    </row>
    <row r="276">
      <c r="F276" s="139"/>
    </row>
    <row r="277">
      <c r="F277" s="139"/>
    </row>
    <row r="278">
      <c r="F278" s="139"/>
    </row>
    <row r="279">
      <c r="F279" s="139"/>
    </row>
    <row r="280">
      <c r="F280" s="139"/>
    </row>
    <row r="281">
      <c r="F281" s="139"/>
    </row>
    <row r="282">
      <c r="F282" s="139"/>
    </row>
    <row r="283">
      <c r="F283" s="139"/>
    </row>
    <row r="284">
      <c r="F284" s="139"/>
    </row>
    <row r="285">
      <c r="F285" s="139"/>
    </row>
    <row r="286">
      <c r="F286" s="139"/>
    </row>
    <row r="287">
      <c r="F287" s="139"/>
    </row>
    <row r="288">
      <c r="F288" s="139"/>
    </row>
    <row r="289">
      <c r="F289" s="139"/>
    </row>
    <row r="290">
      <c r="F290" s="139"/>
    </row>
    <row r="291">
      <c r="F291" s="139"/>
    </row>
    <row r="292">
      <c r="F292" s="139"/>
    </row>
    <row r="293">
      <c r="F293" s="139"/>
    </row>
    <row r="294">
      <c r="F294" s="139"/>
    </row>
    <row r="295">
      <c r="F295" s="139"/>
    </row>
    <row r="296">
      <c r="F296" s="139"/>
    </row>
    <row r="297">
      <c r="F297" s="139"/>
    </row>
    <row r="298">
      <c r="F298" s="139"/>
    </row>
    <row r="299">
      <c r="F299" s="139"/>
    </row>
    <row r="300">
      <c r="F300" s="139"/>
    </row>
    <row r="301">
      <c r="F301" s="139"/>
    </row>
    <row r="302">
      <c r="F302" s="139"/>
    </row>
    <row r="303">
      <c r="F303" s="139"/>
    </row>
    <row r="304">
      <c r="F304" s="139"/>
    </row>
    <row r="305">
      <c r="F305" s="139"/>
    </row>
    <row r="306">
      <c r="F306" s="139"/>
    </row>
    <row r="307">
      <c r="F307" s="139"/>
    </row>
    <row r="308">
      <c r="F308" s="139"/>
    </row>
    <row r="309">
      <c r="F309" s="139"/>
    </row>
    <row r="310">
      <c r="F310" s="139"/>
    </row>
    <row r="311">
      <c r="F311" s="139"/>
    </row>
    <row r="312">
      <c r="F312" s="139"/>
    </row>
    <row r="313">
      <c r="F313" s="139"/>
    </row>
    <row r="314">
      <c r="F314" s="139"/>
    </row>
    <row r="315">
      <c r="F315" s="139"/>
    </row>
    <row r="316">
      <c r="F316" s="139"/>
    </row>
    <row r="317">
      <c r="F317" s="139"/>
    </row>
    <row r="318">
      <c r="F318" s="139"/>
    </row>
    <row r="319">
      <c r="F319" s="139"/>
    </row>
    <row r="320">
      <c r="F320" s="139"/>
    </row>
    <row r="321">
      <c r="F321" s="139"/>
    </row>
    <row r="322">
      <c r="F322" s="139"/>
    </row>
    <row r="323">
      <c r="F323" s="139"/>
    </row>
    <row r="324">
      <c r="F324" s="139"/>
    </row>
    <row r="325">
      <c r="F325" s="139"/>
    </row>
    <row r="326">
      <c r="F326" s="139"/>
    </row>
    <row r="327">
      <c r="F327" s="139"/>
    </row>
    <row r="328">
      <c r="F328" s="139"/>
    </row>
    <row r="329">
      <c r="F329" s="139"/>
    </row>
    <row r="330">
      <c r="F330" s="139"/>
    </row>
    <row r="331">
      <c r="F331" s="139"/>
    </row>
    <row r="332">
      <c r="F332" s="139"/>
    </row>
    <row r="333">
      <c r="F333" s="139"/>
    </row>
    <row r="334">
      <c r="F334" s="139"/>
    </row>
    <row r="335">
      <c r="F335" s="139"/>
    </row>
    <row r="336">
      <c r="F336" s="139"/>
    </row>
    <row r="337">
      <c r="F337" s="139"/>
    </row>
    <row r="338">
      <c r="F338" s="139"/>
    </row>
    <row r="339">
      <c r="F339" s="139"/>
    </row>
    <row r="340">
      <c r="F340" s="139"/>
    </row>
    <row r="341">
      <c r="F341" s="139"/>
    </row>
    <row r="342">
      <c r="F342" s="139"/>
    </row>
    <row r="343">
      <c r="F343" s="139"/>
    </row>
    <row r="344">
      <c r="F344" s="139"/>
    </row>
    <row r="345">
      <c r="F345" s="139"/>
    </row>
    <row r="346">
      <c r="F346" s="139"/>
    </row>
    <row r="347">
      <c r="F347" s="139"/>
    </row>
    <row r="348">
      <c r="F348" s="139"/>
    </row>
    <row r="349">
      <c r="F349" s="139"/>
    </row>
    <row r="350">
      <c r="F350" s="139"/>
    </row>
    <row r="351">
      <c r="F351" s="139"/>
    </row>
    <row r="352">
      <c r="F352" s="139"/>
    </row>
    <row r="353">
      <c r="F353" s="139"/>
    </row>
    <row r="354">
      <c r="F354" s="139"/>
    </row>
    <row r="355">
      <c r="F355" s="139"/>
    </row>
    <row r="356">
      <c r="F356" s="139"/>
    </row>
    <row r="357">
      <c r="F357" s="139"/>
    </row>
    <row r="358">
      <c r="F358" s="139"/>
    </row>
    <row r="359">
      <c r="F359" s="139"/>
    </row>
    <row r="360">
      <c r="F360" s="139"/>
    </row>
    <row r="361">
      <c r="F361" s="139"/>
    </row>
    <row r="362">
      <c r="F362" s="139"/>
    </row>
    <row r="363">
      <c r="F363" s="139"/>
    </row>
    <row r="364">
      <c r="F364" s="139"/>
    </row>
    <row r="365">
      <c r="F365" s="139"/>
    </row>
    <row r="366">
      <c r="F366" s="139"/>
    </row>
    <row r="367">
      <c r="F367" s="139"/>
    </row>
    <row r="368">
      <c r="F368" s="139"/>
    </row>
    <row r="369">
      <c r="F369" s="139"/>
    </row>
    <row r="370">
      <c r="F370" s="139"/>
    </row>
    <row r="371">
      <c r="F371" s="139"/>
    </row>
    <row r="372">
      <c r="F372" s="139"/>
    </row>
    <row r="373">
      <c r="F373" s="139"/>
    </row>
    <row r="374">
      <c r="F374" s="139"/>
    </row>
    <row r="375">
      <c r="F375" s="139"/>
    </row>
    <row r="376">
      <c r="F376" s="139"/>
    </row>
    <row r="377">
      <c r="F377" s="139"/>
    </row>
    <row r="378">
      <c r="F378" s="139"/>
    </row>
    <row r="379">
      <c r="F379" s="139"/>
    </row>
    <row r="380">
      <c r="F380" s="139"/>
    </row>
    <row r="381">
      <c r="F381" s="139"/>
    </row>
    <row r="382">
      <c r="F382" s="139"/>
    </row>
    <row r="383">
      <c r="F383" s="139"/>
    </row>
    <row r="384">
      <c r="F384" s="139"/>
    </row>
    <row r="385">
      <c r="F385" s="139"/>
    </row>
    <row r="386">
      <c r="F386" s="139"/>
    </row>
    <row r="387">
      <c r="F387" s="139"/>
    </row>
    <row r="388">
      <c r="F388" s="139"/>
    </row>
    <row r="389">
      <c r="F389" s="139"/>
    </row>
    <row r="390">
      <c r="F390" s="139"/>
    </row>
    <row r="391">
      <c r="F391" s="139"/>
    </row>
    <row r="392">
      <c r="F392" s="139"/>
    </row>
    <row r="393">
      <c r="F393" s="139"/>
    </row>
    <row r="394">
      <c r="F394" s="139"/>
    </row>
    <row r="395">
      <c r="F395" s="139"/>
    </row>
    <row r="396">
      <c r="F396" s="139"/>
    </row>
    <row r="397">
      <c r="F397" s="139"/>
    </row>
    <row r="398">
      <c r="F398" s="139"/>
    </row>
    <row r="399">
      <c r="F399" s="139"/>
    </row>
    <row r="400">
      <c r="F400" s="139"/>
    </row>
    <row r="401">
      <c r="F401" s="139"/>
    </row>
    <row r="402">
      <c r="F402" s="139"/>
    </row>
    <row r="403">
      <c r="F403" s="139"/>
    </row>
    <row r="404">
      <c r="F404" s="139"/>
    </row>
    <row r="405">
      <c r="F405" s="139"/>
    </row>
    <row r="406">
      <c r="F406" s="139"/>
    </row>
    <row r="407">
      <c r="F407" s="139"/>
    </row>
    <row r="408">
      <c r="F408" s="139"/>
    </row>
    <row r="409">
      <c r="F409" s="139"/>
    </row>
    <row r="410">
      <c r="F410" s="139"/>
    </row>
    <row r="411">
      <c r="F411" s="139"/>
    </row>
    <row r="412">
      <c r="F412" s="139"/>
    </row>
    <row r="413">
      <c r="F413" s="139"/>
    </row>
    <row r="414">
      <c r="F414" s="139"/>
    </row>
    <row r="415">
      <c r="F415" s="139"/>
    </row>
    <row r="416">
      <c r="F416" s="139"/>
    </row>
    <row r="417">
      <c r="F417" s="139"/>
    </row>
    <row r="418">
      <c r="F418" s="139"/>
    </row>
    <row r="419">
      <c r="F419" s="139"/>
    </row>
    <row r="420">
      <c r="F420" s="139"/>
    </row>
    <row r="421">
      <c r="F421" s="139"/>
    </row>
    <row r="422">
      <c r="F422" s="139"/>
    </row>
    <row r="423">
      <c r="F423" s="139"/>
    </row>
    <row r="424">
      <c r="F424" s="139"/>
    </row>
    <row r="425">
      <c r="F425" s="139"/>
    </row>
    <row r="426">
      <c r="F426" s="139"/>
    </row>
    <row r="427">
      <c r="F427" s="139"/>
    </row>
    <row r="428">
      <c r="F428" s="139"/>
    </row>
    <row r="429">
      <c r="F429" s="139"/>
    </row>
    <row r="430">
      <c r="F430" s="139"/>
    </row>
    <row r="431">
      <c r="F431" s="139"/>
    </row>
    <row r="432">
      <c r="F432" s="139"/>
    </row>
    <row r="433">
      <c r="F433" s="139"/>
    </row>
    <row r="434">
      <c r="F434" s="139"/>
    </row>
    <row r="435">
      <c r="F435" s="139"/>
    </row>
    <row r="436">
      <c r="F436" s="139"/>
    </row>
    <row r="437">
      <c r="F437" s="139"/>
    </row>
    <row r="438">
      <c r="F438" s="139"/>
    </row>
    <row r="439">
      <c r="F439" s="139"/>
    </row>
    <row r="440">
      <c r="F440" s="139"/>
    </row>
    <row r="441">
      <c r="F441" s="139"/>
    </row>
    <row r="442">
      <c r="F442" s="139"/>
    </row>
    <row r="443">
      <c r="F443" s="139"/>
    </row>
    <row r="444">
      <c r="F444" s="139"/>
    </row>
    <row r="445">
      <c r="F445" s="139"/>
    </row>
    <row r="446">
      <c r="F446" s="139"/>
    </row>
    <row r="447">
      <c r="F447" s="139"/>
    </row>
    <row r="448">
      <c r="F448" s="139"/>
    </row>
    <row r="449">
      <c r="F449" s="139"/>
    </row>
    <row r="450">
      <c r="F450" s="139"/>
    </row>
    <row r="451">
      <c r="F451" s="139"/>
    </row>
    <row r="452">
      <c r="F452" s="139"/>
    </row>
    <row r="453">
      <c r="F453" s="139"/>
    </row>
    <row r="454">
      <c r="F454" s="139"/>
    </row>
    <row r="455">
      <c r="F455" s="139"/>
    </row>
    <row r="456">
      <c r="F456" s="139"/>
    </row>
    <row r="457">
      <c r="F457" s="139"/>
    </row>
    <row r="458">
      <c r="F458" s="139"/>
    </row>
    <row r="459">
      <c r="F459" s="139"/>
    </row>
    <row r="460">
      <c r="F460" s="139"/>
    </row>
    <row r="461">
      <c r="F461" s="139"/>
    </row>
    <row r="462">
      <c r="F462" s="139"/>
    </row>
    <row r="463">
      <c r="F463" s="139"/>
    </row>
    <row r="464">
      <c r="F464" s="139"/>
    </row>
    <row r="465">
      <c r="F465" s="139"/>
    </row>
    <row r="466">
      <c r="F466" s="139"/>
    </row>
    <row r="467">
      <c r="F467" s="139"/>
    </row>
    <row r="468">
      <c r="F468" s="139"/>
    </row>
    <row r="469">
      <c r="F469" s="139"/>
    </row>
    <row r="470">
      <c r="F470" s="139"/>
    </row>
    <row r="471">
      <c r="F471" s="139"/>
    </row>
    <row r="472">
      <c r="F472" s="139"/>
    </row>
    <row r="473">
      <c r="F473" s="139"/>
    </row>
    <row r="474">
      <c r="F474" s="139"/>
    </row>
    <row r="475">
      <c r="F475" s="139"/>
    </row>
    <row r="476">
      <c r="F476" s="139"/>
    </row>
    <row r="477">
      <c r="F477" s="139"/>
    </row>
    <row r="478">
      <c r="F478" s="139"/>
    </row>
    <row r="479">
      <c r="F479" s="139"/>
    </row>
    <row r="480">
      <c r="F480" s="139"/>
    </row>
    <row r="481">
      <c r="F481" s="139"/>
    </row>
    <row r="482">
      <c r="F482" s="139"/>
    </row>
    <row r="483">
      <c r="F483" s="139"/>
    </row>
    <row r="484">
      <c r="F484" s="139"/>
    </row>
    <row r="485">
      <c r="F485" s="139"/>
    </row>
    <row r="486">
      <c r="F486" s="139"/>
    </row>
    <row r="487">
      <c r="F487" s="139"/>
    </row>
    <row r="488">
      <c r="F488" s="139"/>
    </row>
    <row r="489">
      <c r="F489" s="139"/>
    </row>
    <row r="490">
      <c r="F490" s="139"/>
    </row>
    <row r="491">
      <c r="F491" s="139"/>
    </row>
    <row r="492">
      <c r="F492" s="139"/>
    </row>
    <row r="493">
      <c r="F493" s="139"/>
    </row>
    <row r="494">
      <c r="F494" s="139"/>
    </row>
    <row r="495">
      <c r="F495" s="139"/>
    </row>
    <row r="496">
      <c r="F496" s="139"/>
    </row>
    <row r="497">
      <c r="F497" s="139"/>
    </row>
    <row r="498">
      <c r="F498" s="139"/>
    </row>
    <row r="499">
      <c r="F499" s="139"/>
    </row>
    <row r="500">
      <c r="F500" s="139"/>
    </row>
    <row r="501">
      <c r="F501" s="139"/>
    </row>
    <row r="502">
      <c r="F502" s="139"/>
    </row>
    <row r="503">
      <c r="F503" s="139"/>
    </row>
    <row r="504">
      <c r="F504" s="139"/>
    </row>
    <row r="505">
      <c r="F505" s="139"/>
    </row>
    <row r="506">
      <c r="F506" s="139"/>
    </row>
    <row r="507">
      <c r="F507" s="139"/>
    </row>
    <row r="508">
      <c r="F508" s="139"/>
    </row>
    <row r="509">
      <c r="F509" s="139"/>
    </row>
    <row r="510">
      <c r="F510" s="139"/>
    </row>
    <row r="511">
      <c r="F511" s="139"/>
    </row>
    <row r="512">
      <c r="F512" s="139"/>
    </row>
    <row r="513">
      <c r="F513" s="139"/>
    </row>
    <row r="514">
      <c r="F514" s="139"/>
    </row>
    <row r="515">
      <c r="F515" s="139"/>
    </row>
    <row r="516">
      <c r="F516" s="139"/>
    </row>
    <row r="517">
      <c r="F517" s="139"/>
    </row>
    <row r="518">
      <c r="F518" s="139"/>
    </row>
    <row r="519">
      <c r="F519" s="139"/>
    </row>
    <row r="520">
      <c r="F520" s="139"/>
    </row>
    <row r="521">
      <c r="F521" s="139"/>
    </row>
    <row r="522">
      <c r="F522" s="139"/>
    </row>
    <row r="523">
      <c r="F523" s="139"/>
    </row>
    <row r="524">
      <c r="F524" s="139"/>
    </row>
    <row r="525">
      <c r="F525" s="139"/>
    </row>
    <row r="526">
      <c r="F526" s="139"/>
    </row>
    <row r="527">
      <c r="F527" s="139"/>
    </row>
    <row r="528">
      <c r="F528" s="139"/>
    </row>
    <row r="529">
      <c r="F529" s="139"/>
    </row>
    <row r="530">
      <c r="F530" s="139"/>
    </row>
    <row r="531">
      <c r="F531" s="139"/>
    </row>
    <row r="532">
      <c r="F532" s="139"/>
    </row>
    <row r="533">
      <c r="F533" s="139"/>
    </row>
    <row r="534">
      <c r="F534" s="139"/>
    </row>
    <row r="535">
      <c r="F535" s="139"/>
    </row>
    <row r="536">
      <c r="F536" s="139"/>
    </row>
    <row r="537">
      <c r="F537" s="139"/>
    </row>
    <row r="538">
      <c r="F538" s="139"/>
    </row>
    <row r="539">
      <c r="F539" s="139"/>
    </row>
    <row r="540">
      <c r="F540" s="139"/>
    </row>
    <row r="541">
      <c r="F541" s="139"/>
    </row>
    <row r="542">
      <c r="F542" s="139"/>
    </row>
    <row r="543">
      <c r="F543" s="139"/>
    </row>
    <row r="544">
      <c r="F544" s="139"/>
    </row>
    <row r="545">
      <c r="F545" s="139"/>
    </row>
    <row r="546">
      <c r="F546" s="139"/>
    </row>
    <row r="547">
      <c r="F547" s="139"/>
    </row>
    <row r="548">
      <c r="F548" s="139"/>
    </row>
    <row r="549">
      <c r="F549" s="139"/>
    </row>
    <row r="550">
      <c r="F550" s="139"/>
    </row>
    <row r="551">
      <c r="F551" s="139"/>
    </row>
    <row r="552">
      <c r="F552" s="139"/>
    </row>
    <row r="553">
      <c r="F553" s="139"/>
    </row>
    <row r="554">
      <c r="F554" s="139"/>
    </row>
    <row r="555">
      <c r="F555" s="139"/>
    </row>
    <row r="556">
      <c r="F556" s="139"/>
    </row>
    <row r="557">
      <c r="F557" s="139"/>
    </row>
    <row r="558">
      <c r="F558" s="139"/>
    </row>
    <row r="559">
      <c r="F559" s="139"/>
    </row>
    <row r="560">
      <c r="F560" s="139"/>
    </row>
    <row r="561">
      <c r="F561" s="139"/>
    </row>
    <row r="562">
      <c r="F562" s="139"/>
    </row>
    <row r="563">
      <c r="F563" s="139"/>
    </row>
    <row r="564">
      <c r="F564" s="139"/>
    </row>
    <row r="565">
      <c r="F565" s="139"/>
    </row>
    <row r="566">
      <c r="F566" s="139"/>
    </row>
    <row r="567">
      <c r="F567" s="139"/>
    </row>
    <row r="568">
      <c r="F568" s="139"/>
    </row>
    <row r="569">
      <c r="F569" s="139"/>
    </row>
    <row r="570">
      <c r="F570" s="139"/>
    </row>
    <row r="571">
      <c r="F571" s="139"/>
    </row>
    <row r="572">
      <c r="F572" s="139"/>
    </row>
    <row r="573">
      <c r="F573" s="139"/>
    </row>
    <row r="574">
      <c r="F574" s="139"/>
    </row>
    <row r="575">
      <c r="F575" s="139"/>
    </row>
    <row r="576">
      <c r="F576" s="139"/>
    </row>
    <row r="577">
      <c r="F577" s="139"/>
    </row>
    <row r="578">
      <c r="F578" s="139"/>
    </row>
    <row r="579">
      <c r="F579" s="139"/>
    </row>
    <row r="580">
      <c r="F580" s="139"/>
    </row>
    <row r="581">
      <c r="F581" s="139"/>
    </row>
    <row r="582">
      <c r="F582" s="139"/>
    </row>
    <row r="583">
      <c r="F583" s="139"/>
    </row>
    <row r="584">
      <c r="F584" s="139"/>
    </row>
    <row r="585">
      <c r="F585" s="139"/>
    </row>
    <row r="586">
      <c r="F586" s="139"/>
    </row>
    <row r="587">
      <c r="F587" s="139"/>
    </row>
    <row r="588">
      <c r="F588" s="139"/>
    </row>
    <row r="589">
      <c r="F589" s="139"/>
    </row>
    <row r="590">
      <c r="F590" s="139"/>
    </row>
    <row r="591">
      <c r="F591" s="139"/>
    </row>
    <row r="592">
      <c r="F592" s="139"/>
    </row>
    <row r="593">
      <c r="F593" s="139"/>
    </row>
    <row r="594">
      <c r="F594" s="139"/>
    </row>
    <row r="595">
      <c r="F595" s="139"/>
    </row>
    <row r="596">
      <c r="F596" s="139"/>
    </row>
    <row r="597">
      <c r="F597" s="139"/>
    </row>
    <row r="598">
      <c r="F598" s="139"/>
    </row>
    <row r="599">
      <c r="F599" s="139"/>
    </row>
    <row r="600">
      <c r="F600" s="139"/>
    </row>
    <row r="601">
      <c r="F601" s="139"/>
    </row>
    <row r="602">
      <c r="F602" s="139"/>
    </row>
    <row r="603">
      <c r="F603" s="139"/>
    </row>
    <row r="604">
      <c r="F604" s="139"/>
    </row>
    <row r="605">
      <c r="F605" s="139"/>
    </row>
    <row r="606">
      <c r="F606" s="139"/>
    </row>
    <row r="607">
      <c r="F607" s="139"/>
    </row>
    <row r="608">
      <c r="F608" s="139"/>
    </row>
    <row r="609">
      <c r="F609" s="139"/>
    </row>
    <row r="610">
      <c r="F610" s="139"/>
    </row>
    <row r="611">
      <c r="F611" s="139"/>
    </row>
    <row r="612">
      <c r="F612" s="139"/>
    </row>
    <row r="613">
      <c r="F613" s="139"/>
    </row>
    <row r="614">
      <c r="F614" s="139"/>
    </row>
    <row r="615">
      <c r="F615" s="139"/>
    </row>
    <row r="616">
      <c r="F616" s="139"/>
    </row>
    <row r="617">
      <c r="F617" s="139"/>
    </row>
    <row r="618">
      <c r="F618" s="139"/>
    </row>
    <row r="619">
      <c r="F619" s="139"/>
    </row>
    <row r="620">
      <c r="F620" s="139"/>
    </row>
    <row r="621">
      <c r="F621" s="139"/>
    </row>
    <row r="622">
      <c r="F622" s="139"/>
    </row>
    <row r="623">
      <c r="F623" s="139"/>
    </row>
    <row r="624">
      <c r="F624" s="139"/>
    </row>
    <row r="625">
      <c r="F625" s="139"/>
    </row>
    <row r="626">
      <c r="F626" s="139"/>
    </row>
    <row r="627">
      <c r="F627" s="139"/>
    </row>
    <row r="628">
      <c r="F628" s="139"/>
    </row>
    <row r="629">
      <c r="F629" s="139"/>
    </row>
    <row r="630">
      <c r="F630" s="139"/>
    </row>
    <row r="631">
      <c r="F631" s="139"/>
    </row>
    <row r="632">
      <c r="F632" s="139"/>
    </row>
    <row r="633">
      <c r="F633" s="139"/>
    </row>
    <row r="634">
      <c r="F634" s="139"/>
    </row>
    <row r="635">
      <c r="F635" s="139"/>
    </row>
    <row r="636">
      <c r="F636" s="139"/>
    </row>
    <row r="637">
      <c r="F637" s="139"/>
    </row>
    <row r="638">
      <c r="F638" s="139"/>
    </row>
    <row r="639">
      <c r="F639" s="139"/>
    </row>
    <row r="640">
      <c r="F640" s="139"/>
    </row>
    <row r="641">
      <c r="F641" s="139"/>
    </row>
    <row r="642">
      <c r="F642" s="139"/>
    </row>
    <row r="643">
      <c r="F643" s="139"/>
    </row>
    <row r="644">
      <c r="F644" s="139"/>
    </row>
    <row r="645">
      <c r="F645" s="139"/>
    </row>
    <row r="646">
      <c r="F646" s="139"/>
    </row>
    <row r="647">
      <c r="F647" s="139"/>
    </row>
    <row r="648">
      <c r="F648" s="139"/>
    </row>
    <row r="649">
      <c r="F649" s="139"/>
    </row>
    <row r="650">
      <c r="F650" s="139"/>
    </row>
    <row r="651">
      <c r="F651" s="139"/>
    </row>
    <row r="652">
      <c r="F652" s="139"/>
    </row>
    <row r="653">
      <c r="F653" s="139"/>
    </row>
    <row r="654">
      <c r="F654" s="139"/>
    </row>
    <row r="655">
      <c r="F655" s="139"/>
    </row>
    <row r="656">
      <c r="F656" s="139"/>
    </row>
    <row r="657">
      <c r="F657" s="139"/>
    </row>
    <row r="658">
      <c r="F658" s="139"/>
    </row>
    <row r="659">
      <c r="F659" s="139"/>
    </row>
    <row r="660">
      <c r="F660" s="139"/>
    </row>
    <row r="661">
      <c r="F661" s="139"/>
    </row>
    <row r="662">
      <c r="F662" s="139"/>
    </row>
    <row r="663">
      <c r="F663" s="139"/>
    </row>
    <row r="664">
      <c r="F664" s="139"/>
    </row>
    <row r="665">
      <c r="F665" s="139"/>
    </row>
    <row r="666">
      <c r="F666" s="139"/>
    </row>
    <row r="667">
      <c r="F667" s="139"/>
    </row>
    <row r="668">
      <c r="F668" s="139"/>
    </row>
    <row r="669">
      <c r="F669" s="139"/>
    </row>
    <row r="670">
      <c r="F670" s="139"/>
    </row>
    <row r="671">
      <c r="F671" s="139"/>
    </row>
    <row r="672">
      <c r="F672" s="139"/>
    </row>
    <row r="673">
      <c r="F673" s="139"/>
    </row>
    <row r="674">
      <c r="F674" s="139"/>
    </row>
    <row r="675">
      <c r="F675" s="139"/>
    </row>
    <row r="676">
      <c r="F676" s="139"/>
    </row>
    <row r="677">
      <c r="F677" s="139"/>
    </row>
    <row r="678">
      <c r="F678" s="139"/>
    </row>
    <row r="679">
      <c r="F679" s="139"/>
    </row>
    <row r="680">
      <c r="F680" s="139"/>
    </row>
    <row r="681">
      <c r="F681" s="139"/>
    </row>
    <row r="682">
      <c r="F682" s="139"/>
    </row>
    <row r="683">
      <c r="F683" s="139"/>
    </row>
    <row r="684">
      <c r="F684" s="139"/>
    </row>
    <row r="685">
      <c r="F685" s="139"/>
    </row>
    <row r="686">
      <c r="F686" s="139"/>
    </row>
    <row r="687">
      <c r="F687" s="139"/>
    </row>
    <row r="688">
      <c r="F688" s="139"/>
    </row>
    <row r="689">
      <c r="F689" s="139"/>
    </row>
    <row r="690">
      <c r="F690" s="139"/>
    </row>
    <row r="691">
      <c r="F691" s="139"/>
    </row>
    <row r="692">
      <c r="F692" s="139"/>
    </row>
    <row r="693">
      <c r="F693" s="139"/>
    </row>
    <row r="694">
      <c r="F694" s="139"/>
    </row>
    <row r="695">
      <c r="F695" s="139"/>
    </row>
    <row r="696">
      <c r="F696" s="139"/>
    </row>
    <row r="697">
      <c r="F697" s="139"/>
    </row>
    <row r="698">
      <c r="F698" s="139"/>
    </row>
    <row r="699">
      <c r="F699" s="139"/>
    </row>
    <row r="700">
      <c r="F700" s="139"/>
    </row>
    <row r="701">
      <c r="F701" s="139"/>
    </row>
    <row r="702">
      <c r="F702" s="139"/>
    </row>
    <row r="703">
      <c r="F703" s="139"/>
    </row>
    <row r="704">
      <c r="F704" s="139"/>
    </row>
    <row r="705">
      <c r="F705" s="139"/>
    </row>
    <row r="706">
      <c r="F706" s="139"/>
    </row>
    <row r="707">
      <c r="F707" s="139"/>
    </row>
    <row r="708">
      <c r="F708" s="139"/>
    </row>
    <row r="709">
      <c r="F709" s="139"/>
    </row>
    <row r="710">
      <c r="F710" s="139"/>
    </row>
    <row r="711">
      <c r="F711" s="139"/>
    </row>
    <row r="712">
      <c r="F712" s="139"/>
    </row>
    <row r="713">
      <c r="F713" s="139"/>
    </row>
    <row r="714">
      <c r="F714" s="139"/>
    </row>
    <row r="715">
      <c r="F715" s="139"/>
    </row>
    <row r="716">
      <c r="F716" s="139"/>
    </row>
    <row r="717">
      <c r="F717" s="139"/>
    </row>
    <row r="718">
      <c r="F718" s="139"/>
    </row>
    <row r="719">
      <c r="F719" s="139"/>
    </row>
    <row r="720">
      <c r="F720" s="139"/>
    </row>
    <row r="721">
      <c r="F721" s="139"/>
    </row>
    <row r="722">
      <c r="F722" s="139"/>
    </row>
    <row r="723">
      <c r="F723" s="139"/>
    </row>
    <row r="724">
      <c r="F724" s="139"/>
    </row>
    <row r="725">
      <c r="F725" s="139"/>
    </row>
    <row r="726">
      <c r="F726" s="139"/>
    </row>
    <row r="727">
      <c r="F727" s="139"/>
    </row>
    <row r="728">
      <c r="F728" s="139"/>
    </row>
    <row r="729">
      <c r="F729" s="139"/>
    </row>
    <row r="730">
      <c r="F730" s="139"/>
    </row>
    <row r="731">
      <c r="F731" s="139"/>
    </row>
    <row r="732">
      <c r="F732" s="139"/>
    </row>
    <row r="733">
      <c r="F733" s="139"/>
    </row>
    <row r="734">
      <c r="F734" s="139"/>
    </row>
    <row r="735">
      <c r="F735" s="139"/>
    </row>
    <row r="736">
      <c r="F736" s="139"/>
    </row>
    <row r="737">
      <c r="F737" s="139"/>
    </row>
    <row r="738">
      <c r="F738" s="139"/>
    </row>
    <row r="739">
      <c r="F739" s="139"/>
    </row>
    <row r="740">
      <c r="F740" s="139"/>
    </row>
    <row r="741">
      <c r="F741" s="139"/>
    </row>
    <row r="742">
      <c r="F742" s="139"/>
    </row>
    <row r="743">
      <c r="F743" s="139"/>
    </row>
    <row r="744">
      <c r="F744" s="139"/>
    </row>
    <row r="745">
      <c r="F745" s="139"/>
    </row>
    <row r="746">
      <c r="F746" s="139"/>
    </row>
    <row r="747">
      <c r="F747" s="139"/>
    </row>
    <row r="748">
      <c r="F748" s="139"/>
    </row>
    <row r="749">
      <c r="F749" s="139"/>
    </row>
    <row r="750">
      <c r="F750" s="139"/>
    </row>
    <row r="751">
      <c r="F751" s="139"/>
    </row>
    <row r="752">
      <c r="F752" s="139"/>
    </row>
    <row r="753">
      <c r="F753" s="139"/>
    </row>
    <row r="754">
      <c r="F754" s="139"/>
    </row>
    <row r="755">
      <c r="F755" s="139"/>
    </row>
    <row r="756">
      <c r="F756" s="139"/>
    </row>
    <row r="757">
      <c r="F757" s="139"/>
    </row>
    <row r="758">
      <c r="F758" s="139"/>
    </row>
    <row r="759">
      <c r="F759" s="139"/>
    </row>
    <row r="760">
      <c r="F760" s="139"/>
    </row>
    <row r="761">
      <c r="F761" s="139"/>
    </row>
    <row r="762">
      <c r="F762" s="139"/>
    </row>
    <row r="763">
      <c r="F763" s="139"/>
    </row>
    <row r="764">
      <c r="F764" s="139"/>
    </row>
    <row r="765">
      <c r="F765" s="139"/>
    </row>
    <row r="766">
      <c r="F766" s="139"/>
    </row>
    <row r="767">
      <c r="F767" s="139"/>
    </row>
    <row r="768">
      <c r="F768" s="139"/>
    </row>
    <row r="769">
      <c r="F769" s="139"/>
    </row>
    <row r="770">
      <c r="F770" s="139"/>
    </row>
    <row r="771">
      <c r="F771" s="139"/>
    </row>
    <row r="772">
      <c r="F772" s="139"/>
    </row>
    <row r="773">
      <c r="F773" s="139"/>
    </row>
    <row r="774">
      <c r="F774" s="139"/>
    </row>
    <row r="775">
      <c r="F775" s="139"/>
    </row>
    <row r="776">
      <c r="F776" s="139"/>
    </row>
    <row r="777">
      <c r="F777" s="139"/>
    </row>
    <row r="778">
      <c r="F778" s="139"/>
    </row>
    <row r="779">
      <c r="F779" s="139"/>
    </row>
    <row r="780">
      <c r="F780" s="139"/>
    </row>
    <row r="781">
      <c r="F781" s="139"/>
    </row>
    <row r="782">
      <c r="F782" s="139"/>
    </row>
    <row r="783">
      <c r="F783" s="139"/>
    </row>
    <row r="784">
      <c r="F784" s="139"/>
    </row>
    <row r="785">
      <c r="F785" s="139"/>
    </row>
    <row r="786">
      <c r="F786" s="139"/>
    </row>
    <row r="787">
      <c r="F787" s="139"/>
    </row>
    <row r="788">
      <c r="F788" s="139"/>
    </row>
    <row r="789">
      <c r="F789" s="139"/>
    </row>
    <row r="790">
      <c r="F790" s="139"/>
    </row>
    <row r="791">
      <c r="F791" s="139"/>
    </row>
    <row r="792">
      <c r="F792" s="139"/>
    </row>
    <row r="793">
      <c r="F793" s="139"/>
    </row>
    <row r="794">
      <c r="F794" s="139"/>
    </row>
    <row r="795">
      <c r="F795" s="139"/>
    </row>
    <row r="796">
      <c r="F796" s="139"/>
    </row>
    <row r="797">
      <c r="F797" s="139"/>
    </row>
    <row r="798">
      <c r="F798" s="139"/>
    </row>
    <row r="799">
      <c r="F799" s="139"/>
    </row>
    <row r="800">
      <c r="F800" s="139"/>
    </row>
    <row r="801">
      <c r="F801" s="139"/>
    </row>
    <row r="802">
      <c r="F802" s="139"/>
    </row>
    <row r="803">
      <c r="F803" s="139"/>
    </row>
    <row r="804">
      <c r="F804" s="139"/>
    </row>
    <row r="805">
      <c r="F805" s="139"/>
    </row>
    <row r="806">
      <c r="F806" s="139"/>
    </row>
    <row r="807">
      <c r="F807" s="139"/>
    </row>
    <row r="808">
      <c r="F808" s="139"/>
    </row>
    <row r="809">
      <c r="F809" s="139"/>
    </row>
    <row r="810">
      <c r="F810" s="139"/>
    </row>
    <row r="811">
      <c r="F811" s="139"/>
    </row>
    <row r="812">
      <c r="F812" s="139"/>
    </row>
    <row r="813">
      <c r="F813" s="139"/>
    </row>
    <row r="814">
      <c r="F814" s="139"/>
    </row>
    <row r="815">
      <c r="F815" s="139"/>
    </row>
    <row r="816">
      <c r="F816" s="139"/>
    </row>
    <row r="817">
      <c r="F817" s="139"/>
    </row>
    <row r="818">
      <c r="F818" s="139"/>
    </row>
    <row r="819">
      <c r="F819" s="139"/>
    </row>
    <row r="820">
      <c r="F820" s="139"/>
    </row>
    <row r="821">
      <c r="F821" s="139"/>
    </row>
    <row r="822">
      <c r="F822" s="139"/>
    </row>
    <row r="823">
      <c r="F823" s="139"/>
    </row>
    <row r="824">
      <c r="F824" s="139"/>
    </row>
    <row r="825">
      <c r="F825" s="139"/>
    </row>
    <row r="826">
      <c r="F826" s="139"/>
    </row>
    <row r="827">
      <c r="F827" s="139"/>
    </row>
    <row r="828">
      <c r="F828" s="139"/>
    </row>
    <row r="829">
      <c r="F829" s="139"/>
    </row>
    <row r="830">
      <c r="F830" s="139"/>
    </row>
    <row r="831">
      <c r="F831" s="139"/>
    </row>
    <row r="832">
      <c r="F832" s="139"/>
    </row>
    <row r="833">
      <c r="F833" s="139"/>
    </row>
    <row r="834">
      <c r="F834" s="139"/>
    </row>
    <row r="835">
      <c r="F835" s="139"/>
    </row>
    <row r="836">
      <c r="F836" s="139"/>
    </row>
    <row r="837">
      <c r="F837" s="139"/>
    </row>
    <row r="838">
      <c r="F838" s="139"/>
    </row>
    <row r="839">
      <c r="F839" s="139"/>
    </row>
    <row r="840">
      <c r="F840" s="139"/>
    </row>
    <row r="841">
      <c r="F841" s="139"/>
    </row>
    <row r="842">
      <c r="F842" s="139"/>
    </row>
    <row r="843">
      <c r="F843" s="139"/>
    </row>
    <row r="844">
      <c r="F844" s="139"/>
    </row>
    <row r="845">
      <c r="F845" s="139"/>
    </row>
    <row r="846">
      <c r="F846" s="139"/>
    </row>
    <row r="847">
      <c r="F847" s="139"/>
    </row>
    <row r="848">
      <c r="F848" s="139"/>
    </row>
    <row r="849">
      <c r="F849" s="139"/>
    </row>
    <row r="850">
      <c r="F850" s="139"/>
    </row>
    <row r="851">
      <c r="F851" s="139"/>
    </row>
    <row r="852">
      <c r="F852" s="139"/>
    </row>
    <row r="853">
      <c r="F853" s="139"/>
    </row>
    <row r="854">
      <c r="F854" s="139"/>
    </row>
    <row r="855">
      <c r="F855" s="139"/>
    </row>
    <row r="856">
      <c r="F856" s="139"/>
    </row>
    <row r="857">
      <c r="F857" s="139"/>
    </row>
    <row r="858">
      <c r="F858" s="139"/>
    </row>
    <row r="859">
      <c r="F859" s="139"/>
    </row>
    <row r="860">
      <c r="F860" s="139"/>
    </row>
    <row r="861">
      <c r="F861" s="139"/>
    </row>
    <row r="862">
      <c r="F862" s="139"/>
    </row>
    <row r="863">
      <c r="F863" s="139"/>
    </row>
    <row r="864">
      <c r="F864" s="139"/>
    </row>
    <row r="865">
      <c r="F865" s="139"/>
    </row>
    <row r="866">
      <c r="F866" s="139"/>
    </row>
    <row r="867">
      <c r="F867" s="139"/>
    </row>
    <row r="868">
      <c r="F868" s="139"/>
    </row>
    <row r="869">
      <c r="F869" s="139"/>
    </row>
    <row r="870">
      <c r="F870" s="139"/>
    </row>
    <row r="871">
      <c r="F871" s="139"/>
    </row>
    <row r="872">
      <c r="F872" s="139"/>
    </row>
    <row r="873">
      <c r="F873" s="139"/>
    </row>
    <row r="874">
      <c r="F874" s="139"/>
    </row>
    <row r="875">
      <c r="F875" s="139"/>
    </row>
    <row r="876">
      <c r="F876" s="139"/>
    </row>
    <row r="877">
      <c r="F877" s="139"/>
    </row>
    <row r="878">
      <c r="F878" s="139"/>
    </row>
    <row r="879">
      <c r="F879" s="139"/>
    </row>
    <row r="880">
      <c r="F880" s="139"/>
    </row>
    <row r="881">
      <c r="F881" s="139"/>
    </row>
    <row r="882">
      <c r="F882" s="139"/>
    </row>
    <row r="883">
      <c r="F883" s="139"/>
    </row>
    <row r="884">
      <c r="F884" s="139"/>
    </row>
    <row r="885">
      <c r="F885" s="139"/>
    </row>
    <row r="886">
      <c r="F886" s="139"/>
    </row>
    <row r="887">
      <c r="F887" s="139"/>
    </row>
    <row r="888">
      <c r="F888" s="139"/>
    </row>
    <row r="889">
      <c r="F889" s="139"/>
    </row>
    <row r="890">
      <c r="F890" s="139"/>
    </row>
    <row r="891">
      <c r="F891" s="139"/>
    </row>
    <row r="892">
      <c r="F892" s="139"/>
    </row>
    <row r="893">
      <c r="F893" s="139"/>
    </row>
    <row r="894">
      <c r="F894" s="139"/>
    </row>
    <row r="895">
      <c r="F895" s="139"/>
    </row>
    <row r="896">
      <c r="F896" s="139"/>
    </row>
    <row r="897">
      <c r="F897" s="139"/>
    </row>
    <row r="898">
      <c r="F898" s="139"/>
    </row>
    <row r="899">
      <c r="F899" s="139"/>
    </row>
    <row r="900">
      <c r="F900" s="139"/>
    </row>
    <row r="901">
      <c r="F901" s="139"/>
    </row>
    <row r="902">
      <c r="F902" s="139"/>
    </row>
    <row r="903">
      <c r="F903" s="139"/>
    </row>
    <row r="904">
      <c r="F904" s="139"/>
    </row>
    <row r="905">
      <c r="F905" s="139"/>
    </row>
    <row r="906">
      <c r="F906" s="139"/>
    </row>
    <row r="907">
      <c r="F907" s="139"/>
    </row>
    <row r="908">
      <c r="F908" s="139"/>
    </row>
    <row r="909">
      <c r="F909" s="139"/>
    </row>
    <row r="910">
      <c r="F910" s="139"/>
    </row>
    <row r="911">
      <c r="F911" s="139"/>
    </row>
    <row r="912">
      <c r="F912" s="139"/>
    </row>
    <row r="913">
      <c r="F913" s="139"/>
    </row>
    <row r="914">
      <c r="F914" s="139"/>
    </row>
    <row r="915">
      <c r="F915" s="139"/>
    </row>
    <row r="916">
      <c r="F916" s="139"/>
    </row>
    <row r="917">
      <c r="F917" s="139"/>
    </row>
    <row r="918">
      <c r="F918" s="139"/>
    </row>
    <row r="919">
      <c r="F919" s="139"/>
    </row>
    <row r="920">
      <c r="F920" s="139"/>
    </row>
    <row r="921">
      <c r="F921" s="139"/>
    </row>
    <row r="922">
      <c r="F922" s="139"/>
    </row>
    <row r="923">
      <c r="F923" s="139"/>
    </row>
    <row r="924">
      <c r="F924" s="139"/>
    </row>
    <row r="925">
      <c r="F925" s="139"/>
    </row>
    <row r="926">
      <c r="F926" s="139"/>
    </row>
    <row r="927">
      <c r="F927" s="139"/>
    </row>
    <row r="928">
      <c r="F928" s="139"/>
    </row>
    <row r="929">
      <c r="F929" s="139"/>
    </row>
    <row r="930">
      <c r="F930" s="139"/>
    </row>
    <row r="931">
      <c r="F931" s="139"/>
    </row>
    <row r="932">
      <c r="F932" s="139"/>
    </row>
    <row r="933">
      <c r="F933" s="139"/>
    </row>
    <row r="934">
      <c r="F934" s="139"/>
    </row>
    <row r="935">
      <c r="F935" s="139"/>
    </row>
    <row r="936">
      <c r="F936" s="139"/>
    </row>
    <row r="937">
      <c r="F937" s="139"/>
    </row>
    <row r="938">
      <c r="F938" s="139"/>
    </row>
    <row r="939">
      <c r="F939" s="139"/>
    </row>
    <row r="940">
      <c r="F940" s="139"/>
    </row>
    <row r="941">
      <c r="F941" s="139"/>
    </row>
    <row r="942">
      <c r="F942" s="139"/>
    </row>
    <row r="943">
      <c r="F943" s="139"/>
    </row>
    <row r="944">
      <c r="F944" s="139"/>
    </row>
    <row r="945">
      <c r="F945" s="139"/>
    </row>
    <row r="946">
      <c r="F946" s="139"/>
    </row>
    <row r="947">
      <c r="F947" s="139"/>
    </row>
    <row r="948">
      <c r="F948" s="139"/>
    </row>
    <row r="949">
      <c r="F949" s="139"/>
    </row>
    <row r="950">
      <c r="F950" s="139"/>
    </row>
    <row r="951">
      <c r="F951" s="139"/>
    </row>
    <row r="952">
      <c r="F952" s="139"/>
    </row>
    <row r="953">
      <c r="F953" s="139"/>
    </row>
    <row r="954">
      <c r="F954" s="139"/>
    </row>
    <row r="955">
      <c r="F955" s="139"/>
    </row>
    <row r="956">
      <c r="F956" s="139"/>
    </row>
    <row r="957">
      <c r="F957" s="139"/>
    </row>
    <row r="958">
      <c r="F958" s="139"/>
    </row>
    <row r="959">
      <c r="F959" s="139"/>
    </row>
    <row r="960">
      <c r="F960" s="139"/>
    </row>
    <row r="961">
      <c r="F961" s="139"/>
    </row>
    <row r="962">
      <c r="F962" s="139"/>
    </row>
    <row r="963">
      <c r="F963" s="139"/>
    </row>
    <row r="964">
      <c r="F964" s="139"/>
    </row>
    <row r="965">
      <c r="F965" s="139"/>
    </row>
    <row r="966">
      <c r="F966" s="139"/>
    </row>
    <row r="967">
      <c r="F967" s="139"/>
    </row>
    <row r="968">
      <c r="F968" s="139"/>
    </row>
    <row r="969">
      <c r="F969" s="139"/>
    </row>
    <row r="970">
      <c r="F970" s="139"/>
    </row>
    <row r="971">
      <c r="F971" s="139"/>
    </row>
    <row r="972">
      <c r="F972" s="139"/>
    </row>
    <row r="973">
      <c r="F973" s="139"/>
    </row>
    <row r="974">
      <c r="F974" s="139"/>
    </row>
    <row r="975">
      <c r="F975" s="139"/>
    </row>
    <row r="976">
      <c r="F976" s="139"/>
    </row>
    <row r="977">
      <c r="F977" s="139"/>
    </row>
    <row r="978">
      <c r="F978" s="139"/>
    </row>
    <row r="979">
      <c r="F979" s="139"/>
    </row>
    <row r="980">
      <c r="F980" s="139"/>
    </row>
    <row r="981">
      <c r="F981" s="139"/>
    </row>
    <row r="982">
      <c r="F982" s="139"/>
    </row>
    <row r="983">
      <c r="F983" s="139"/>
    </row>
    <row r="984">
      <c r="F984" s="139"/>
    </row>
    <row r="985">
      <c r="F985" s="139"/>
    </row>
    <row r="986">
      <c r="F986" s="139"/>
    </row>
    <row r="987">
      <c r="F987" s="139"/>
    </row>
    <row r="988">
      <c r="F988" s="139"/>
    </row>
    <row r="989">
      <c r="F989" s="139"/>
    </row>
    <row r="990">
      <c r="F990" s="139"/>
    </row>
    <row r="991">
      <c r="F991" s="139"/>
    </row>
    <row r="992">
      <c r="F992" s="139"/>
    </row>
    <row r="993">
      <c r="F993" s="139"/>
    </row>
    <row r="994">
      <c r="F994" s="139"/>
    </row>
    <row r="995">
      <c r="F995" s="139"/>
    </row>
    <row r="996">
      <c r="F996" s="139"/>
    </row>
    <row r="997">
      <c r="F997" s="139"/>
    </row>
    <row r="998">
      <c r="F998" s="139"/>
    </row>
    <row r="999">
      <c r="F999" s="139"/>
    </row>
    <row r="1000">
      <c r="F1000" s="139"/>
    </row>
  </sheetData>
  <mergeCells count="3">
    <mergeCell ref="E2:F2"/>
    <mergeCell ref="G2:I2"/>
    <mergeCell ref="J2:O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sheetData>
    <row r="1">
      <c r="A1" s="80"/>
      <c r="B1" s="39"/>
      <c r="C1" s="39"/>
      <c r="D1" s="80"/>
      <c r="E1" s="39"/>
      <c r="F1" s="91"/>
      <c r="G1" s="79"/>
      <c r="H1" s="39"/>
      <c r="I1" s="80"/>
      <c r="J1" s="39"/>
      <c r="K1" s="39"/>
      <c r="L1" s="39"/>
      <c r="M1" s="39"/>
      <c r="N1" s="39"/>
      <c r="O1" s="39"/>
      <c r="P1" s="80"/>
    </row>
    <row r="2">
      <c r="A2" s="80"/>
      <c r="B2" s="120" t="s">
        <v>0</v>
      </c>
      <c r="C2" s="120" t="s">
        <v>1</v>
      </c>
      <c r="D2" s="135" t="s">
        <v>2</v>
      </c>
      <c r="E2" s="83" t="s">
        <v>3</v>
      </c>
      <c r="F2" s="8"/>
      <c r="G2" s="82" t="s">
        <v>4</v>
      </c>
      <c r="I2" s="8"/>
      <c r="J2" s="83" t="s">
        <v>5</v>
      </c>
      <c r="P2" s="80"/>
    </row>
    <row r="3">
      <c r="A3" s="122" t="s">
        <v>6</v>
      </c>
      <c r="B3" s="85"/>
      <c r="C3" s="85"/>
      <c r="D3" s="87"/>
      <c r="E3" s="85" t="s">
        <v>7</v>
      </c>
      <c r="F3" s="115" t="s">
        <v>8</v>
      </c>
      <c r="G3" s="86" t="s">
        <v>7</v>
      </c>
      <c r="H3" s="85" t="s">
        <v>8</v>
      </c>
      <c r="I3" s="87" t="s">
        <v>9</v>
      </c>
      <c r="J3" s="85" t="s">
        <v>10</v>
      </c>
      <c r="K3" s="85" t="s">
        <v>11</v>
      </c>
      <c r="L3" s="85" t="s">
        <v>12</v>
      </c>
      <c r="M3" s="85" t="s">
        <v>13</v>
      </c>
      <c r="N3" s="85" t="s">
        <v>14</v>
      </c>
      <c r="O3" s="85" t="s">
        <v>15</v>
      </c>
      <c r="P3" s="87" t="s">
        <v>16</v>
      </c>
      <c r="Q3" s="98" t="s">
        <v>766</v>
      </c>
    </row>
    <row r="4">
      <c r="A4" s="80">
        <v>38.0</v>
      </c>
      <c r="B4" s="136" t="s">
        <v>130</v>
      </c>
      <c r="C4" s="136" t="s">
        <v>701</v>
      </c>
      <c r="D4" s="92" t="s">
        <v>132</v>
      </c>
      <c r="E4" s="39" t="s">
        <v>21</v>
      </c>
      <c r="F4" s="91" t="s">
        <v>20</v>
      </c>
      <c r="G4" s="79" t="s">
        <v>22</v>
      </c>
      <c r="H4" s="39"/>
      <c r="I4" s="92"/>
      <c r="J4" s="39"/>
      <c r="K4" s="39"/>
      <c r="L4" s="39"/>
      <c r="M4" s="39"/>
      <c r="N4" s="39"/>
      <c r="O4" s="39"/>
      <c r="P4" s="80"/>
      <c r="Q4" s="60">
        <f>random_key!A34</f>
        <v>0.00126792185</v>
      </c>
    </row>
    <row r="5">
      <c r="A5" s="80">
        <v>36.0</v>
      </c>
      <c r="B5" s="136" t="s">
        <v>125</v>
      </c>
      <c r="C5" s="136" t="s">
        <v>699</v>
      </c>
      <c r="D5" s="92" t="s">
        <v>127</v>
      </c>
      <c r="E5" s="39" t="s">
        <v>21</v>
      </c>
      <c r="F5" s="91" t="s">
        <v>20</v>
      </c>
      <c r="G5" s="79" t="s">
        <v>22</v>
      </c>
      <c r="H5" s="39"/>
      <c r="I5" s="92"/>
      <c r="J5" s="39"/>
      <c r="K5" s="39"/>
      <c r="L5" s="39"/>
      <c r="M5" s="39"/>
      <c r="N5" s="39"/>
      <c r="O5" s="39"/>
      <c r="P5" s="80"/>
      <c r="Q5" s="60">
        <f>random_key!A32</f>
        <v>0.014775109</v>
      </c>
    </row>
    <row r="6">
      <c r="A6" s="80">
        <v>92.0</v>
      </c>
      <c r="B6" s="136" t="s">
        <v>264</v>
      </c>
      <c r="C6" s="136" t="s">
        <v>743</v>
      </c>
      <c r="D6" s="92" t="s">
        <v>266</v>
      </c>
      <c r="E6" s="39" t="s">
        <v>20</v>
      </c>
      <c r="F6" s="91" t="s">
        <v>31</v>
      </c>
      <c r="G6" s="79"/>
      <c r="H6" s="39"/>
      <c r="I6" s="92" t="s">
        <v>22</v>
      </c>
      <c r="J6" s="39"/>
      <c r="K6" s="39"/>
      <c r="L6" s="39"/>
      <c r="M6" s="39"/>
      <c r="N6" s="39"/>
      <c r="O6" s="39"/>
      <c r="P6" s="80"/>
      <c r="Q6" s="60">
        <f>random_key!A78</f>
        <v>0.02361814938</v>
      </c>
    </row>
    <row r="7">
      <c r="A7" s="80">
        <v>25.0</v>
      </c>
      <c r="B7" s="136" t="s">
        <v>97</v>
      </c>
      <c r="C7" s="136" t="s">
        <v>688</v>
      </c>
      <c r="D7" s="92" t="s">
        <v>99</v>
      </c>
      <c r="E7" s="39" t="s">
        <v>20</v>
      </c>
      <c r="F7" s="91" t="s">
        <v>21</v>
      </c>
      <c r="G7" s="79" t="s">
        <v>22</v>
      </c>
      <c r="H7" s="39"/>
      <c r="I7" s="92"/>
      <c r="J7" s="39"/>
      <c r="K7" s="39" t="s">
        <v>22</v>
      </c>
      <c r="L7" s="39"/>
      <c r="M7" s="39"/>
      <c r="N7" s="39"/>
      <c r="O7" s="39"/>
      <c r="P7" s="80"/>
      <c r="Q7" s="60">
        <f>random_key!A24</f>
        <v>0.0411164938</v>
      </c>
    </row>
    <row r="8">
      <c r="A8" s="80">
        <v>70.0</v>
      </c>
      <c r="B8" s="136" t="s">
        <v>210</v>
      </c>
      <c r="C8" s="136" t="s">
        <v>728</v>
      </c>
      <c r="D8" s="92" t="s">
        <v>212</v>
      </c>
      <c r="E8" s="39" t="s">
        <v>31</v>
      </c>
      <c r="F8" s="91" t="s">
        <v>21</v>
      </c>
      <c r="G8" s="79"/>
      <c r="H8" s="39" t="s">
        <v>22</v>
      </c>
      <c r="I8" s="92"/>
      <c r="J8" s="39"/>
      <c r="K8" s="39"/>
      <c r="L8" s="39"/>
      <c r="M8" s="39"/>
      <c r="N8" s="39"/>
      <c r="O8" s="39"/>
      <c r="P8" s="80"/>
      <c r="Q8" s="60">
        <f>random_key!A60</f>
        <v>0.04241728525</v>
      </c>
    </row>
    <row r="9">
      <c r="A9" s="80">
        <v>34.0</v>
      </c>
      <c r="B9" s="136" t="s">
        <v>121</v>
      </c>
      <c r="C9" s="136" t="s">
        <v>697</v>
      </c>
      <c r="D9" s="92" t="s">
        <v>123</v>
      </c>
      <c r="E9" s="39" t="s">
        <v>20</v>
      </c>
      <c r="F9" s="91" t="s">
        <v>21</v>
      </c>
      <c r="G9" s="79"/>
      <c r="H9" s="39" t="s">
        <v>22</v>
      </c>
      <c r="I9" s="92"/>
      <c r="J9" s="39"/>
      <c r="K9" s="39"/>
      <c r="L9" s="39"/>
      <c r="M9" s="39"/>
      <c r="N9" s="39"/>
      <c r="O9" s="39"/>
      <c r="P9" s="80"/>
      <c r="Q9" s="60">
        <f>random_key!A31</f>
        <v>0.04729217204</v>
      </c>
    </row>
    <row r="10">
      <c r="A10" s="80">
        <v>64.0</v>
      </c>
      <c r="B10" s="136" t="s">
        <v>199</v>
      </c>
      <c r="C10" s="136" t="s">
        <v>724</v>
      </c>
      <c r="D10" s="92" t="s">
        <v>201</v>
      </c>
      <c r="E10" s="39" t="s">
        <v>20</v>
      </c>
      <c r="F10" s="91" t="s">
        <v>21</v>
      </c>
      <c r="G10" s="79"/>
      <c r="H10" s="39" t="s">
        <v>22</v>
      </c>
      <c r="I10" s="92"/>
      <c r="J10" s="39"/>
      <c r="K10" s="39"/>
      <c r="L10" s="39"/>
      <c r="M10" s="39"/>
      <c r="N10" s="39"/>
      <c r="O10" s="39"/>
      <c r="P10" s="80"/>
      <c r="Q10" s="60">
        <f>random_key!A56</f>
        <v>0.07656247635</v>
      </c>
    </row>
    <row r="11">
      <c r="A11" s="80">
        <v>16.0</v>
      </c>
      <c r="B11" s="136" t="s">
        <v>68</v>
      </c>
      <c r="C11" s="136" t="s">
        <v>678</v>
      </c>
      <c r="D11" s="92" t="s">
        <v>70</v>
      </c>
      <c r="E11" s="39" t="s">
        <v>20</v>
      </c>
      <c r="F11" s="91" t="s">
        <v>21</v>
      </c>
      <c r="G11" s="79" t="s">
        <v>22</v>
      </c>
      <c r="H11" s="39"/>
      <c r="I11" s="92"/>
      <c r="J11" s="39"/>
      <c r="K11" s="39" t="s">
        <v>22</v>
      </c>
      <c r="L11" s="39"/>
      <c r="M11" s="39"/>
      <c r="N11" s="39"/>
      <c r="O11" s="39"/>
      <c r="P11" s="80"/>
      <c r="Q11" s="60">
        <f>random_key!A15</f>
        <v>0.0980610577</v>
      </c>
    </row>
    <row r="12">
      <c r="A12" s="80">
        <v>59.0</v>
      </c>
      <c r="B12" s="136" t="s">
        <v>188</v>
      </c>
      <c r="C12" s="136" t="s">
        <v>720</v>
      </c>
      <c r="D12" s="92" t="s">
        <v>190</v>
      </c>
      <c r="E12" s="39" t="s">
        <v>20</v>
      </c>
      <c r="F12" s="91" t="s">
        <v>21</v>
      </c>
      <c r="G12" s="79"/>
      <c r="H12" s="39" t="s">
        <v>22</v>
      </c>
      <c r="I12" s="92"/>
      <c r="J12" s="39"/>
      <c r="K12" s="39"/>
      <c r="L12" s="39"/>
      <c r="M12" s="39"/>
      <c r="N12" s="39"/>
      <c r="O12" s="39"/>
      <c r="P12" s="80"/>
      <c r="Q12" s="60">
        <f>random_key!A52</f>
        <v>0.1163449744</v>
      </c>
    </row>
    <row r="13">
      <c r="A13" s="80">
        <v>110.0</v>
      </c>
      <c r="B13" s="125" t="s">
        <v>310</v>
      </c>
      <c r="C13" s="125" t="s">
        <v>757</v>
      </c>
      <c r="D13" s="80" t="s">
        <v>312</v>
      </c>
      <c r="E13" s="39" t="s">
        <v>21</v>
      </c>
      <c r="F13" s="91" t="s">
        <v>20</v>
      </c>
      <c r="G13" s="79" t="s">
        <v>22</v>
      </c>
      <c r="H13" s="39"/>
      <c r="I13" s="92"/>
      <c r="J13" s="39"/>
      <c r="K13" s="39"/>
      <c r="L13" s="39"/>
      <c r="M13" s="39"/>
      <c r="N13" s="39"/>
      <c r="O13" s="39"/>
      <c r="P13" s="80"/>
      <c r="Q13" s="60">
        <f>random_key!A92</f>
        <v>0.1176876676</v>
      </c>
    </row>
    <row r="14">
      <c r="A14" s="80">
        <v>41.0</v>
      </c>
      <c r="B14" s="136" t="s">
        <v>135</v>
      </c>
      <c r="C14" s="136" t="s">
        <v>702</v>
      </c>
      <c r="D14" s="92" t="s">
        <v>137</v>
      </c>
      <c r="E14" s="39" t="s">
        <v>21</v>
      </c>
      <c r="F14" s="91" t="s">
        <v>31</v>
      </c>
      <c r="G14" s="79" t="s">
        <v>22</v>
      </c>
      <c r="H14" s="39"/>
      <c r="I14" s="92"/>
      <c r="J14" s="39"/>
      <c r="K14" s="39"/>
      <c r="L14" s="39"/>
      <c r="M14" s="39"/>
      <c r="N14" s="39"/>
      <c r="O14" s="39"/>
      <c r="P14" s="80"/>
      <c r="Q14" s="60">
        <f>random_key!A36</f>
        <v>0.1197756392</v>
      </c>
    </row>
    <row r="15">
      <c r="A15" s="80">
        <v>103.0</v>
      </c>
      <c r="B15" s="125" t="s">
        <v>292</v>
      </c>
      <c r="C15" s="125" t="s">
        <v>752</v>
      </c>
      <c r="D15" s="80" t="s">
        <v>294</v>
      </c>
      <c r="E15" s="39" t="s">
        <v>21</v>
      </c>
      <c r="F15" s="91" t="s">
        <v>31</v>
      </c>
      <c r="G15" s="79"/>
      <c r="H15" s="39" t="s">
        <v>22</v>
      </c>
      <c r="I15" s="92"/>
      <c r="J15" s="39"/>
      <c r="K15" s="39"/>
      <c r="L15" s="39"/>
      <c r="M15" s="39"/>
      <c r="N15" s="39"/>
      <c r="O15" s="39"/>
      <c r="P15" s="80" t="s">
        <v>1010</v>
      </c>
      <c r="Q15" s="60">
        <f>random_key!A87</f>
        <v>0.1801476423</v>
      </c>
    </row>
    <row r="16">
      <c r="A16" s="80">
        <v>10.0</v>
      </c>
      <c r="B16" s="136" t="s">
        <v>49</v>
      </c>
      <c r="C16" s="136" t="s">
        <v>671</v>
      </c>
      <c r="D16" s="92" t="s">
        <v>51</v>
      </c>
      <c r="E16" s="39" t="s">
        <v>21</v>
      </c>
      <c r="F16" s="91" t="s">
        <v>20</v>
      </c>
      <c r="G16" s="79" t="s">
        <v>22</v>
      </c>
      <c r="H16" s="39"/>
      <c r="I16" s="92"/>
      <c r="J16" s="39"/>
      <c r="K16" s="39"/>
      <c r="L16" s="39"/>
      <c r="M16" s="39"/>
      <c r="N16" s="39"/>
      <c r="O16" s="39"/>
      <c r="P16" s="80"/>
      <c r="Q16" s="60">
        <f>random_key!A9</f>
        <v>0.1930796601</v>
      </c>
    </row>
    <row r="17">
      <c r="A17" s="80">
        <v>8.0</v>
      </c>
      <c r="B17" s="136" t="s">
        <v>43</v>
      </c>
      <c r="C17" s="136" t="s">
        <v>669</v>
      </c>
      <c r="D17" s="92" t="s">
        <v>45</v>
      </c>
      <c r="E17" s="39" t="s">
        <v>21</v>
      </c>
      <c r="F17" s="91" t="s">
        <v>20</v>
      </c>
      <c r="G17" s="79" t="s">
        <v>22</v>
      </c>
      <c r="H17" s="39"/>
      <c r="I17" s="92"/>
      <c r="J17" s="39"/>
      <c r="K17" s="39"/>
      <c r="L17" s="39"/>
      <c r="M17" s="39"/>
      <c r="N17" s="39"/>
      <c r="O17" s="39"/>
      <c r="P17" s="80"/>
      <c r="Q17" s="60">
        <f>random_key!A7</f>
        <v>0.2005901691</v>
      </c>
    </row>
    <row r="18">
      <c r="A18" s="80">
        <v>15.0</v>
      </c>
      <c r="B18" s="136" t="s">
        <v>66</v>
      </c>
      <c r="C18" s="136" t="s">
        <v>677</v>
      </c>
      <c r="D18" s="92" t="s">
        <v>42</v>
      </c>
      <c r="E18" s="39" t="s">
        <v>21</v>
      </c>
      <c r="F18" s="91" t="s">
        <v>20</v>
      </c>
      <c r="G18" s="79" t="s">
        <v>22</v>
      </c>
      <c r="H18" s="39"/>
      <c r="I18" s="92"/>
      <c r="J18" s="39"/>
      <c r="K18" s="39"/>
      <c r="L18" s="39"/>
      <c r="M18" s="39"/>
      <c r="N18" s="39"/>
      <c r="O18" s="39"/>
      <c r="P18" s="80"/>
      <c r="Q18" s="60">
        <f>random_key!A14</f>
        <v>0.2045792564</v>
      </c>
    </row>
    <row r="19">
      <c r="A19" s="80">
        <v>56.0</v>
      </c>
      <c r="B19" s="136" t="s">
        <v>178</v>
      </c>
      <c r="C19" s="136" t="s">
        <v>717</v>
      </c>
      <c r="D19" s="92" t="s">
        <v>180</v>
      </c>
      <c r="E19" s="39" t="s">
        <v>20</v>
      </c>
      <c r="F19" s="91" t="s">
        <v>26</v>
      </c>
      <c r="G19" s="79"/>
      <c r="H19" s="39" t="s">
        <v>22</v>
      </c>
      <c r="I19" s="92"/>
      <c r="J19" s="39"/>
      <c r="K19" s="39" t="s">
        <v>22</v>
      </c>
      <c r="L19" s="39"/>
      <c r="M19" s="39"/>
      <c r="N19" s="39"/>
      <c r="O19" s="39"/>
      <c r="P19" s="80" t="s">
        <v>1010</v>
      </c>
      <c r="Q19" s="60">
        <f>random_key!A49</f>
        <v>0.2046791854</v>
      </c>
    </row>
    <row r="20">
      <c r="A20" s="80">
        <v>83.0</v>
      </c>
      <c r="B20" s="136" t="s">
        <v>248</v>
      </c>
      <c r="C20" s="136" t="s">
        <v>739</v>
      </c>
      <c r="D20" s="92" t="s">
        <v>250</v>
      </c>
      <c r="E20" s="39" t="s">
        <v>20</v>
      </c>
      <c r="F20" s="91" t="s">
        <v>21</v>
      </c>
      <c r="G20" s="79" t="s">
        <v>22</v>
      </c>
      <c r="H20" s="39"/>
      <c r="I20" s="92"/>
      <c r="J20" s="39"/>
      <c r="K20" s="39" t="s">
        <v>22</v>
      </c>
      <c r="L20" s="39"/>
      <c r="M20" s="39"/>
      <c r="N20" s="39"/>
      <c r="O20" s="39"/>
      <c r="P20" s="80"/>
      <c r="Q20" s="60">
        <f>random_key!A73</f>
        <v>0.2060904439</v>
      </c>
    </row>
    <row r="21">
      <c r="A21" s="80">
        <v>107.0</v>
      </c>
      <c r="B21" s="125" t="s">
        <v>307</v>
      </c>
      <c r="C21" s="125" t="s">
        <v>756</v>
      </c>
      <c r="D21" s="80" t="s">
        <v>309</v>
      </c>
      <c r="E21" s="39" t="s">
        <v>20</v>
      </c>
      <c r="F21" s="91" t="s">
        <v>21</v>
      </c>
      <c r="G21" s="79"/>
      <c r="H21" s="39" t="s">
        <v>22</v>
      </c>
      <c r="I21" s="92"/>
      <c r="J21" s="39"/>
      <c r="K21" s="39"/>
      <c r="L21" s="39"/>
      <c r="M21" s="39"/>
      <c r="N21" s="39"/>
      <c r="O21" s="39"/>
      <c r="P21" s="80"/>
      <c r="Q21" s="60">
        <f>random_key!A91</f>
        <v>0.208460173</v>
      </c>
    </row>
    <row r="22">
      <c r="A22" s="80">
        <v>54.0</v>
      </c>
      <c r="B22" s="136" t="s">
        <v>173</v>
      </c>
      <c r="C22" s="136" t="s">
        <v>715</v>
      </c>
      <c r="D22" s="92" t="s">
        <v>175</v>
      </c>
      <c r="E22" s="39" t="s">
        <v>20</v>
      </c>
      <c r="F22" s="91" t="s">
        <v>21</v>
      </c>
      <c r="G22" s="79"/>
      <c r="H22" s="39" t="s">
        <v>22</v>
      </c>
      <c r="I22" s="92"/>
      <c r="J22" s="39"/>
      <c r="K22" s="39"/>
      <c r="L22" s="39"/>
      <c r="M22" s="39"/>
      <c r="N22" s="39"/>
      <c r="O22" s="39"/>
      <c r="P22" s="80"/>
      <c r="Q22" s="60">
        <f>random_key!A47</f>
        <v>0.2140410334</v>
      </c>
    </row>
    <row r="23">
      <c r="A23" s="80">
        <v>98.0</v>
      </c>
      <c r="B23" s="136" t="s">
        <v>277</v>
      </c>
      <c r="C23" s="136" t="s">
        <v>746</v>
      </c>
      <c r="D23" s="92" t="s">
        <v>279</v>
      </c>
      <c r="E23" s="39" t="s">
        <v>21</v>
      </c>
      <c r="F23" s="91" t="s">
        <v>20</v>
      </c>
      <c r="G23" s="79" t="s">
        <v>22</v>
      </c>
      <c r="H23" s="39"/>
      <c r="I23" s="92"/>
      <c r="J23" s="39"/>
      <c r="K23" s="39"/>
      <c r="L23" s="39"/>
      <c r="M23" s="39"/>
      <c r="N23" s="39"/>
      <c r="O23" s="39"/>
      <c r="P23" s="80"/>
      <c r="Q23" s="60">
        <f>random_key!A82</f>
        <v>0.2217316316</v>
      </c>
    </row>
    <row r="24">
      <c r="A24" s="80">
        <v>20.0</v>
      </c>
      <c r="B24" s="136" t="s">
        <v>81</v>
      </c>
      <c r="C24" s="136" t="s">
        <v>673</v>
      </c>
      <c r="D24" s="92" t="s">
        <v>80</v>
      </c>
      <c r="E24" s="39" t="s">
        <v>31</v>
      </c>
      <c r="F24" s="91" t="s">
        <v>21</v>
      </c>
      <c r="G24" s="79"/>
      <c r="H24" s="39" t="s">
        <v>22</v>
      </c>
      <c r="I24" s="92"/>
      <c r="J24" s="39"/>
      <c r="K24" s="39"/>
      <c r="L24" s="39"/>
      <c r="M24" s="39"/>
      <c r="N24" s="39"/>
      <c r="O24" s="39"/>
      <c r="P24" s="80"/>
      <c r="Q24" s="60">
        <f>random_key!A19</f>
        <v>0.2255976227</v>
      </c>
    </row>
    <row r="25">
      <c r="A25" s="80">
        <v>18.0</v>
      </c>
      <c r="B25" s="137" t="s">
        <v>75</v>
      </c>
      <c r="C25" s="136" t="s">
        <v>680</v>
      </c>
      <c r="D25" s="92" t="s">
        <v>77</v>
      </c>
      <c r="E25" s="39" t="s">
        <v>21</v>
      </c>
      <c r="F25" s="91" t="s">
        <v>20</v>
      </c>
      <c r="G25" s="79" t="s">
        <v>22</v>
      </c>
      <c r="H25" s="39"/>
      <c r="I25" s="92"/>
      <c r="J25" s="39"/>
      <c r="K25" s="39"/>
      <c r="L25" s="39"/>
      <c r="M25" s="39"/>
      <c r="N25" s="39"/>
      <c r="O25" s="39"/>
      <c r="P25" s="80"/>
      <c r="Q25" s="60">
        <f>random_key!A17</f>
        <v>0.2359531103</v>
      </c>
    </row>
    <row r="26">
      <c r="A26" s="80">
        <v>31.0</v>
      </c>
      <c r="B26" s="136" t="s">
        <v>115</v>
      </c>
      <c r="C26" s="136" t="s">
        <v>695</v>
      </c>
      <c r="D26" s="92" t="s">
        <v>117</v>
      </c>
      <c r="E26" s="39" t="s">
        <v>31</v>
      </c>
      <c r="F26" s="91" t="s">
        <v>21</v>
      </c>
      <c r="G26" s="79"/>
      <c r="H26" s="39" t="s">
        <v>22</v>
      </c>
      <c r="I26" s="92"/>
      <c r="J26" s="39"/>
      <c r="K26" s="39"/>
      <c r="L26" s="39"/>
      <c r="M26" s="39"/>
      <c r="N26" s="39"/>
      <c r="O26" s="39"/>
      <c r="P26" s="80"/>
      <c r="Q26" s="60">
        <f>random_key!A29</f>
        <v>0.2367282546</v>
      </c>
    </row>
    <row r="27">
      <c r="A27" s="80">
        <v>49.0</v>
      </c>
      <c r="B27" s="136" t="s">
        <v>162</v>
      </c>
      <c r="C27" s="136" t="s">
        <v>711</v>
      </c>
      <c r="D27" s="92" t="s">
        <v>164</v>
      </c>
      <c r="E27" s="39" t="s">
        <v>20</v>
      </c>
      <c r="F27" s="91" t="s">
        <v>21</v>
      </c>
      <c r="G27" s="79"/>
      <c r="H27" s="39" t="s">
        <v>22</v>
      </c>
      <c r="I27" s="92"/>
      <c r="J27" s="39"/>
      <c r="K27" s="39"/>
      <c r="L27" s="39"/>
      <c r="M27" s="39"/>
      <c r="N27" s="39"/>
      <c r="O27" s="39"/>
      <c r="P27" s="80"/>
      <c r="Q27" s="60">
        <f>random_key!A44</f>
        <v>0.2390760191</v>
      </c>
    </row>
    <row r="28">
      <c r="A28" s="80">
        <v>46.0</v>
      </c>
      <c r="B28" s="136" t="s">
        <v>153</v>
      </c>
      <c r="C28" s="136" t="s">
        <v>708</v>
      </c>
      <c r="D28" s="92" t="s">
        <v>42</v>
      </c>
      <c r="E28" s="39" t="s">
        <v>21</v>
      </c>
      <c r="F28" s="91" t="s">
        <v>20</v>
      </c>
      <c r="G28" s="79" t="s">
        <v>22</v>
      </c>
      <c r="H28" s="39"/>
      <c r="I28" s="92"/>
      <c r="J28" s="39"/>
      <c r="K28" s="39"/>
      <c r="L28" s="39"/>
      <c r="M28" s="39"/>
      <c r="N28" s="39"/>
      <c r="O28" s="39"/>
      <c r="P28" s="80"/>
      <c r="Q28" s="60">
        <f>random_key!A41</f>
        <v>0.2504741674</v>
      </c>
    </row>
    <row r="29">
      <c r="A29" s="80">
        <v>21.0</v>
      </c>
      <c r="B29" s="136" t="s">
        <v>83</v>
      </c>
      <c r="C29" s="136" t="s">
        <v>682</v>
      </c>
      <c r="D29" s="92" t="s">
        <v>85</v>
      </c>
      <c r="E29" s="39" t="s">
        <v>20</v>
      </c>
      <c r="F29" s="91" t="s">
        <v>21</v>
      </c>
      <c r="G29" s="79"/>
      <c r="H29" s="39" t="s">
        <v>22</v>
      </c>
      <c r="I29" s="92"/>
      <c r="J29" s="39"/>
      <c r="K29" s="39"/>
      <c r="L29" s="39"/>
      <c r="M29" s="39"/>
      <c r="N29" s="39"/>
      <c r="O29" s="39"/>
      <c r="P29" s="80"/>
      <c r="Q29" s="60">
        <f>random_key!A20</f>
        <v>0.2628754448</v>
      </c>
    </row>
    <row r="30">
      <c r="A30" s="80">
        <v>101.0</v>
      </c>
      <c r="B30" s="125" t="s">
        <v>286</v>
      </c>
      <c r="C30" s="125" t="s">
        <v>749</v>
      </c>
      <c r="D30" s="80" t="s">
        <v>38</v>
      </c>
      <c r="E30" s="39" t="s">
        <v>31</v>
      </c>
      <c r="F30" s="91" t="s">
        <v>21</v>
      </c>
      <c r="G30" s="79" t="s">
        <v>22</v>
      </c>
      <c r="H30" s="39"/>
      <c r="I30" s="92"/>
      <c r="J30" s="39"/>
      <c r="K30" s="39"/>
      <c r="L30" s="39"/>
      <c r="M30" s="39"/>
      <c r="N30" s="39"/>
      <c r="O30" s="39"/>
      <c r="P30" s="80" t="s">
        <v>1011</v>
      </c>
      <c r="Q30" s="60">
        <f>random_key!A85</f>
        <v>0.2733204148</v>
      </c>
    </row>
    <row r="31">
      <c r="A31" s="80">
        <v>81.0</v>
      </c>
      <c r="B31" s="136" t="s">
        <v>240</v>
      </c>
      <c r="C31" s="136" t="s">
        <v>737</v>
      </c>
      <c r="D31" s="92" t="s">
        <v>242</v>
      </c>
      <c r="E31" s="39" t="s">
        <v>20</v>
      </c>
      <c r="F31" s="91" t="s">
        <v>21</v>
      </c>
      <c r="G31" s="79"/>
      <c r="H31" s="39" t="s">
        <v>22</v>
      </c>
      <c r="I31" s="92"/>
      <c r="J31" s="39"/>
      <c r="K31" s="39"/>
      <c r="L31" s="39"/>
      <c r="M31" s="39"/>
      <c r="N31" s="39"/>
      <c r="O31" s="39"/>
      <c r="P31" s="80"/>
      <c r="Q31" s="60">
        <f>random_key!A71</f>
        <v>0.278433439</v>
      </c>
    </row>
    <row r="32">
      <c r="A32" s="80">
        <v>104.0</v>
      </c>
      <c r="B32" s="125" t="s">
        <v>296</v>
      </c>
      <c r="C32" s="125" t="s">
        <v>753</v>
      </c>
      <c r="D32" s="80" t="s">
        <v>298</v>
      </c>
      <c r="E32" s="39" t="s">
        <v>20</v>
      </c>
      <c r="F32" s="91" t="s">
        <v>21</v>
      </c>
      <c r="G32" s="79"/>
      <c r="H32" s="39" t="s">
        <v>22</v>
      </c>
      <c r="I32" s="92"/>
      <c r="J32" s="39"/>
      <c r="K32" s="39"/>
      <c r="L32" s="39"/>
      <c r="M32" s="39"/>
      <c r="N32" s="39"/>
      <c r="O32" s="39"/>
      <c r="P32" s="80"/>
      <c r="Q32" s="60">
        <f>random_key!A88</f>
        <v>0.2798860334</v>
      </c>
    </row>
    <row r="33">
      <c r="A33" s="80">
        <v>42.0</v>
      </c>
      <c r="B33" s="136" t="s">
        <v>139</v>
      </c>
      <c r="C33" s="136" t="s">
        <v>703</v>
      </c>
      <c r="D33" s="92" t="s">
        <v>141</v>
      </c>
      <c r="E33" s="39" t="s">
        <v>31</v>
      </c>
      <c r="F33" s="91" t="s">
        <v>21</v>
      </c>
      <c r="G33" s="79" t="s">
        <v>22</v>
      </c>
      <c r="H33" s="39"/>
      <c r="I33" s="92"/>
      <c r="J33" s="39"/>
      <c r="K33" s="39"/>
      <c r="L33" s="39"/>
      <c r="M33" s="39"/>
      <c r="N33" s="39"/>
      <c r="O33" s="39"/>
      <c r="P33" s="80" t="s">
        <v>1009</v>
      </c>
      <c r="Q33" s="60">
        <f>random_key!A37</f>
        <v>0.2853436585</v>
      </c>
    </row>
    <row r="34">
      <c r="A34" s="80">
        <v>3.0</v>
      </c>
      <c r="B34" s="136" t="s">
        <v>23</v>
      </c>
      <c r="C34" s="136" t="s">
        <v>663</v>
      </c>
      <c r="D34" s="92" t="s">
        <v>25</v>
      </c>
      <c r="E34" s="39" t="s">
        <v>20</v>
      </c>
      <c r="F34" s="91" t="s">
        <v>26</v>
      </c>
      <c r="G34" s="79"/>
      <c r="H34" s="39" t="s">
        <v>22</v>
      </c>
      <c r="I34" s="92"/>
      <c r="J34" s="39"/>
      <c r="K34" s="39"/>
      <c r="L34" s="39"/>
      <c r="M34" s="39"/>
      <c r="N34" s="39" t="s">
        <v>22</v>
      </c>
      <c r="O34" s="39" t="s">
        <v>22</v>
      </c>
      <c r="P34" s="80"/>
      <c r="Q34" s="60">
        <f>random_key!A2</f>
        <v>0.3018055165</v>
      </c>
    </row>
    <row r="35">
      <c r="A35" s="140">
        <v>116.0</v>
      </c>
      <c r="B35" s="125" t="s">
        <v>329</v>
      </c>
      <c r="C35" s="125" t="s">
        <v>763</v>
      </c>
      <c r="D35" s="80" t="s">
        <v>331</v>
      </c>
      <c r="E35" s="39" t="s">
        <v>26</v>
      </c>
      <c r="F35" s="91" t="s">
        <v>21</v>
      </c>
      <c r="G35" s="79"/>
      <c r="H35" s="39" t="s">
        <v>22</v>
      </c>
      <c r="I35" s="92"/>
      <c r="J35" s="39"/>
      <c r="K35" s="39"/>
      <c r="L35" s="39"/>
      <c r="M35" s="39"/>
      <c r="N35" s="39"/>
      <c r="O35" s="39"/>
      <c r="P35" s="80"/>
      <c r="Q35" s="60">
        <f>random_key!A98</f>
        <v>0.340759892</v>
      </c>
    </row>
    <row r="36">
      <c r="A36" s="80">
        <v>27.0</v>
      </c>
      <c r="B36" s="136" t="s">
        <v>101</v>
      </c>
      <c r="C36" s="136" t="s">
        <v>690</v>
      </c>
      <c r="D36" s="92" t="s">
        <v>103</v>
      </c>
      <c r="E36" s="39" t="s">
        <v>20</v>
      </c>
      <c r="F36" s="91" t="s">
        <v>21</v>
      </c>
      <c r="G36" s="79"/>
      <c r="H36" s="39" t="s">
        <v>22</v>
      </c>
      <c r="I36" s="92"/>
      <c r="J36" s="39"/>
      <c r="K36" s="39"/>
      <c r="L36" s="39"/>
      <c r="M36" s="39"/>
      <c r="N36" s="39"/>
      <c r="O36" s="39"/>
      <c r="P36" s="80"/>
      <c r="Q36" s="60">
        <f>random_key!A25</f>
        <v>0.3472535053</v>
      </c>
    </row>
    <row r="37">
      <c r="A37" s="80">
        <v>51.0</v>
      </c>
      <c r="B37" s="136" t="s">
        <v>166</v>
      </c>
      <c r="C37" s="136" t="s">
        <v>713</v>
      </c>
      <c r="D37" s="92" t="s">
        <v>168</v>
      </c>
      <c r="E37" s="39" t="s">
        <v>21</v>
      </c>
      <c r="F37" s="91" t="s">
        <v>31</v>
      </c>
      <c r="G37" s="79" t="s">
        <v>22</v>
      </c>
      <c r="H37" s="39"/>
      <c r="I37" s="92"/>
      <c r="J37" s="39"/>
      <c r="K37" s="39"/>
      <c r="L37" s="39"/>
      <c r="M37" s="39"/>
      <c r="N37" s="39"/>
      <c r="O37" s="39"/>
      <c r="P37" s="80"/>
      <c r="Q37" s="60">
        <f>random_key!A45</f>
        <v>0.3495666817</v>
      </c>
    </row>
    <row r="38">
      <c r="A38" s="80">
        <v>7.0</v>
      </c>
      <c r="B38" s="136" t="s">
        <v>40</v>
      </c>
      <c r="C38" s="136" t="s">
        <v>668</v>
      </c>
      <c r="D38" s="92" t="s">
        <v>42</v>
      </c>
      <c r="E38" s="39" t="s">
        <v>21</v>
      </c>
      <c r="F38" s="91" t="s">
        <v>20</v>
      </c>
      <c r="G38" s="79" t="s">
        <v>22</v>
      </c>
      <c r="H38" s="39"/>
      <c r="I38" s="92"/>
      <c r="J38" s="39"/>
      <c r="K38" s="39"/>
      <c r="L38" s="39"/>
      <c r="M38" s="39"/>
      <c r="N38" s="39"/>
      <c r="O38" s="39"/>
      <c r="P38" s="80"/>
      <c r="Q38" s="60">
        <f>random_key!A6</f>
        <v>0.3538941995</v>
      </c>
    </row>
    <row r="39">
      <c r="A39" s="80">
        <v>94.0</v>
      </c>
      <c r="B39" s="136" t="s">
        <v>268</v>
      </c>
      <c r="C39" s="136" t="s">
        <v>744</v>
      </c>
      <c r="D39" s="92" t="s">
        <v>270</v>
      </c>
      <c r="E39" s="39" t="s">
        <v>20</v>
      </c>
      <c r="F39" s="91" t="s">
        <v>21</v>
      </c>
      <c r="G39" s="79" t="s">
        <v>22</v>
      </c>
      <c r="H39" s="39"/>
      <c r="I39" s="92"/>
      <c r="J39" s="39"/>
      <c r="K39" s="39" t="s">
        <v>22</v>
      </c>
      <c r="L39" s="39"/>
      <c r="M39" s="39"/>
      <c r="N39" s="39"/>
      <c r="O39" s="39"/>
      <c r="P39" s="80"/>
      <c r="Q39" s="60">
        <f>random_key!A79</f>
        <v>0.4195941883</v>
      </c>
    </row>
    <row r="40">
      <c r="A40" s="80">
        <v>6.0</v>
      </c>
      <c r="B40" s="136" t="s">
        <v>36</v>
      </c>
      <c r="C40" s="136" t="s">
        <v>666</v>
      </c>
      <c r="D40" s="92" t="s">
        <v>38</v>
      </c>
      <c r="E40" s="39" t="s">
        <v>20</v>
      </c>
      <c r="F40" s="91" t="s">
        <v>21</v>
      </c>
      <c r="G40" s="79" t="s">
        <v>22</v>
      </c>
      <c r="H40" s="39"/>
      <c r="I40" s="92"/>
      <c r="J40" s="39"/>
      <c r="K40" s="39"/>
      <c r="L40" s="39"/>
      <c r="M40" s="39"/>
      <c r="N40" s="39" t="s">
        <v>22</v>
      </c>
      <c r="O40" s="39"/>
      <c r="P40" s="80" t="s">
        <v>1006</v>
      </c>
      <c r="Q40" s="60">
        <f>random_key!A5</f>
        <v>0.4200862284</v>
      </c>
    </row>
    <row r="41">
      <c r="A41" s="80">
        <v>96.0</v>
      </c>
      <c r="B41" s="137" t="s">
        <v>273</v>
      </c>
      <c r="C41" s="136" t="s">
        <v>745</v>
      </c>
      <c r="D41" s="92" t="s">
        <v>275</v>
      </c>
      <c r="E41" s="39" t="s">
        <v>21</v>
      </c>
      <c r="F41" s="91" t="s">
        <v>20</v>
      </c>
      <c r="G41" s="79" t="s">
        <v>22</v>
      </c>
      <c r="H41" s="39"/>
      <c r="I41" s="92"/>
      <c r="J41" s="39"/>
      <c r="K41" s="39"/>
      <c r="L41" s="39"/>
      <c r="M41" s="39"/>
      <c r="N41" s="39"/>
      <c r="O41" s="39"/>
      <c r="P41" s="80"/>
      <c r="Q41" s="60">
        <f>random_key!A81</f>
        <v>0.4456763806</v>
      </c>
    </row>
    <row r="42">
      <c r="A42" s="80">
        <v>90.0</v>
      </c>
      <c r="B42" s="136" t="s">
        <v>257</v>
      </c>
      <c r="C42" s="136" t="s">
        <v>741</v>
      </c>
      <c r="D42" s="92" t="s">
        <v>259</v>
      </c>
      <c r="E42" s="39" t="s">
        <v>20</v>
      </c>
      <c r="F42" s="91" t="s">
        <v>26</v>
      </c>
      <c r="G42" s="79"/>
      <c r="H42" s="39" t="s">
        <v>22</v>
      </c>
      <c r="I42" s="92"/>
      <c r="J42" s="39"/>
      <c r="K42" s="39"/>
      <c r="L42" s="39"/>
      <c r="M42" s="39"/>
      <c r="N42" s="39"/>
      <c r="O42" s="39"/>
      <c r="P42" s="80" t="s">
        <v>12</v>
      </c>
      <c r="Q42" s="60">
        <f>random_key!A76</f>
        <v>0.4472647815</v>
      </c>
    </row>
    <row r="43">
      <c r="A43" s="80">
        <v>22.0</v>
      </c>
      <c r="B43" s="136" t="s">
        <v>86</v>
      </c>
      <c r="C43" s="136" t="s">
        <v>683</v>
      </c>
      <c r="D43" s="92" t="s">
        <v>88</v>
      </c>
      <c r="E43" s="39" t="s">
        <v>21</v>
      </c>
      <c r="F43" s="91" t="s">
        <v>31</v>
      </c>
      <c r="G43" s="79" t="s">
        <v>22</v>
      </c>
      <c r="H43" s="39"/>
      <c r="I43" s="92"/>
      <c r="J43" s="39"/>
      <c r="K43" s="39"/>
      <c r="L43" s="39"/>
      <c r="M43" s="39"/>
      <c r="N43" s="39"/>
      <c r="O43" s="39"/>
      <c r="P43" s="80"/>
      <c r="Q43" s="60">
        <f>random_key!A21</f>
        <v>0.4672776255</v>
      </c>
    </row>
    <row r="44">
      <c r="A44" s="80">
        <v>37.0</v>
      </c>
      <c r="B44" s="136" t="s">
        <v>128</v>
      </c>
      <c r="C44" s="136" t="s">
        <v>700</v>
      </c>
      <c r="D44" s="92" t="s">
        <v>64</v>
      </c>
      <c r="E44" s="39" t="s">
        <v>21</v>
      </c>
      <c r="F44" s="91" t="s">
        <v>20</v>
      </c>
      <c r="G44" s="79" t="s">
        <v>22</v>
      </c>
      <c r="H44" s="39"/>
      <c r="I44" s="92"/>
      <c r="J44" s="39"/>
      <c r="K44" s="39"/>
      <c r="L44" s="39"/>
      <c r="M44" s="39"/>
      <c r="N44" s="39"/>
      <c r="O44" s="39"/>
      <c r="P44" s="80"/>
      <c r="Q44" s="60">
        <f>random_key!A33</f>
        <v>0.48600759</v>
      </c>
    </row>
    <row r="45">
      <c r="A45" s="80">
        <v>69.0</v>
      </c>
      <c r="B45" s="136" t="s">
        <v>207</v>
      </c>
      <c r="C45" s="136" t="s">
        <v>727</v>
      </c>
      <c r="D45" s="92" t="s">
        <v>209</v>
      </c>
      <c r="E45" s="39" t="s">
        <v>21</v>
      </c>
      <c r="F45" s="91" t="s">
        <v>31</v>
      </c>
      <c r="G45" s="79" t="s">
        <v>22</v>
      </c>
      <c r="H45" s="39"/>
      <c r="I45" s="92"/>
      <c r="J45" s="39"/>
      <c r="K45" s="39"/>
      <c r="L45" s="39"/>
      <c r="M45" s="39"/>
      <c r="N45" s="39"/>
      <c r="O45" s="39"/>
      <c r="P45" s="80"/>
      <c r="Q45" s="60">
        <f>random_key!A59</f>
        <v>0.4909575479</v>
      </c>
    </row>
    <row r="46">
      <c r="A46" s="80">
        <v>47.0</v>
      </c>
      <c r="B46" s="136" t="s">
        <v>155</v>
      </c>
      <c r="C46" s="136" t="s">
        <v>709</v>
      </c>
      <c r="D46" s="92" t="s">
        <v>157</v>
      </c>
      <c r="E46" s="39" t="s">
        <v>21</v>
      </c>
      <c r="F46" s="91" t="s">
        <v>20</v>
      </c>
      <c r="G46" s="79" t="s">
        <v>22</v>
      </c>
      <c r="H46" s="39"/>
      <c r="I46" s="92"/>
      <c r="J46" s="39"/>
      <c r="K46" s="39"/>
      <c r="L46" s="39"/>
      <c r="M46" s="39"/>
      <c r="N46" s="39"/>
      <c r="O46" s="39"/>
      <c r="P46" s="80"/>
      <c r="Q46" s="60">
        <f>random_key!A42</f>
        <v>0.5062348543</v>
      </c>
    </row>
    <row r="47">
      <c r="A47" s="80">
        <v>43.0</v>
      </c>
      <c r="B47" s="136" t="s">
        <v>143</v>
      </c>
      <c r="C47" s="136" t="s">
        <v>705</v>
      </c>
      <c r="D47" s="92" t="s">
        <v>145</v>
      </c>
      <c r="E47" s="39" t="s">
        <v>20</v>
      </c>
      <c r="F47" s="91" t="s">
        <v>21</v>
      </c>
      <c r="G47" s="79" t="s">
        <v>22</v>
      </c>
      <c r="H47" s="39"/>
      <c r="I47" s="92"/>
      <c r="J47" s="39" t="s">
        <v>22</v>
      </c>
      <c r="K47" s="39"/>
      <c r="L47" s="39"/>
      <c r="M47" s="39"/>
      <c r="N47" s="39"/>
      <c r="O47" s="39"/>
      <c r="P47" s="80"/>
      <c r="Q47" s="60">
        <f>random_key!A38</f>
        <v>0.5320225834</v>
      </c>
    </row>
    <row r="48">
      <c r="A48" s="80">
        <v>66.0</v>
      </c>
      <c r="B48" s="136" t="s">
        <v>202</v>
      </c>
      <c r="C48" s="136" t="s">
        <v>725</v>
      </c>
      <c r="D48" s="92" t="s">
        <v>204</v>
      </c>
      <c r="E48" s="39" t="s">
        <v>21</v>
      </c>
      <c r="F48" s="91" t="s">
        <v>20</v>
      </c>
      <c r="G48" s="79" t="s">
        <v>22</v>
      </c>
      <c r="H48" s="39"/>
      <c r="I48" s="92"/>
      <c r="J48" s="39"/>
      <c r="K48" s="39"/>
      <c r="L48" s="39"/>
      <c r="M48" s="39"/>
      <c r="N48" s="39"/>
      <c r="O48" s="39"/>
      <c r="P48" s="80"/>
      <c r="Q48" s="60">
        <f>random_key!A57</f>
        <v>0.5392406636</v>
      </c>
    </row>
    <row r="49">
      <c r="A49" s="80">
        <v>113.0</v>
      </c>
      <c r="B49" s="125" t="s">
        <v>318</v>
      </c>
      <c r="C49" s="125" t="s">
        <v>759</v>
      </c>
      <c r="D49" s="80" t="s">
        <v>95</v>
      </c>
      <c r="E49" s="39" t="s">
        <v>21</v>
      </c>
      <c r="F49" s="91" t="s">
        <v>20</v>
      </c>
      <c r="G49" s="79" t="s">
        <v>22</v>
      </c>
      <c r="H49" s="39"/>
      <c r="I49" s="92"/>
      <c r="J49" s="39"/>
      <c r="K49" s="39"/>
      <c r="L49" s="39"/>
      <c r="M49" s="39"/>
      <c r="N49" s="39"/>
      <c r="O49" s="39"/>
      <c r="P49" s="80"/>
      <c r="Q49" s="60">
        <f>random_key!A95</f>
        <v>0.5528709074</v>
      </c>
    </row>
    <row r="50">
      <c r="A50" s="80">
        <v>9.0</v>
      </c>
      <c r="B50" s="136" t="s">
        <v>46</v>
      </c>
      <c r="C50" s="136" t="s">
        <v>670</v>
      </c>
      <c r="D50" s="92" t="s">
        <v>48</v>
      </c>
      <c r="E50" s="39" t="s">
        <v>31</v>
      </c>
      <c r="F50" s="91" t="s">
        <v>21</v>
      </c>
      <c r="G50" s="79" t="s">
        <v>22</v>
      </c>
      <c r="H50" s="39"/>
      <c r="I50" s="92"/>
      <c r="J50" s="39" t="s">
        <v>22</v>
      </c>
      <c r="K50" s="39"/>
      <c r="L50" s="39"/>
      <c r="M50" s="39"/>
      <c r="N50" s="39"/>
      <c r="O50" s="39"/>
      <c r="P50" s="80" t="s">
        <v>1007</v>
      </c>
      <c r="Q50" s="60">
        <f>random_key!A8</f>
        <v>0.554984421</v>
      </c>
    </row>
    <row r="51">
      <c r="A51" s="80">
        <v>12.0</v>
      </c>
      <c r="B51" s="136" t="s">
        <v>55</v>
      </c>
      <c r="C51" s="136" t="s">
        <v>673</v>
      </c>
      <c r="D51" s="92" t="s">
        <v>57</v>
      </c>
      <c r="E51" s="39" t="s">
        <v>31</v>
      </c>
      <c r="F51" s="91" t="s">
        <v>21</v>
      </c>
      <c r="G51" s="79"/>
      <c r="H51" s="39" t="s">
        <v>22</v>
      </c>
      <c r="I51" s="92"/>
      <c r="J51" s="39"/>
      <c r="K51" s="39"/>
      <c r="L51" s="39"/>
      <c r="M51" s="39"/>
      <c r="N51" s="39"/>
      <c r="O51" s="39"/>
      <c r="P51" s="80"/>
      <c r="Q51" s="60">
        <f>random_key!A11</f>
        <v>0.5740921633</v>
      </c>
    </row>
    <row r="52">
      <c r="A52" s="80">
        <v>17.0</v>
      </c>
      <c r="B52" s="136" t="s">
        <v>72</v>
      </c>
      <c r="C52" s="136" t="s">
        <v>679</v>
      </c>
      <c r="D52" s="92" t="s">
        <v>74</v>
      </c>
      <c r="E52" s="39" t="s">
        <v>20</v>
      </c>
      <c r="F52" s="91" t="s">
        <v>21</v>
      </c>
      <c r="G52" s="79"/>
      <c r="H52" s="39" t="s">
        <v>22</v>
      </c>
      <c r="I52" s="92"/>
      <c r="J52" s="39"/>
      <c r="K52" s="39"/>
      <c r="L52" s="39"/>
      <c r="M52" s="39"/>
      <c r="N52" s="39"/>
      <c r="O52" s="39"/>
      <c r="P52" s="80"/>
      <c r="Q52" s="60">
        <f>random_key!A16</f>
        <v>0.5758198613</v>
      </c>
    </row>
    <row r="53">
      <c r="A53" s="80">
        <v>14.0</v>
      </c>
      <c r="B53" s="136" t="s">
        <v>62</v>
      </c>
      <c r="C53" s="136" t="s">
        <v>676</v>
      </c>
      <c r="D53" s="92" t="s">
        <v>64</v>
      </c>
      <c r="E53" s="39" t="s">
        <v>20</v>
      </c>
      <c r="F53" s="91" t="s">
        <v>26</v>
      </c>
      <c r="G53" s="79"/>
      <c r="H53" s="39" t="s">
        <v>22</v>
      </c>
      <c r="I53" s="92"/>
      <c r="J53" s="39"/>
      <c r="K53" s="39"/>
      <c r="L53" s="39"/>
      <c r="M53" s="39"/>
      <c r="N53" s="39" t="s">
        <v>22</v>
      </c>
      <c r="O53" s="39" t="s">
        <v>22</v>
      </c>
      <c r="P53" s="80"/>
      <c r="Q53" s="60">
        <f>random_key!A13</f>
        <v>0.5806079571</v>
      </c>
    </row>
    <row r="54">
      <c r="A54" s="80">
        <v>99.0</v>
      </c>
      <c r="B54" s="136" t="s">
        <v>281</v>
      </c>
      <c r="C54" s="136" t="s">
        <v>747</v>
      </c>
      <c r="D54" s="92" t="s">
        <v>57</v>
      </c>
      <c r="E54" s="39" t="s">
        <v>31</v>
      </c>
      <c r="F54" s="91" t="s">
        <v>21</v>
      </c>
      <c r="G54" s="79"/>
      <c r="H54" s="39" t="s">
        <v>22</v>
      </c>
      <c r="I54" s="92"/>
      <c r="J54" s="39"/>
      <c r="K54" s="39"/>
      <c r="L54" s="39"/>
      <c r="M54" s="39"/>
      <c r="N54" s="39"/>
      <c r="O54" s="39"/>
      <c r="P54" s="80"/>
      <c r="Q54" s="60">
        <f>random_key!A83</f>
        <v>0.5810969474</v>
      </c>
    </row>
    <row r="55">
      <c r="A55" s="140">
        <v>118.0</v>
      </c>
      <c r="B55" s="125" t="s">
        <v>336</v>
      </c>
      <c r="C55" s="125" t="s">
        <v>765</v>
      </c>
      <c r="D55" s="92" t="s">
        <v>338</v>
      </c>
      <c r="E55" s="39" t="s">
        <v>26</v>
      </c>
      <c r="F55" s="91" t="s">
        <v>21</v>
      </c>
      <c r="G55" s="141" t="s">
        <v>22</v>
      </c>
      <c r="H55" s="60"/>
      <c r="I55" s="80"/>
      <c r="J55" s="60"/>
      <c r="K55" s="60"/>
      <c r="L55" s="60"/>
      <c r="M55" s="60"/>
      <c r="N55" s="60"/>
      <c r="O55" s="60"/>
      <c r="P55" s="80"/>
      <c r="Q55" s="60">
        <f>random_key!A100</f>
        <v>0.5847508866</v>
      </c>
    </row>
    <row r="56">
      <c r="A56" s="80">
        <v>19.0</v>
      </c>
      <c r="B56" s="136" t="s">
        <v>78</v>
      </c>
      <c r="C56" s="136" t="s">
        <v>681</v>
      </c>
      <c r="D56" s="92" t="s">
        <v>80</v>
      </c>
      <c r="E56" s="39" t="s">
        <v>20</v>
      </c>
      <c r="F56" s="91" t="s">
        <v>21</v>
      </c>
      <c r="G56" s="79"/>
      <c r="H56" s="39" t="s">
        <v>22</v>
      </c>
      <c r="I56" s="92"/>
      <c r="J56" s="39"/>
      <c r="K56" s="39"/>
      <c r="L56" s="39"/>
      <c r="M56" s="39"/>
      <c r="N56" s="39"/>
      <c r="O56" s="39"/>
      <c r="P56" s="80"/>
      <c r="Q56" s="60">
        <f>random_key!A18</f>
        <v>0.586809022</v>
      </c>
    </row>
    <row r="57">
      <c r="A57" s="140">
        <v>117.0</v>
      </c>
      <c r="B57" s="125" t="s">
        <v>333</v>
      </c>
      <c r="C57" s="125" t="s">
        <v>764</v>
      </c>
      <c r="D57" s="80" t="s">
        <v>110</v>
      </c>
      <c r="E57" s="39" t="s">
        <v>26</v>
      </c>
      <c r="F57" s="91" t="s">
        <v>20</v>
      </c>
      <c r="G57" s="79" t="s">
        <v>22</v>
      </c>
      <c r="H57" s="39"/>
      <c r="I57" s="92"/>
      <c r="J57" s="39"/>
      <c r="K57" s="39" t="s">
        <v>22</v>
      </c>
      <c r="L57" s="39"/>
      <c r="M57" s="39"/>
      <c r="N57" s="39"/>
      <c r="O57" s="39"/>
      <c r="P57" s="80"/>
      <c r="Q57" s="60">
        <f>random_key!A99</f>
        <v>0.5960798585</v>
      </c>
    </row>
    <row r="58">
      <c r="A58" s="80">
        <v>2.0</v>
      </c>
      <c r="B58" s="136" t="s">
        <v>17</v>
      </c>
      <c r="C58" s="136" t="s">
        <v>662</v>
      </c>
      <c r="D58" s="92" t="s">
        <v>19</v>
      </c>
      <c r="E58" s="39" t="s">
        <v>20</v>
      </c>
      <c r="F58" s="91" t="s">
        <v>21</v>
      </c>
      <c r="G58" s="79"/>
      <c r="H58" s="39" t="s">
        <v>22</v>
      </c>
      <c r="I58" s="92"/>
      <c r="J58" s="39"/>
      <c r="K58" s="39"/>
      <c r="L58" s="39"/>
      <c r="M58" s="39"/>
      <c r="N58" s="39"/>
      <c r="O58" s="39"/>
      <c r="P58" s="80"/>
      <c r="Q58" s="60">
        <f>random_key!A1</f>
        <v>0.6058113928</v>
      </c>
    </row>
    <row r="59">
      <c r="A59" s="80">
        <v>30.0</v>
      </c>
      <c r="B59" s="136" t="s">
        <v>112</v>
      </c>
      <c r="C59" s="136" t="s">
        <v>694</v>
      </c>
      <c r="D59" s="92" t="s">
        <v>114</v>
      </c>
      <c r="E59" s="39" t="s">
        <v>21</v>
      </c>
      <c r="F59" s="91" t="s">
        <v>20</v>
      </c>
      <c r="G59" s="79" t="s">
        <v>22</v>
      </c>
      <c r="H59" s="39"/>
      <c r="I59" s="92"/>
      <c r="J59" s="39"/>
      <c r="K59" s="39"/>
      <c r="L59" s="39"/>
      <c r="M59" s="39"/>
      <c r="N59" s="39"/>
      <c r="O59" s="39"/>
      <c r="P59" s="80"/>
      <c r="Q59" s="60">
        <f>random_key!A28</f>
        <v>0.6095717857</v>
      </c>
    </row>
    <row r="60">
      <c r="A60" s="80">
        <v>28.0</v>
      </c>
      <c r="B60" s="136" t="s">
        <v>105</v>
      </c>
      <c r="C60" s="136" t="s">
        <v>692</v>
      </c>
      <c r="D60" s="92" t="s">
        <v>107</v>
      </c>
      <c r="E60" s="39" t="s">
        <v>31</v>
      </c>
      <c r="F60" s="91" t="s">
        <v>21</v>
      </c>
      <c r="G60" s="79"/>
      <c r="H60" s="39" t="s">
        <v>22</v>
      </c>
      <c r="I60" s="92"/>
      <c r="J60" s="39"/>
      <c r="K60" s="39"/>
      <c r="L60" s="39"/>
      <c r="M60" s="39"/>
      <c r="N60" s="39"/>
      <c r="O60" s="39"/>
      <c r="P60" s="80"/>
      <c r="Q60" s="60">
        <f>random_key!A26</f>
        <v>0.6126845745</v>
      </c>
    </row>
    <row r="61">
      <c r="A61" s="80">
        <v>73.0</v>
      </c>
      <c r="B61" s="136" t="s">
        <v>218</v>
      </c>
      <c r="C61" s="136" t="s">
        <v>730</v>
      </c>
      <c r="D61" s="92" t="s">
        <v>220</v>
      </c>
      <c r="E61" s="39" t="s">
        <v>20</v>
      </c>
      <c r="F61" s="91" t="s">
        <v>21</v>
      </c>
      <c r="G61" s="79"/>
      <c r="H61" s="39" t="s">
        <v>22</v>
      </c>
      <c r="I61" s="92"/>
      <c r="J61" s="39"/>
      <c r="K61" s="39"/>
      <c r="L61" s="39"/>
      <c r="M61" s="39"/>
      <c r="N61" s="39"/>
      <c r="O61" s="39"/>
      <c r="P61" s="80"/>
      <c r="Q61" s="60">
        <f>random_key!A63</f>
        <v>0.6156882262</v>
      </c>
    </row>
    <row r="62">
      <c r="A62" s="80">
        <v>75.0</v>
      </c>
      <c r="B62" s="136" t="s">
        <v>225</v>
      </c>
      <c r="C62" s="136" t="s">
        <v>733</v>
      </c>
      <c r="D62" s="92" t="s">
        <v>227</v>
      </c>
      <c r="E62" s="39" t="s">
        <v>21</v>
      </c>
      <c r="F62" s="91" t="s">
        <v>20</v>
      </c>
      <c r="G62" s="79" t="s">
        <v>22</v>
      </c>
      <c r="H62" s="39"/>
      <c r="I62" s="92"/>
      <c r="J62" s="39"/>
      <c r="K62" s="39"/>
      <c r="L62" s="39"/>
      <c r="M62" s="39"/>
      <c r="N62" s="39"/>
      <c r="O62" s="39"/>
      <c r="P62" s="80"/>
      <c r="Q62" s="60">
        <f>random_key!A65</f>
        <v>0.6172641741</v>
      </c>
    </row>
    <row r="63">
      <c r="A63" s="80">
        <v>57.0</v>
      </c>
      <c r="B63" s="136" t="s">
        <v>182</v>
      </c>
      <c r="C63" s="136" t="s">
        <v>718</v>
      </c>
      <c r="D63" s="92" t="s">
        <v>184</v>
      </c>
      <c r="E63" s="39" t="s">
        <v>21</v>
      </c>
      <c r="F63" s="91" t="s">
        <v>20</v>
      </c>
      <c r="G63" s="79" t="s">
        <v>22</v>
      </c>
      <c r="H63" s="39"/>
      <c r="I63" s="92"/>
      <c r="J63" s="39"/>
      <c r="K63" s="39"/>
      <c r="L63" s="39"/>
      <c r="M63" s="39"/>
      <c r="N63" s="39"/>
      <c r="O63" s="39"/>
      <c r="P63" s="80"/>
      <c r="Q63" s="60">
        <f>random_key!A50</f>
        <v>0.6196514827</v>
      </c>
    </row>
    <row r="64">
      <c r="A64" s="80">
        <v>40.0</v>
      </c>
      <c r="B64" s="136" t="s">
        <v>133</v>
      </c>
      <c r="C64" s="136" t="s">
        <v>688</v>
      </c>
      <c r="D64" s="92" t="s">
        <v>134</v>
      </c>
      <c r="E64" s="39" t="s">
        <v>31</v>
      </c>
      <c r="F64" s="91" t="s">
        <v>21</v>
      </c>
      <c r="G64" s="79"/>
      <c r="H64" s="39" t="s">
        <v>22</v>
      </c>
      <c r="I64" s="92"/>
      <c r="J64" s="39"/>
      <c r="K64" s="39"/>
      <c r="L64" s="39"/>
      <c r="M64" s="39"/>
      <c r="N64" s="39"/>
      <c r="O64" s="39"/>
      <c r="P64" s="80"/>
      <c r="Q64" s="60">
        <f>random_key!A35</f>
        <v>0.6326865327</v>
      </c>
    </row>
    <row r="65">
      <c r="A65" s="80">
        <v>61.0</v>
      </c>
      <c r="B65" s="136" t="s">
        <v>191</v>
      </c>
      <c r="C65" s="136" t="s">
        <v>721</v>
      </c>
      <c r="D65" s="92" t="s">
        <v>64</v>
      </c>
      <c r="E65" s="39" t="s">
        <v>20</v>
      </c>
      <c r="F65" s="91" t="s">
        <v>26</v>
      </c>
      <c r="G65" s="79"/>
      <c r="H65" s="39" t="s">
        <v>22</v>
      </c>
      <c r="I65" s="92"/>
      <c r="J65" s="39" t="s">
        <v>22</v>
      </c>
      <c r="K65" s="39"/>
      <c r="L65" s="39"/>
      <c r="M65" s="39"/>
      <c r="N65" s="39"/>
      <c r="O65" s="39"/>
      <c r="P65" s="80"/>
      <c r="Q65" s="60">
        <f>random_key!A53</f>
        <v>0.6338566744</v>
      </c>
    </row>
    <row r="66">
      <c r="A66" s="80">
        <v>76.0</v>
      </c>
      <c r="B66" s="136" t="s">
        <v>228</v>
      </c>
      <c r="C66" s="136" t="s">
        <v>734</v>
      </c>
      <c r="D66" s="92" t="s">
        <v>212</v>
      </c>
      <c r="E66" s="39" t="s">
        <v>20</v>
      </c>
      <c r="F66" s="91" t="s">
        <v>21</v>
      </c>
      <c r="G66" s="79"/>
      <c r="H66" s="39" t="s">
        <v>22</v>
      </c>
      <c r="I66" s="92"/>
      <c r="J66" s="39"/>
      <c r="K66" s="39"/>
      <c r="L66" s="39"/>
      <c r="M66" s="39"/>
      <c r="N66" s="39"/>
      <c r="O66" s="39"/>
      <c r="P66" s="80"/>
      <c r="Q66" s="60">
        <f>random_key!A66</f>
        <v>0.6338980481</v>
      </c>
    </row>
    <row r="67">
      <c r="A67" s="80">
        <v>79.0</v>
      </c>
      <c r="B67" s="136" t="s">
        <v>236</v>
      </c>
      <c r="C67" s="136" t="s">
        <v>715</v>
      </c>
      <c r="D67" s="92" t="s">
        <v>25</v>
      </c>
      <c r="E67" s="39" t="s">
        <v>21</v>
      </c>
      <c r="F67" s="91" t="s">
        <v>20</v>
      </c>
      <c r="G67" s="79" t="s">
        <v>22</v>
      </c>
      <c r="H67" s="39"/>
      <c r="I67" s="92"/>
      <c r="J67" s="39"/>
      <c r="K67" s="39"/>
      <c r="L67" s="39"/>
      <c r="M67" s="39"/>
      <c r="N67" s="39"/>
      <c r="O67" s="39"/>
      <c r="P67" s="80"/>
      <c r="Q67" s="60">
        <f>random_key!A69</f>
        <v>0.6380938099</v>
      </c>
    </row>
    <row r="68">
      <c r="A68" s="80">
        <v>89.0</v>
      </c>
      <c r="B68" s="136" t="s">
        <v>256</v>
      </c>
      <c r="C68" s="136" t="s">
        <v>688</v>
      </c>
      <c r="D68" s="92" t="s">
        <v>220</v>
      </c>
      <c r="E68" s="39" t="s">
        <v>31</v>
      </c>
      <c r="F68" s="91" t="s">
        <v>21</v>
      </c>
      <c r="G68" s="79"/>
      <c r="H68" s="39" t="s">
        <v>22</v>
      </c>
      <c r="I68" s="92"/>
      <c r="J68" s="39"/>
      <c r="K68" s="39"/>
      <c r="L68" s="39"/>
      <c r="M68" s="39"/>
      <c r="N68" s="39"/>
      <c r="O68" s="39"/>
      <c r="P68" s="80"/>
      <c r="Q68" s="60">
        <f>random_key!A75</f>
        <v>0.647923742</v>
      </c>
    </row>
    <row r="69">
      <c r="A69" s="80">
        <v>67.0</v>
      </c>
      <c r="B69" s="136" t="s">
        <v>205</v>
      </c>
      <c r="C69" s="136" t="s">
        <v>726</v>
      </c>
      <c r="D69" s="92" t="s">
        <v>64</v>
      </c>
      <c r="E69" s="39" t="s">
        <v>26</v>
      </c>
      <c r="F69" s="91" t="s">
        <v>20</v>
      </c>
      <c r="G69" s="79"/>
      <c r="H69" s="39" t="s">
        <v>22</v>
      </c>
      <c r="I69" s="92"/>
      <c r="J69" s="39"/>
      <c r="K69" s="39"/>
      <c r="L69" s="39"/>
      <c r="M69" s="39"/>
      <c r="N69" s="39"/>
      <c r="O69" s="39"/>
      <c r="P69" s="80" t="s">
        <v>1010</v>
      </c>
      <c r="Q69" s="60">
        <f>random_key!A58</f>
        <v>0.6700016504</v>
      </c>
    </row>
    <row r="70">
      <c r="A70" s="80">
        <v>13.0</v>
      </c>
      <c r="B70" s="136" t="s">
        <v>58</v>
      </c>
      <c r="C70" s="136" t="s">
        <v>674</v>
      </c>
      <c r="D70" s="92" t="s">
        <v>60</v>
      </c>
      <c r="E70" s="39" t="s">
        <v>20</v>
      </c>
      <c r="F70" s="91" t="s">
        <v>21</v>
      </c>
      <c r="G70" s="79" t="s">
        <v>22</v>
      </c>
      <c r="H70" s="39"/>
      <c r="I70" s="92"/>
      <c r="J70" s="39"/>
      <c r="K70" s="39"/>
      <c r="L70" s="39" t="s">
        <v>22</v>
      </c>
      <c r="M70" s="39"/>
      <c r="N70" s="39"/>
      <c r="O70" s="39"/>
      <c r="P70" s="80"/>
      <c r="Q70" s="60">
        <f>random_key!A12</f>
        <v>0.6836740545</v>
      </c>
    </row>
    <row r="71">
      <c r="A71" s="80">
        <v>11.0</v>
      </c>
      <c r="B71" s="136" t="s">
        <v>52</v>
      </c>
      <c r="C71" s="136" t="s">
        <v>672</v>
      </c>
      <c r="D71" s="92" t="s">
        <v>54</v>
      </c>
      <c r="E71" s="39" t="s">
        <v>20</v>
      </c>
      <c r="F71" s="91" t="s">
        <v>21</v>
      </c>
      <c r="G71" s="79"/>
      <c r="H71" s="39" t="s">
        <v>22</v>
      </c>
      <c r="I71" s="92"/>
      <c r="J71" s="39"/>
      <c r="K71" s="39"/>
      <c r="L71" s="39"/>
      <c r="M71" s="39"/>
      <c r="N71" s="39"/>
      <c r="O71" s="39"/>
      <c r="P71" s="80"/>
      <c r="Q71" s="60">
        <f>random_key!A10</f>
        <v>0.6919815096</v>
      </c>
    </row>
    <row r="72">
      <c r="A72" s="80">
        <v>44.0</v>
      </c>
      <c r="B72" s="136" t="s">
        <v>146</v>
      </c>
      <c r="C72" s="136" t="s">
        <v>706</v>
      </c>
      <c r="D72" s="92" t="s">
        <v>148</v>
      </c>
      <c r="E72" s="39" t="s">
        <v>21</v>
      </c>
      <c r="F72" s="91" t="s">
        <v>20</v>
      </c>
      <c r="G72" s="79" t="s">
        <v>22</v>
      </c>
      <c r="H72" s="39"/>
      <c r="I72" s="92"/>
      <c r="J72" s="39"/>
      <c r="K72" s="39"/>
      <c r="L72" s="39"/>
      <c r="M72" s="39"/>
      <c r="N72" s="39"/>
      <c r="O72" s="39"/>
      <c r="P72" s="80"/>
      <c r="Q72" s="60">
        <f>random_key!A39</f>
        <v>0.695756292</v>
      </c>
    </row>
    <row r="73">
      <c r="A73" s="80">
        <v>80.0</v>
      </c>
      <c r="B73" s="136" t="s">
        <v>237</v>
      </c>
      <c r="C73" s="136" t="s">
        <v>673</v>
      </c>
      <c r="D73" s="92" t="s">
        <v>238</v>
      </c>
      <c r="E73" s="39" t="s">
        <v>31</v>
      </c>
      <c r="F73" s="91" t="s">
        <v>21</v>
      </c>
      <c r="G73" s="79"/>
      <c r="H73" s="39" t="s">
        <v>22</v>
      </c>
      <c r="I73" s="92"/>
      <c r="J73" s="39"/>
      <c r="K73" s="39"/>
      <c r="L73" s="39"/>
      <c r="M73" s="39"/>
      <c r="N73" s="39"/>
      <c r="O73" s="39"/>
      <c r="P73" s="80"/>
      <c r="Q73" s="60">
        <f>random_key!A70</f>
        <v>0.7004230169</v>
      </c>
    </row>
    <row r="74">
      <c r="A74" s="80">
        <v>33.0</v>
      </c>
      <c r="B74" s="136" t="s">
        <v>118</v>
      </c>
      <c r="C74" s="136" t="s">
        <v>696</v>
      </c>
      <c r="D74" s="92" t="s">
        <v>120</v>
      </c>
      <c r="E74" s="39" t="s">
        <v>21</v>
      </c>
      <c r="F74" s="91" t="s">
        <v>20</v>
      </c>
      <c r="G74" s="79" t="s">
        <v>22</v>
      </c>
      <c r="H74" s="39"/>
      <c r="I74" s="92"/>
      <c r="J74" s="39"/>
      <c r="K74" s="39"/>
      <c r="L74" s="39"/>
      <c r="M74" s="39"/>
      <c r="N74" s="39"/>
      <c r="O74" s="39"/>
      <c r="P74" s="80"/>
      <c r="Q74" s="60">
        <f>random_key!A30</f>
        <v>0.723421083</v>
      </c>
    </row>
    <row r="75">
      <c r="A75" s="80">
        <v>106.0</v>
      </c>
      <c r="B75" s="125" t="s">
        <v>304</v>
      </c>
      <c r="C75" s="125" t="s">
        <v>755</v>
      </c>
      <c r="D75" s="80" t="s">
        <v>25</v>
      </c>
      <c r="E75" s="39" t="s">
        <v>26</v>
      </c>
      <c r="F75" s="91" t="s">
        <v>20</v>
      </c>
      <c r="G75" s="79" t="s">
        <v>22</v>
      </c>
      <c r="H75" s="39"/>
      <c r="I75" s="92"/>
      <c r="J75" s="39" t="s">
        <v>22</v>
      </c>
      <c r="K75" s="39"/>
      <c r="L75" s="39"/>
      <c r="M75" s="39"/>
      <c r="N75" s="39"/>
      <c r="O75" s="39"/>
      <c r="P75" s="80"/>
      <c r="Q75" s="60">
        <f>random_key!A90</f>
        <v>0.727142934</v>
      </c>
    </row>
    <row r="76">
      <c r="A76" s="80">
        <v>86.0</v>
      </c>
      <c r="B76" s="136" t="s">
        <v>252</v>
      </c>
      <c r="C76" s="136" t="s">
        <v>740</v>
      </c>
      <c r="D76" s="92" t="s">
        <v>254</v>
      </c>
      <c r="E76" s="39" t="s">
        <v>20</v>
      </c>
      <c r="F76" s="91" t="s">
        <v>21</v>
      </c>
      <c r="G76" s="79"/>
      <c r="H76" s="39" t="s">
        <v>22</v>
      </c>
      <c r="I76" s="92"/>
      <c r="J76" s="39"/>
      <c r="K76" s="39"/>
      <c r="L76" s="39"/>
      <c r="M76" s="39"/>
      <c r="N76" s="39"/>
      <c r="O76" s="39"/>
      <c r="P76" s="80"/>
      <c r="Q76" s="60">
        <f>random_key!A74</f>
        <v>0.7435089948</v>
      </c>
    </row>
    <row r="77">
      <c r="A77" s="80">
        <v>72.0</v>
      </c>
      <c r="B77" s="136" t="s">
        <v>214</v>
      </c>
      <c r="C77" s="136" t="s">
        <v>729</v>
      </c>
      <c r="D77" s="92" t="s">
        <v>216</v>
      </c>
      <c r="E77" s="39" t="s">
        <v>20</v>
      </c>
      <c r="F77" s="91" t="s">
        <v>26</v>
      </c>
      <c r="G77" s="79"/>
      <c r="H77" s="39" t="s">
        <v>22</v>
      </c>
      <c r="I77" s="92"/>
      <c r="J77" s="39"/>
      <c r="K77" s="39" t="s">
        <v>22</v>
      </c>
      <c r="L77" s="39"/>
      <c r="M77" s="39"/>
      <c r="N77" s="39"/>
      <c r="O77" s="39"/>
      <c r="P77" s="80"/>
      <c r="Q77" s="60">
        <f>random_key!A62</f>
        <v>0.7471633311</v>
      </c>
    </row>
    <row r="78">
      <c r="A78" s="80">
        <v>24.0</v>
      </c>
      <c r="B78" s="136" t="s">
        <v>93</v>
      </c>
      <c r="C78" s="136" t="s">
        <v>686</v>
      </c>
      <c r="D78" s="92" t="s">
        <v>95</v>
      </c>
      <c r="E78" s="39" t="s">
        <v>21</v>
      </c>
      <c r="F78" s="91" t="s">
        <v>20</v>
      </c>
      <c r="G78" s="79"/>
      <c r="H78" s="39"/>
      <c r="I78" s="92" t="s">
        <v>22</v>
      </c>
      <c r="J78" s="39" t="s">
        <v>22</v>
      </c>
      <c r="K78" s="39"/>
      <c r="L78" s="39"/>
      <c r="M78" s="39"/>
      <c r="N78" s="39"/>
      <c r="O78" s="39"/>
      <c r="P78" s="80"/>
      <c r="Q78" s="60">
        <f>random_key!A23</f>
        <v>0.7541920884</v>
      </c>
    </row>
    <row r="79">
      <c r="A79" s="80">
        <v>63.0</v>
      </c>
      <c r="B79" s="136" t="s">
        <v>196</v>
      </c>
      <c r="C79" s="136" t="s">
        <v>723</v>
      </c>
      <c r="D79" s="92" t="s">
        <v>198</v>
      </c>
      <c r="E79" s="39" t="s">
        <v>21</v>
      </c>
      <c r="F79" s="91" t="s">
        <v>20</v>
      </c>
      <c r="G79" s="79" t="s">
        <v>22</v>
      </c>
      <c r="H79" s="39"/>
      <c r="I79" s="92"/>
      <c r="J79" s="39"/>
      <c r="K79" s="39"/>
      <c r="L79" s="39"/>
      <c r="M79" s="39"/>
      <c r="N79" s="39"/>
      <c r="O79" s="39"/>
      <c r="P79" s="80"/>
      <c r="Q79" s="60">
        <f>random_key!A55</f>
        <v>0.7605468318</v>
      </c>
    </row>
    <row r="80">
      <c r="A80" s="80">
        <v>5.0</v>
      </c>
      <c r="B80" s="136" t="s">
        <v>32</v>
      </c>
      <c r="C80" s="136" t="s">
        <v>665</v>
      </c>
      <c r="D80" s="92" t="s">
        <v>34</v>
      </c>
      <c r="E80" s="39" t="s">
        <v>20</v>
      </c>
      <c r="F80" s="91" t="s">
        <v>21</v>
      </c>
      <c r="G80" s="79" t="s">
        <v>22</v>
      </c>
      <c r="H80" s="39"/>
      <c r="I80" s="92"/>
      <c r="J80" s="39"/>
      <c r="K80" s="39"/>
      <c r="L80" s="39"/>
      <c r="M80" s="39"/>
      <c r="N80" s="39" t="s">
        <v>22</v>
      </c>
      <c r="O80" s="39"/>
      <c r="P80" s="80" t="s">
        <v>1006</v>
      </c>
      <c r="Q80" s="60">
        <f>random_key!A4</f>
        <v>0.7622668932</v>
      </c>
    </row>
    <row r="81">
      <c r="A81" s="80">
        <v>23.0</v>
      </c>
      <c r="B81" s="136" t="s">
        <v>90</v>
      </c>
      <c r="C81" s="136" t="s">
        <v>685</v>
      </c>
      <c r="D81" s="92" t="s">
        <v>92</v>
      </c>
      <c r="E81" s="39" t="s">
        <v>31</v>
      </c>
      <c r="F81" s="91" t="s">
        <v>21</v>
      </c>
      <c r="G81" s="79"/>
      <c r="H81" s="39" t="s">
        <v>22</v>
      </c>
      <c r="I81" s="92"/>
      <c r="J81" s="39"/>
      <c r="K81" s="39"/>
      <c r="L81" s="39"/>
      <c r="M81" s="39"/>
      <c r="N81" s="39"/>
      <c r="O81" s="39"/>
      <c r="P81" s="80"/>
      <c r="Q81" s="60">
        <f>random_key!A22</f>
        <v>0.7884075586</v>
      </c>
    </row>
    <row r="82">
      <c r="A82" s="138">
        <v>100.0</v>
      </c>
      <c r="B82" s="136" t="s">
        <v>283</v>
      </c>
      <c r="C82" s="136" t="s">
        <v>748</v>
      </c>
      <c r="D82" s="92" t="s">
        <v>285</v>
      </c>
      <c r="E82" s="39" t="s">
        <v>21</v>
      </c>
      <c r="F82" s="91" t="s">
        <v>20</v>
      </c>
      <c r="G82" s="79" t="s">
        <v>22</v>
      </c>
      <c r="H82" s="39"/>
      <c r="I82" s="92"/>
      <c r="J82" s="39"/>
      <c r="K82" s="39"/>
      <c r="L82" s="39"/>
      <c r="M82" s="39"/>
      <c r="N82" s="39"/>
      <c r="O82" s="39"/>
      <c r="P82" s="80"/>
      <c r="Q82" s="60">
        <f>random_key!A84</f>
        <v>0.7958894172</v>
      </c>
    </row>
    <row r="83">
      <c r="A83" s="80">
        <v>58.0</v>
      </c>
      <c r="B83" s="136" t="s">
        <v>185</v>
      </c>
      <c r="C83" s="136" t="s">
        <v>719</v>
      </c>
      <c r="D83" s="92" t="s">
        <v>187</v>
      </c>
      <c r="E83" s="39" t="s">
        <v>31</v>
      </c>
      <c r="F83" s="91" t="s">
        <v>21</v>
      </c>
      <c r="G83" s="79"/>
      <c r="H83" s="39" t="s">
        <v>22</v>
      </c>
      <c r="I83" s="92"/>
      <c r="J83" s="39"/>
      <c r="K83" s="39"/>
      <c r="L83" s="39"/>
      <c r="M83" s="39"/>
      <c r="N83" s="39"/>
      <c r="O83" s="39"/>
      <c r="P83" s="80"/>
      <c r="Q83" s="60">
        <f>random_key!A51</f>
        <v>0.799996192</v>
      </c>
    </row>
    <row r="84">
      <c r="A84" s="80">
        <v>78.0</v>
      </c>
      <c r="B84" s="136" t="s">
        <v>233</v>
      </c>
      <c r="C84" s="136" t="s">
        <v>736</v>
      </c>
      <c r="D84" s="92" t="s">
        <v>110</v>
      </c>
      <c r="E84" s="39" t="s">
        <v>21</v>
      </c>
      <c r="F84" s="91" t="s">
        <v>31</v>
      </c>
      <c r="G84" s="79" t="s">
        <v>22</v>
      </c>
      <c r="H84" s="39"/>
      <c r="I84" s="92"/>
      <c r="J84" s="39"/>
      <c r="K84" s="39"/>
      <c r="L84" s="39"/>
      <c r="M84" s="39"/>
      <c r="N84" s="39"/>
      <c r="O84" s="39"/>
      <c r="P84" s="80"/>
      <c r="Q84" s="60">
        <f>random_key!A68</f>
        <v>0.8182745013</v>
      </c>
    </row>
    <row r="85">
      <c r="A85" s="80">
        <v>48.0</v>
      </c>
      <c r="B85" s="136" t="s">
        <v>158</v>
      </c>
      <c r="C85" s="136" t="s">
        <v>710</v>
      </c>
      <c r="D85" s="92" t="s">
        <v>160</v>
      </c>
      <c r="E85" s="39" t="s">
        <v>20</v>
      </c>
      <c r="F85" s="91" t="s">
        <v>21</v>
      </c>
      <c r="G85" s="79" t="s">
        <v>22</v>
      </c>
      <c r="H85" s="39"/>
      <c r="I85" s="92"/>
      <c r="J85" s="39" t="s">
        <v>22</v>
      </c>
      <c r="K85" s="39"/>
      <c r="L85" s="39"/>
      <c r="M85" s="39"/>
      <c r="N85" s="39"/>
      <c r="O85" s="39"/>
      <c r="P85" s="80"/>
      <c r="Q85" s="60">
        <f>random_key!A43</f>
        <v>0.8376744095</v>
      </c>
    </row>
    <row r="86">
      <c r="A86" s="80">
        <v>105.0</v>
      </c>
      <c r="B86" s="125" t="s">
        <v>300</v>
      </c>
      <c r="C86" s="125" t="s">
        <v>754</v>
      </c>
      <c r="D86" s="80" t="s">
        <v>302</v>
      </c>
      <c r="E86" s="39" t="s">
        <v>20</v>
      </c>
      <c r="F86" s="91" t="s">
        <v>21</v>
      </c>
      <c r="G86" s="79"/>
      <c r="H86" s="39" t="s">
        <v>22</v>
      </c>
      <c r="I86" s="92"/>
      <c r="J86" s="39"/>
      <c r="K86" s="39"/>
      <c r="L86" s="39"/>
      <c r="M86" s="39"/>
      <c r="N86" s="39"/>
      <c r="O86" s="39"/>
      <c r="P86" s="80"/>
      <c r="Q86" s="60">
        <f>random_key!A89</f>
        <v>0.8543904858</v>
      </c>
    </row>
    <row r="87">
      <c r="A87" s="80">
        <v>45.0</v>
      </c>
      <c r="B87" s="136" t="s">
        <v>149</v>
      </c>
      <c r="C87" s="136" t="s">
        <v>707</v>
      </c>
      <c r="D87" s="92" t="s">
        <v>151</v>
      </c>
      <c r="E87" s="39" t="s">
        <v>20</v>
      </c>
      <c r="F87" s="91" t="s">
        <v>21</v>
      </c>
      <c r="G87" s="79"/>
      <c r="H87" s="39" t="s">
        <v>22</v>
      </c>
      <c r="I87" s="92"/>
      <c r="J87" s="39"/>
      <c r="K87" s="39"/>
      <c r="L87" s="39"/>
      <c r="M87" s="39"/>
      <c r="N87" s="39"/>
      <c r="O87" s="39"/>
      <c r="P87" s="80"/>
      <c r="Q87" s="60">
        <f>random_key!A40</f>
        <v>0.8587903714</v>
      </c>
    </row>
    <row r="88">
      <c r="A88" s="80">
        <v>77.0</v>
      </c>
      <c r="B88" s="136" t="s">
        <v>230</v>
      </c>
      <c r="C88" s="136" t="s">
        <v>735</v>
      </c>
      <c r="D88" s="92" t="s">
        <v>232</v>
      </c>
      <c r="E88" s="39" t="s">
        <v>21</v>
      </c>
      <c r="F88" s="91" t="s">
        <v>20</v>
      </c>
      <c r="G88" s="79" t="s">
        <v>22</v>
      </c>
      <c r="H88" s="39"/>
      <c r="I88" s="92"/>
      <c r="J88" s="39"/>
      <c r="K88" s="39"/>
      <c r="L88" s="39"/>
      <c r="M88" s="39"/>
      <c r="N88" s="39"/>
      <c r="O88" s="39"/>
      <c r="P88" s="80"/>
      <c r="Q88" s="60">
        <f>random_key!A67</f>
        <v>0.8642436393</v>
      </c>
    </row>
    <row r="89">
      <c r="A89" s="80">
        <v>102.0</v>
      </c>
      <c r="B89" s="125" t="s">
        <v>288</v>
      </c>
      <c r="C89" s="125" t="s">
        <v>750</v>
      </c>
      <c r="D89" s="80" t="s">
        <v>290</v>
      </c>
      <c r="E89" s="39" t="s">
        <v>20</v>
      </c>
      <c r="F89" s="91" t="s">
        <v>21</v>
      </c>
      <c r="G89" s="79" t="s">
        <v>22</v>
      </c>
      <c r="H89" s="39"/>
      <c r="I89" s="92"/>
      <c r="J89" s="39"/>
      <c r="K89" s="39" t="s">
        <v>22</v>
      </c>
      <c r="L89" s="39"/>
      <c r="M89" s="39"/>
      <c r="N89" s="39"/>
      <c r="O89" s="39"/>
      <c r="P89" s="80"/>
      <c r="Q89" s="60">
        <f>random_key!A86</f>
        <v>0.8755905375</v>
      </c>
    </row>
    <row r="90">
      <c r="A90" s="80">
        <v>82.0</v>
      </c>
      <c r="B90" s="136" t="s">
        <v>244</v>
      </c>
      <c r="C90" s="136" t="s">
        <v>738</v>
      </c>
      <c r="D90" s="92" t="s">
        <v>246</v>
      </c>
      <c r="E90" s="39" t="s">
        <v>20</v>
      </c>
      <c r="F90" s="91" t="s">
        <v>21</v>
      </c>
      <c r="G90" s="79"/>
      <c r="H90" s="39" t="s">
        <v>22</v>
      </c>
      <c r="I90" s="92"/>
      <c r="J90" s="39"/>
      <c r="K90" s="39"/>
      <c r="L90" s="39"/>
      <c r="M90" s="39"/>
      <c r="N90" s="39"/>
      <c r="O90" s="39"/>
      <c r="P90" s="80"/>
      <c r="Q90" s="60">
        <f>random_key!A72</f>
        <v>0.8871378581</v>
      </c>
    </row>
    <row r="91">
      <c r="A91" s="80">
        <v>95.0</v>
      </c>
      <c r="B91" s="136" t="s">
        <v>271</v>
      </c>
      <c r="C91" s="136" t="s">
        <v>726</v>
      </c>
      <c r="D91" s="92" t="s">
        <v>272</v>
      </c>
      <c r="E91" s="39" t="s">
        <v>31</v>
      </c>
      <c r="F91" s="91" t="s">
        <v>21</v>
      </c>
      <c r="G91" s="79"/>
      <c r="H91" s="39" t="s">
        <v>22</v>
      </c>
      <c r="I91" s="92"/>
      <c r="J91" s="39"/>
      <c r="K91" s="39"/>
      <c r="L91" s="39"/>
      <c r="M91" s="39"/>
      <c r="N91" s="39"/>
      <c r="O91" s="39"/>
      <c r="P91" s="80"/>
      <c r="Q91" s="60">
        <f>random_key!A80</f>
        <v>0.89023684</v>
      </c>
    </row>
    <row r="92">
      <c r="A92" s="80">
        <v>71.0</v>
      </c>
      <c r="B92" s="136" t="s">
        <v>213</v>
      </c>
      <c r="C92" s="136" t="s">
        <v>682</v>
      </c>
      <c r="D92" s="92" t="s">
        <v>107</v>
      </c>
      <c r="E92" s="39" t="s">
        <v>31</v>
      </c>
      <c r="F92" s="91" t="s">
        <v>21</v>
      </c>
      <c r="G92" s="79"/>
      <c r="H92" s="39" t="s">
        <v>22</v>
      </c>
      <c r="I92" s="92"/>
      <c r="J92" s="39"/>
      <c r="K92" s="39"/>
      <c r="L92" s="39"/>
      <c r="M92" s="39"/>
      <c r="N92" s="39"/>
      <c r="O92" s="39"/>
      <c r="P92" s="80"/>
      <c r="Q92" s="60">
        <f>random_key!A61</f>
        <v>0.8920769635</v>
      </c>
    </row>
    <row r="93">
      <c r="A93" s="80">
        <v>55.0</v>
      </c>
      <c r="B93" s="136" t="s">
        <v>176</v>
      </c>
      <c r="C93" s="136" t="s">
        <v>716</v>
      </c>
      <c r="D93" s="92" t="s">
        <v>120</v>
      </c>
      <c r="E93" s="39" t="s">
        <v>21</v>
      </c>
      <c r="F93" s="91" t="s">
        <v>20</v>
      </c>
      <c r="G93" s="79" t="s">
        <v>22</v>
      </c>
      <c r="H93" s="39"/>
      <c r="I93" s="92"/>
      <c r="J93" s="39"/>
      <c r="K93" s="39"/>
      <c r="L93" s="39"/>
      <c r="M93" s="39"/>
      <c r="N93" s="39"/>
      <c r="O93" s="39"/>
      <c r="P93" s="80"/>
      <c r="Q93" s="60">
        <f>random_key!A48</f>
        <v>0.9080452284</v>
      </c>
    </row>
    <row r="94">
      <c r="A94" s="80">
        <v>91.0</v>
      </c>
      <c r="B94" s="136" t="s">
        <v>261</v>
      </c>
      <c r="C94" s="136" t="s">
        <v>742</v>
      </c>
      <c r="D94" s="92" t="s">
        <v>250</v>
      </c>
      <c r="E94" s="39" t="s">
        <v>20</v>
      </c>
      <c r="F94" s="91" t="s">
        <v>21</v>
      </c>
      <c r="G94" s="79"/>
      <c r="H94" s="39" t="s">
        <v>22</v>
      </c>
      <c r="I94" s="92"/>
      <c r="J94" s="39"/>
      <c r="K94" s="39"/>
      <c r="L94" s="39"/>
      <c r="M94" s="39"/>
      <c r="N94" s="39"/>
      <c r="O94" s="39"/>
      <c r="P94" s="80"/>
      <c r="Q94" s="60">
        <f>random_key!A77</f>
        <v>0.9113679883</v>
      </c>
    </row>
    <row r="95">
      <c r="A95" s="80">
        <v>74.0</v>
      </c>
      <c r="B95" s="136" t="s">
        <v>221</v>
      </c>
      <c r="C95" s="136" t="s">
        <v>731</v>
      </c>
      <c r="D95" s="92" t="s">
        <v>223</v>
      </c>
      <c r="E95" s="39" t="s">
        <v>20</v>
      </c>
      <c r="F95" s="91" t="s">
        <v>21</v>
      </c>
      <c r="G95" s="79"/>
      <c r="H95" s="39"/>
      <c r="I95" s="92" t="s">
        <v>22</v>
      </c>
      <c r="J95" s="39"/>
      <c r="K95" s="39" t="s">
        <v>22</v>
      </c>
      <c r="L95" s="39"/>
      <c r="M95" s="39"/>
      <c r="N95" s="39" t="s">
        <v>22</v>
      </c>
      <c r="O95" s="39" t="s">
        <v>22</v>
      </c>
      <c r="P95" s="80"/>
      <c r="Q95" s="60">
        <f>random_key!A64</f>
        <v>0.9147453114</v>
      </c>
    </row>
    <row r="96">
      <c r="A96" s="140">
        <v>115.0</v>
      </c>
      <c r="B96" s="125" t="s">
        <v>325</v>
      </c>
      <c r="C96" s="125" t="s">
        <v>762</v>
      </c>
      <c r="D96" s="80" t="s">
        <v>327</v>
      </c>
      <c r="E96" s="39" t="s">
        <v>26</v>
      </c>
      <c r="F96" s="91" t="s">
        <v>21</v>
      </c>
      <c r="G96" s="79"/>
      <c r="H96" s="39" t="s">
        <v>22</v>
      </c>
      <c r="I96" s="92"/>
      <c r="J96" s="39"/>
      <c r="K96" s="39"/>
      <c r="L96" s="39"/>
      <c r="M96" s="39"/>
      <c r="N96" s="39"/>
      <c r="O96" s="39"/>
      <c r="P96" s="80"/>
      <c r="Q96" s="60">
        <f>random_key!A97</f>
        <v>0.9230041158</v>
      </c>
    </row>
    <row r="97">
      <c r="A97" s="80">
        <v>114.0</v>
      </c>
      <c r="B97" s="125" t="s">
        <v>321</v>
      </c>
      <c r="C97" s="125" t="s">
        <v>760</v>
      </c>
      <c r="D97" s="80" t="s">
        <v>323</v>
      </c>
      <c r="E97" s="39" t="s">
        <v>26</v>
      </c>
      <c r="F97" s="91" t="s">
        <v>20</v>
      </c>
      <c r="G97" s="79" t="s">
        <v>22</v>
      </c>
      <c r="H97" s="39"/>
      <c r="I97" s="92"/>
      <c r="J97" s="39"/>
      <c r="K97" s="39"/>
      <c r="L97" s="39"/>
      <c r="M97" s="39"/>
      <c r="N97" s="39"/>
      <c r="O97" s="39"/>
      <c r="P97" s="80" t="s">
        <v>1011</v>
      </c>
      <c r="Q97" s="60">
        <f>random_key!A96</f>
        <v>0.92778417</v>
      </c>
    </row>
    <row r="98">
      <c r="A98" s="80">
        <v>112.0</v>
      </c>
      <c r="B98" s="130" t="s">
        <v>317</v>
      </c>
      <c r="C98" s="125" t="s">
        <v>756</v>
      </c>
      <c r="D98" s="80" t="s">
        <v>216</v>
      </c>
      <c r="E98" s="39" t="s">
        <v>26</v>
      </c>
      <c r="F98" s="91" t="s">
        <v>20</v>
      </c>
      <c r="G98" s="79" t="s">
        <v>22</v>
      </c>
      <c r="H98" s="39"/>
      <c r="I98" s="92"/>
      <c r="J98" s="39" t="s">
        <v>22</v>
      </c>
      <c r="K98" s="39"/>
      <c r="L98" s="39"/>
      <c r="M98" s="39"/>
      <c r="N98" s="39"/>
      <c r="O98" s="39"/>
      <c r="P98" s="80"/>
      <c r="Q98" s="60">
        <f>random_key!A94</f>
        <v>0.9413106865</v>
      </c>
    </row>
    <row r="99">
      <c r="A99" s="80">
        <v>111.0</v>
      </c>
      <c r="B99" s="130" t="s">
        <v>314</v>
      </c>
      <c r="C99" s="125" t="s">
        <v>758</v>
      </c>
      <c r="D99" s="80" t="s">
        <v>316</v>
      </c>
      <c r="E99" s="39" t="s">
        <v>20</v>
      </c>
      <c r="F99" s="91" t="s">
        <v>21</v>
      </c>
      <c r="G99" s="79" t="s">
        <v>22</v>
      </c>
      <c r="H99" s="39"/>
      <c r="I99" s="92"/>
      <c r="J99" s="39" t="s">
        <v>22</v>
      </c>
      <c r="K99" s="39"/>
      <c r="L99" s="39"/>
      <c r="M99" s="39"/>
      <c r="N99" s="39"/>
      <c r="O99" s="39"/>
      <c r="P99" s="80"/>
      <c r="Q99" s="60">
        <f>random_key!A93</f>
        <v>0.9602527706</v>
      </c>
    </row>
    <row r="100">
      <c r="A100" s="39">
        <v>52.0</v>
      </c>
      <c r="B100" s="136" t="s">
        <v>170</v>
      </c>
      <c r="C100" s="136" t="s">
        <v>714</v>
      </c>
      <c r="D100" s="92" t="s">
        <v>172</v>
      </c>
      <c r="E100" s="39" t="s">
        <v>20</v>
      </c>
      <c r="F100" s="91" t="s">
        <v>21</v>
      </c>
      <c r="G100" s="79"/>
      <c r="H100" s="39" t="s">
        <v>22</v>
      </c>
      <c r="I100" s="92"/>
      <c r="J100" s="39"/>
      <c r="K100" s="39"/>
      <c r="L100" s="39"/>
      <c r="M100" s="39"/>
      <c r="N100" s="39"/>
      <c r="O100" s="39"/>
      <c r="P100" s="80"/>
      <c r="Q100" s="60">
        <f>random_key!A46</f>
        <v>0.9629101769</v>
      </c>
    </row>
    <row r="101">
      <c r="A101" s="39">
        <v>29.0</v>
      </c>
      <c r="B101" s="136" t="s">
        <v>108</v>
      </c>
      <c r="C101" s="136" t="s">
        <v>693</v>
      </c>
      <c r="D101" s="92" t="s">
        <v>110</v>
      </c>
      <c r="E101" s="39" t="s">
        <v>20</v>
      </c>
      <c r="F101" s="91" t="s">
        <v>26</v>
      </c>
      <c r="G101" s="79"/>
      <c r="H101" s="39" t="s">
        <v>22</v>
      </c>
      <c r="I101" s="92"/>
      <c r="J101" s="39"/>
      <c r="K101" s="39"/>
      <c r="L101" s="39"/>
      <c r="M101" s="39"/>
      <c r="N101" s="39" t="s">
        <v>22</v>
      </c>
      <c r="O101" s="39" t="s">
        <v>22</v>
      </c>
      <c r="P101" s="80" t="s">
        <v>1008</v>
      </c>
      <c r="Q101" s="60">
        <f>random_key!A27</f>
        <v>0.9854616735</v>
      </c>
    </row>
    <row r="102">
      <c r="A102" s="39">
        <v>4.0</v>
      </c>
      <c r="B102" s="136" t="s">
        <v>28</v>
      </c>
      <c r="C102" s="136" t="s">
        <v>664</v>
      </c>
      <c r="D102" s="92" t="s">
        <v>30</v>
      </c>
      <c r="E102" s="39" t="s">
        <v>31</v>
      </c>
      <c r="F102" s="91" t="s">
        <v>21</v>
      </c>
      <c r="G102" s="79"/>
      <c r="H102" s="39" t="s">
        <v>22</v>
      </c>
      <c r="I102" s="92"/>
      <c r="J102" s="39"/>
      <c r="K102" s="39"/>
      <c r="L102" s="39"/>
      <c r="M102" s="39"/>
      <c r="N102" s="39"/>
      <c r="O102" s="39"/>
      <c r="P102" s="80"/>
      <c r="Q102" s="60">
        <f>random_key!A3</f>
        <v>0.9970902728</v>
      </c>
    </row>
    <row r="103">
      <c r="A103" s="85">
        <v>62.0</v>
      </c>
      <c r="B103" s="142" t="s">
        <v>194</v>
      </c>
      <c r="C103" s="142" t="s">
        <v>722</v>
      </c>
      <c r="D103" s="109" t="s">
        <v>42</v>
      </c>
      <c r="E103" s="85" t="s">
        <v>21</v>
      </c>
      <c r="F103" s="115" t="s">
        <v>20</v>
      </c>
      <c r="G103" s="86" t="s">
        <v>22</v>
      </c>
      <c r="H103" s="85"/>
      <c r="I103" s="109"/>
      <c r="J103" s="85"/>
      <c r="K103" s="85"/>
      <c r="L103" s="85"/>
      <c r="M103" s="85"/>
      <c r="N103" s="85"/>
      <c r="O103" s="85"/>
      <c r="P103" s="87"/>
      <c r="Q103" s="60">
        <f>random_key!A54</f>
        <v>0.9973993648</v>
      </c>
    </row>
    <row r="104">
      <c r="A104" s="39"/>
      <c r="B104" s="39"/>
      <c r="C104" s="39"/>
      <c r="D104" s="39"/>
      <c r="E104" s="39"/>
      <c r="F104" s="125"/>
      <c r="G104" s="97">
        <f t="shared" ref="G104:O104" si="1">COUNTIF(G4:G103,"x")</f>
        <v>50</v>
      </c>
      <c r="H104" s="97">
        <f t="shared" si="1"/>
        <v>47</v>
      </c>
      <c r="I104" s="97">
        <f t="shared" si="1"/>
        <v>3</v>
      </c>
      <c r="J104" s="39">
        <f t="shared" si="1"/>
        <v>8</v>
      </c>
      <c r="K104" s="39">
        <f t="shared" si="1"/>
        <v>9</v>
      </c>
      <c r="L104" s="97">
        <f t="shared" si="1"/>
        <v>1</v>
      </c>
      <c r="M104" s="39">
        <f t="shared" si="1"/>
        <v>0</v>
      </c>
      <c r="N104" s="39">
        <f t="shared" si="1"/>
        <v>6</v>
      </c>
      <c r="O104" s="39">
        <f t="shared" si="1"/>
        <v>4</v>
      </c>
      <c r="P104" s="39"/>
    </row>
    <row r="105">
      <c r="F105" s="139"/>
    </row>
    <row r="106">
      <c r="F106" s="139"/>
    </row>
    <row r="107">
      <c r="F107" s="139"/>
    </row>
    <row r="108">
      <c r="F108" s="139"/>
    </row>
    <row r="109">
      <c r="F109" s="139"/>
    </row>
    <row r="110">
      <c r="F110" s="139"/>
    </row>
    <row r="111">
      <c r="F111" s="139"/>
    </row>
    <row r="112">
      <c r="F112" s="139"/>
    </row>
    <row r="113">
      <c r="F113" s="139"/>
    </row>
    <row r="114">
      <c r="F114" s="139"/>
    </row>
    <row r="115">
      <c r="F115" s="139"/>
    </row>
    <row r="116">
      <c r="F116" s="139"/>
    </row>
    <row r="117">
      <c r="F117" s="139"/>
    </row>
    <row r="118">
      <c r="F118" s="139"/>
    </row>
    <row r="119">
      <c r="F119" s="139"/>
    </row>
    <row r="120">
      <c r="F120" s="139"/>
    </row>
    <row r="121">
      <c r="F121" s="139"/>
    </row>
    <row r="122">
      <c r="F122" s="139"/>
    </row>
    <row r="123">
      <c r="F123" s="139"/>
    </row>
    <row r="124">
      <c r="F124" s="139"/>
    </row>
    <row r="125">
      <c r="F125" s="139"/>
    </row>
    <row r="126">
      <c r="F126" s="139"/>
    </row>
    <row r="127">
      <c r="F127" s="139"/>
    </row>
    <row r="128">
      <c r="F128" s="139"/>
    </row>
    <row r="129">
      <c r="F129" s="139"/>
    </row>
    <row r="130">
      <c r="F130" s="139"/>
    </row>
    <row r="131">
      <c r="F131" s="139"/>
    </row>
    <row r="132">
      <c r="F132" s="139"/>
    </row>
    <row r="133">
      <c r="F133" s="139"/>
    </row>
    <row r="134">
      <c r="F134" s="139"/>
    </row>
    <row r="135">
      <c r="F135" s="139"/>
    </row>
    <row r="136">
      <c r="F136" s="139"/>
    </row>
    <row r="137">
      <c r="F137" s="139"/>
    </row>
    <row r="138">
      <c r="F138" s="139"/>
    </row>
    <row r="139">
      <c r="F139" s="139"/>
    </row>
    <row r="140">
      <c r="F140" s="139"/>
    </row>
    <row r="141">
      <c r="F141" s="139"/>
    </row>
    <row r="142">
      <c r="F142" s="139"/>
    </row>
    <row r="143">
      <c r="F143" s="139"/>
    </row>
    <row r="144">
      <c r="F144" s="139"/>
    </row>
    <row r="145">
      <c r="F145" s="139"/>
    </row>
    <row r="146">
      <c r="F146" s="139"/>
    </row>
    <row r="147">
      <c r="F147" s="139"/>
    </row>
    <row r="148">
      <c r="F148" s="139"/>
    </row>
    <row r="149">
      <c r="F149" s="139"/>
    </row>
    <row r="150">
      <c r="F150" s="139"/>
    </row>
    <row r="151">
      <c r="F151" s="139"/>
    </row>
    <row r="152">
      <c r="F152" s="139"/>
    </row>
    <row r="153">
      <c r="F153" s="139"/>
    </row>
    <row r="154">
      <c r="F154" s="139"/>
    </row>
    <row r="155">
      <c r="F155" s="139"/>
    </row>
    <row r="156">
      <c r="F156" s="139"/>
    </row>
    <row r="157">
      <c r="F157" s="139"/>
    </row>
    <row r="158">
      <c r="F158" s="139"/>
    </row>
    <row r="159">
      <c r="F159" s="139"/>
    </row>
    <row r="160">
      <c r="F160" s="139"/>
    </row>
    <row r="161">
      <c r="F161" s="139"/>
    </row>
    <row r="162">
      <c r="F162" s="139"/>
    </row>
    <row r="163">
      <c r="F163" s="139"/>
    </row>
    <row r="164">
      <c r="F164" s="139"/>
    </row>
    <row r="165">
      <c r="F165" s="139"/>
    </row>
    <row r="166">
      <c r="F166" s="139"/>
    </row>
    <row r="167">
      <c r="F167" s="139"/>
    </row>
    <row r="168">
      <c r="F168" s="139"/>
    </row>
    <row r="169">
      <c r="F169" s="139"/>
    </row>
    <row r="170">
      <c r="F170" s="139"/>
    </row>
    <row r="171">
      <c r="F171" s="139"/>
    </row>
    <row r="172">
      <c r="F172" s="139"/>
    </row>
    <row r="173">
      <c r="F173" s="139"/>
    </row>
    <row r="174">
      <c r="F174" s="139"/>
    </row>
    <row r="175">
      <c r="F175" s="139"/>
    </row>
    <row r="176">
      <c r="F176" s="139"/>
    </row>
    <row r="177">
      <c r="F177" s="139"/>
    </row>
    <row r="178">
      <c r="F178" s="139"/>
    </row>
    <row r="179">
      <c r="F179" s="139"/>
    </row>
    <row r="180">
      <c r="F180" s="139"/>
    </row>
    <row r="181">
      <c r="F181" s="139"/>
    </row>
    <row r="182">
      <c r="F182" s="139"/>
    </row>
    <row r="183">
      <c r="F183" s="139"/>
    </row>
    <row r="184">
      <c r="F184" s="139"/>
    </row>
    <row r="185">
      <c r="F185" s="139"/>
    </row>
    <row r="186">
      <c r="F186" s="139"/>
    </row>
    <row r="187">
      <c r="F187" s="139"/>
    </row>
    <row r="188">
      <c r="F188" s="139"/>
    </row>
    <row r="189">
      <c r="F189" s="139"/>
    </row>
    <row r="190">
      <c r="F190" s="139"/>
    </row>
    <row r="191">
      <c r="F191" s="139"/>
    </row>
    <row r="192">
      <c r="F192" s="139"/>
    </row>
    <row r="193">
      <c r="F193" s="139"/>
    </row>
    <row r="194">
      <c r="F194" s="139"/>
    </row>
    <row r="195">
      <c r="F195" s="139"/>
    </row>
    <row r="196">
      <c r="F196" s="139"/>
    </row>
    <row r="197">
      <c r="F197" s="139"/>
    </row>
    <row r="198">
      <c r="F198" s="139"/>
    </row>
    <row r="199">
      <c r="F199" s="139"/>
    </row>
    <row r="200">
      <c r="F200" s="139"/>
    </row>
    <row r="201">
      <c r="F201" s="139"/>
    </row>
    <row r="202">
      <c r="F202" s="139"/>
    </row>
    <row r="203">
      <c r="F203" s="139"/>
    </row>
    <row r="204">
      <c r="F204" s="139"/>
    </row>
    <row r="205">
      <c r="F205" s="139"/>
    </row>
    <row r="206">
      <c r="F206" s="139"/>
    </row>
    <row r="207">
      <c r="F207" s="139"/>
    </row>
    <row r="208">
      <c r="F208" s="139"/>
    </row>
    <row r="209">
      <c r="F209" s="139"/>
    </row>
    <row r="210">
      <c r="F210" s="139"/>
    </row>
    <row r="211">
      <c r="F211" s="139"/>
    </row>
    <row r="212">
      <c r="F212" s="139"/>
    </row>
    <row r="213">
      <c r="F213" s="139"/>
    </row>
    <row r="214">
      <c r="F214" s="139"/>
    </row>
    <row r="215">
      <c r="F215" s="139"/>
    </row>
    <row r="216">
      <c r="F216" s="139"/>
    </row>
    <row r="217">
      <c r="F217" s="139"/>
    </row>
    <row r="218">
      <c r="F218" s="139"/>
    </row>
    <row r="219">
      <c r="F219" s="139"/>
    </row>
    <row r="220">
      <c r="F220" s="139"/>
    </row>
    <row r="221">
      <c r="F221" s="139"/>
    </row>
    <row r="222">
      <c r="F222" s="139"/>
    </row>
    <row r="223">
      <c r="F223" s="139"/>
    </row>
    <row r="224">
      <c r="F224" s="139"/>
    </row>
    <row r="225">
      <c r="F225" s="139"/>
    </row>
    <row r="226">
      <c r="F226" s="139"/>
    </row>
    <row r="227">
      <c r="F227" s="139"/>
    </row>
    <row r="228">
      <c r="F228" s="139"/>
    </row>
    <row r="229">
      <c r="F229" s="139"/>
    </row>
    <row r="230">
      <c r="F230" s="139"/>
    </row>
    <row r="231">
      <c r="F231" s="139"/>
    </row>
    <row r="232">
      <c r="F232" s="139"/>
    </row>
    <row r="233">
      <c r="F233" s="139"/>
    </row>
    <row r="234">
      <c r="F234" s="139"/>
    </row>
    <row r="235">
      <c r="F235" s="139"/>
    </row>
    <row r="236">
      <c r="F236" s="139"/>
    </row>
    <row r="237">
      <c r="F237" s="139"/>
    </row>
    <row r="238">
      <c r="F238" s="139"/>
    </row>
    <row r="239">
      <c r="F239" s="139"/>
    </row>
    <row r="240">
      <c r="F240" s="139"/>
    </row>
    <row r="241">
      <c r="F241" s="139"/>
    </row>
    <row r="242">
      <c r="F242" s="139"/>
    </row>
    <row r="243">
      <c r="F243" s="139"/>
    </row>
    <row r="244">
      <c r="F244" s="139"/>
    </row>
    <row r="245">
      <c r="F245" s="139"/>
    </row>
    <row r="246">
      <c r="F246" s="139"/>
    </row>
    <row r="247">
      <c r="F247" s="139"/>
    </row>
    <row r="248">
      <c r="F248" s="139"/>
    </row>
    <row r="249">
      <c r="F249" s="139"/>
    </row>
    <row r="250">
      <c r="F250" s="139"/>
    </row>
    <row r="251">
      <c r="F251" s="139"/>
    </row>
    <row r="252">
      <c r="F252" s="139"/>
    </row>
    <row r="253">
      <c r="F253" s="139"/>
    </row>
    <row r="254">
      <c r="F254" s="139"/>
    </row>
    <row r="255">
      <c r="F255" s="139"/>
    </row>
    <row r="256">
      <c r="F256" s="139"/>
    </row>
    <row r="257">
      <c r="F257" s="139"/>
    </row>
    <row r="258">
      <c r="F258" s="139"/>
    </row>
    <row r="259">
      <c r="F259" s="139"/>
    </row>
    <row r="260">
      <c r="F260" s="139"/>
    </row>
    <row r="261">
      <c r="F261" s="139"/>
    </row>
    <row r="262">
      <c r="F262" s="139"/>
    </row>
    <row r="263">
      <c r="F263" s="139"/>
    </row>
    <row r="264">
      <c r="F264" s="139"/>
    </row>
    <row r="265">
      <c r="F265" s="139"/>
    </row>
    <row r="266">
      <c r="F266" s="139"/>
    </row>
    <row r="267">
      <c r="F267" s="139"/>
    </row>
    <row r="268">
      <c r="F268" s="139"/>
    </row>
    <row r="269">
      <c r="F269" s="139"/>
    </row>
    <row r="270">
      <c r="F270" s="139"/>
    </row>
    <row r="271">
      <c r="F271" s="139"/>
    </row>
    <row r="272">
      <c r="F272" s="139"/>
    </row>
    <row r="273">
      <c r="F273" s="139"/>
    </row>
    <row r="274">
      <c r="F274" s="139"/>
    </row>
    <row r="275">
      <c r="F275" s="139"/>
    </row>
    <row r="276">
      <c r="F276" s="139"/>
    </row>
    <row r="277">
      <c r="F277" s="139"/>
    </row>
    <row r="278">
      <c r="F278" s="139"/>
    </row>
    <row r="279">
      <c r="F279" s="139"/>
    </row>
    <row r="280">
      <c r="F280" s="139"/>
    </row>
    <row r="281">
      <c r="F281" s="139"/>
    </row>
    <row r="282">
      <c r="F282" s="139"/>
    </row>
    <row r="283">
      <c r="F283" s="139"/>
    </row>
    <row r="284">
      <c r="F284" s="139"/>
    </row>
    <row r="285">
      <c r="F285" s="139"/>
    </row>
    <row r="286">
      <c r="F286" s="139"/>
    </row>
    <row r="287">
      <c r="F287" s="139"/>
    </row>
    <row r="288">
      <c r="F288" s="139"/>
    </row>
    <row r="289">
      <c r="F289" s="139"/>
    </row>
    <row r="290">
      <c r="F290" s="139"/>
    </row>
    <row r="291">
      <c r="F291" s="139"/>
    </row>
    <row r="292">
      <c r="F292" s="139"/>
    </row>
    <row r="293">
      <c r="F293" s="139"/>
    </row>
    <row r="294">
      <c r="F294" s="139"/>
    </row>
    <row r="295">
      <c r="F295" s="139"/>
    </row>
    <row r="296">
      <c r="F296" s="139"/>
    </row>
    <row r="297">
      <c r="F297" s="139"/>
    </row>
    <row r="298">
      <c r="F298" s="139"/>
    </row>
    <row r="299">
      <c r="F299" s="139"/>
    </row>
    <row r="300">
      <c r="F300" s="139"/>
    </row>
    <row r="301">
      <c r="F301" s="139"/>
    </row>
    <row r="302">
      <c r="F302" s="139"/>
    </row>
    <row r="303">
      <c r="F303" s="139"/>
    </row>
    <row r="304">
      <c r="F304" s="139"/>
    </row>
    <row r="305">
      <c r="F305" s="139"/>
    </row>
    <row r="306">
      <c r="F306" s="139"/>
    </row>
    <row r="307">
      <c r="F307" s="139"/>
    </row>
    <row r="308">
      <c r="F308" s="139"/>
    </row>
    <row r="309">
      <c r="F309" s="139"/>
    </row>
    <row r="310">
      <c r="F310" s="139"/>
    </row>
    <row r="311">
      <c r="F311" s="139"/>
    </row>
    <row r="312">
      <c r="F312" s="139"/>
    </row>
    <row r="313">
      <c r="F313" s="139"/>
    </row>
    <row r="314">
      <c r="F314" s="139"/>
    </row>
    <row r="315">
      <c r="F315" s="139"/>
    </row>
    <row r="316">
      <c r="F316" s="139"/>
    </row>
    <row r="317">
      <c r="F317" s="139"/>
    </row>
    <row r="318">
      <c r="F318" s="139"/>
    </row>
    <row r="319">
      <c r="F319" s="139"/>
    </row>
    <row r="320">
      <c r="F320" s="139"/>
    </row>
    <row r="321">
      <c r="F321" s="139"/>
    </row>
    <row r="322">
      <c r="F322" s="139"/>
    </row>
    <row r="323">
      <c r="F323" s="139"/>
    </row>
    <row r="324">
      <c r="F324" s="139"/>
    </row>
    <row r="325">
      <c r="F325" s="139"/>
    </row>
    <row r="326">
      <c r="F326" s="139"/>
    </row>
    <row r="327">
      <c r="F327" s="139"/>
    </row>
    <row r="328">
      <c r="F328" s="139"/>
    </row>
    <row r="329">
      <c r="F329" s="139"/>
    </row>
    <row r="330">
      <c r="F330" s="139"/>
    </row>
    <row r="331">
      <c r="F331" s="139"/>
    </row>
    <row r="332">
      <c r="F332" s="139"/>
    </row>
    <row r="333">
      <c r="F333" s="139"/>
    </row>
    <row r="334">
      <c r="F334" s="139"/>
    </row>
    <row r="335">
      <c r="F335" s="139"/>
    </row>
    <row r="336">
      <c r="F336" s="139"/>
    </row>
    <row r="337">
      <c r="F337" s="139"/>
    </row>
    <row r="338">
      <c r="F338" s="139"/>
    </row>
    <row r="339">
      <c r="F339" s="139"/>
    </row>
    <row r="340">
      <c r="F340" s="139"/>
    </row>
    <row r="341">
      <c r="F341" s="139"/>
    </row>
    <row r="342">
      <c r="F342" s="139"/>
    </row>
    <row r="343">
      <c r="F343" s="139"/>
    </row>
    <row r="344">
      <c r="F344" s="139"/>
    </row>
    <row r="345">
      <c r="F345" s="139"/>
    </row>
    <row r="346">
      <c r="F346" s="139"/>
    </row>
    <row r="347">
      <c r="F347" s="139"/>
    </row>
    <row r="348">
      <c r="F348" s="139"/>
    </row>
    <row r="349">
      <c r="F349" s="139"/>
    </row>
    <row r="350">
      <c r="F350" s="139"/>
    </row>
    <row r="351">
      <c r="F351" s="139"/>
    </row>
    <row r="352">
      <c r="F352" s="139"/>
    </row>
    <row r="353">
      <c r="F353" s="139"/>
    </row>
    <row r="354">
      <c r="F354" s="139"/>
    </row>
    <row r="355">
      <c r="F355" s="139"/>
    </row>
    <row r="356">
      <c r="F356" s="139"/>
    </row>
    <row r="357">
      <c r="F357" s="139"/>
    </row>
    <row r="358">
      <c r="F358" s="139"/>
    </row>
    <row r="359">
      <c r="F359" s="139"/>
    </row>
    <row r="360">
      <c r="F360" s="139"/>
    </row>
    <row r="361">
      <c r="F361" s="139"/>
    </row>
    <row r="362">
      <c r="F362" s="139"/>
    </row>
    <row r="363">
      <c r="F363" s="139"/>
    </row>
    <row r="364">
      <c r="F364" s="139"/>
    </row>
    <row r="365">
      <c r="F365" s="139"/>
    </row>
    <row r="366">
      <c r="F366" s="139"/>
    </row>
    <row r="367">
      <c r="F367" s="139"/>
    </row>
    <row r="368">
      <c r="F368" s="139"/>
    </row>
    <row r="369">
      <c r="F369" s="139"/>
    </row>
    <row r="370">
      <c r="F370" s="139"/>
    </row>
    <row r="371">
      <c r="F371" s="139"/>
    </row>
    <row r="372">
      <c r="F372" s="139"/>
    </row>
    <row r="373">
      <c r="F373" s="139"/>
    </row>
    <row r="374">
      <c r="F374" s="139"/>
    </row>
    <row r="375">
      <c r="F375" s="139"/>
    </row>
    <row r="376">
      <c r="F376" s="139"/>
    </row>
    <row r="377">
      <c r="F377" s="139"/>
    </row>
    <row r="378">
      <c r="F378" s="139"/>
    </row>
    <row r="379">
      <c r="F379" s="139"/>
    </row>
    <row r="380">
      <c r="F380" s="139"/>
    </row>
    <row r="381">
      <c r="F381" s="139"/>
    </row>
    <row r="382">
      <c r="F382" s="139"/>
    </row>
    <row r="383">
      <c r="F383" s="139"/>
    </row>
    <row r="384">
      <c r="F384" s="139"/>
    </row>
    <row r="385">
      <c r="F385" s="139"/>
    </row>
    <row r="386">
      <c r="F386" s="139"/>
    </row>
    <row r="387">
      <c r="F387" s="139"/>
    </row>
    <row r="388">
      <c r="F388" s="139"/>
    </row>
    <row r="389">
      <c r="F389" s="139"/>
    </row>
    <row r="390">
      <c r="F390" s="139"/>
    </row>
    <row r="391">
      <c r="F391" s="139"/>
    </row>
    <row r="392">
      <c r="F392" s="139"/>
    </row>
    <row r="393">
      <c r="F393" s="139"/>
    </row>
    <row r="394">
      <c r="F394" s="139"/>
    </row>
    <row r="395">
      <c r="F395" s="139"/>
    </row>
    <row r="396">
      <c r="F396" s="139"/>
    </row>
    <row r="397">
      <c r="F397" s="139"/>
    </row>
    <row r="398">
      <c r="F398" s="139"/>
    </row>
    <row r="399">
      <c r="F399" s="139"/>
    </row>
    <row r="400">
      <c r="F400" s="139"/>
    </row>
    <row r="401">
      <c r="F401" s="139"/>
    </row>
    <row r="402">
      <c r="F402" s="139"/>
    </row>
    <row r="403">
      <c r="F403" s="139"/>
    </row>
    <row r="404">
      <c r="F404" s="139"/>
    </row>
    <row r="405">
      <c r="F405" s="139"/>
    </row>
    <row r="406">
      <c r="F406" s="139"/>
    </row>
    <row r="407">
      <c r="F407" s="139"/>
    </row>
    <row r="408">
      <c r="F408" s="139"/>
    </row>
    <row r="409">
      <c r="F409" s="139"/>
    </row>
    <row r="410">
      <c r="F410" s="139"/>
    </row>
    <row r="411">
      <c r="F411" s="139"/>
    </row>
    <row r="412">
      <c r="F412" s="139"/>
    </row>
    <row r="413">
      <c r="F413" s="139"/>
    </row>
    <row r="414">
      <c r="F414" s="139"/>
    </row>
    <row r="415">
      <c r="F415" s="139"/>
    </row>
    <row r="416">
      <c r="F416" s="139"/>
    </row>
    <row r="417">
      <c r="F417" s="139"/>
    </row>
    <row r="418">
      <c r="F418" s="139"/>
    </row>
    <row r="419">
      <c r="F419" s="139"/>
    </row>
    <row r="420">
      <c r="F420" s="139"/>
    </row>
    <row r="421">
      <c r="F421" s="139"/>
    </row>
    <row r="422">
      <c r="F422" s="139"/>
    </row>
    <row r="423">
      <c r="F423" s="139"/>
    </row>
    <row r="424">
      <c r="F424" s="139"/>
    </row>
    <row r="425">
      <c r="F425" s="139"/>
    </row>
    <row r="426">
      <c r="F426" s="139"/>
    </row>
    <row r="427">
      <c r="F427" s="139"/>
    </row>
    <row r="428">
      <c r="F428" s="139"/>
    </row>
    <row r="429">
      <c r="F429" s="139"/>
    </row>
    <row r="430">
      <c r="F430" s="139"/>
    </row>
    <row r="431">
      <c r="F431" s="139"/>
    </row>
    <row r="432">
      <c r="F432" s="139"/>
    </row>
    <row r="433">
      <c r="F433" s="139"/>
    </row>
    <row r="434">
      <c r="F434" s="139"/>
    </row>
    <row r="435">
      <c r="F435" s="139"/>
    </row>
    <row r="436">
      <c r="F436" s="139"/>
    </row>
    <row r="437">
      <c r="F437" s="139"/>
    </row>
    <row r="438">
      <c r="F438" s="139"/>
    </row>
    <row r="439">
      <c r="F439" s="139"/>
    </row>
    <row r="440">
      <c r="F440" s="139"/>
    </row>
    <row r="441">
      <c r="F441" s="139"/>
    </row>
    <row r="442">
      <c r="F442" s="139"/>
    </row>
    <row r="443">
      <c r="F443" s="139"/>
    </row>
    <row r="444">
      <c r="F444" s="139"/>
    </row>
    <row r="445">
      <c r="F445" s="139"/>
    </row>
    <row r="446">
      <c r="F446" s="139"/>
    </row>
    <row r="447">
      <c r="F447" s="139"/>
    </row>
    <row r="448">
      <c r="F448" s="139"/>
    </row>
    <row r="449">
      <c r="F449" s="139"/>
    </row>
    <row r="450">
      <c r="F450" s="139"/>
    </row>
    <row r="451">
      <c r="F451" s="139"/>
    </row>
    <row r="452">
      <c r="F452" s="139"/>
    </row>
    <row r="453">
      <c r="F453" s="139"/>
    </row>
    <row r="454">
      <c r="F454" s="139"/>
    </row>
    <row r="455">
      <c r="F455" s="139"/>
    </row>
    <row r="456">
      <c r="F456" s="139"/>
    </row>
    <row r="457">
      <c r="F457" s="139"/>
    </row>
    <row r="458">
      <c r="F458" s="139"/>
    </row>
    <row r="459">
      <c r="F459" s="139"/>
    </row>
    <row r="460">
      <c r="F460" s="139"/>
    </row>
    <row r="461">
      <c r="F461" s="139"/>
    </row>
    <row r="462">
      <c r="F462" s="139"/>
    </row>
    <row r="463">
      <c r="F463" s="139"/>
    </row>
    <row r="464">
      <c r="F464" s="139"/>
    </row>
    <row r="465">
      <c r="F465" s="139"/>
    </row>
    <row r="466">
      <c r="F466" s="139"/>
    </row>
    <row r="467">
      <c r="F467" s="139"/>
    </row>
    <row r="468">
      <c r="F468" s="139"/>
    </row>
    <row r="469">
      <c r="F469" s="139"/>
    </row>
    <row r="470">
      <c r="F470" s="139"/>
    </row>
    <row r="471">
      <c r="F471" s="139"/>
    </row>
    <row r="472">
      <c r="F472" s="139"/>
    </row>
    <row r="473">
      <c r="F473" s="139"/>
    </row>
    <row r="474">
      <c r="F474" s="139"/>
    </row>
    <row r="475">
      <c r="F475" s="139"/>
    </row>
    <row r="476">
      <c r="F476" s="139"/>
    </row>
    <row r="477">
      <c r="F477" s="139"/>
    </row>
    <row r="478">
      <c r="F478" s="139"/>
    </row>
    <row r="479">
      <c r="F479" s="139"/>
    </row>
    <row r="480">
      <c r="F480" s="139"/>
    </row>
    <row r="481">
      <c r="F481" s="139"/>
    </row>
    <row r="482">
      <c r="F482" s="139"/>
    </row>
    <row r="483">
      <c r="F483" s="139"/>
    </row>
    <row r="484">
      <c r="F484" s="139"/>
    </row>
    <row r="485">
      <c r="F485" s="139"/>
    </row>
    <row r="486">
      <c r="F486" s="139"/>
    </row>
    <row r="487">
      <c r="F487" s="139"/>
    </row>
    <row r="488">
      <c r="F488" s="139"/>
    </row>
    <row r="489">
      <c r="F489" s="139"/>
    </row>
    <row r="490">
      <c r="F490" s="139"/>
    </row>
    <row r="491">
      <c r="F491" s="139"/>
    </row>
    <row r="492">
      <c r="F492" s="139"/>
    </row>
    <row r="493">
      <c r="F493" s="139"/>
    </row>
    <row r="494">
      <c r="F494" s="139"/>
    </row>
    <row r="495">
      <c r="F495" s="139"/>
    </row>
    <row r="496">
      <c r="F496" s="139"/>
    </row>
    <row r="497">
      <c r="F497" s="139"/>
    </row>
    <row r="498">
      <c r="F498" s="139"/>
    </row>
    <row r="499">
      <c r="F499" s="139"/>
    </row>
    <row r="500">
      <c r="F500" s="139"/>
    </row>
    <row r="501">
      <c r="F501" s="139"/>
    </row>
    <row r="502">
      <c r="F502" s="139"/>
    </row>
    <row r="503">
      <c r="F503" s="139"/>
    </row>
    <row r="504">
      <c r="F504" s="139"/>
    </row>
    <row r="505">
      <c r="F505" s="139"/>
    </row>
    <row r="506">
      <c r="F506" s="139"/>
    </row>
    <row r="507">
      <c r="F507" s="139"/>
    </row>
    <row r="508">
      <c r="F508" s="139"/>
    </row>
    <row r="509">
      <c r="F509" s="139"/>
    </row>
    <row r="510">
      <c r="F510" s="139"/>
    </row>
    <row r="511">
      <c r="F511" s="139"/>
    </row>
    <row r="512">
      <c r="F512" s="139"/>
    </row>
    <row r="513">
      <c r="F513" s="139"/>
    </row>
    <row r="514">
      <c r="F514" s="139"/>
    </row>
    <row r="515">
      <c r="F515" s="139"/>
    </row>
    <row r="516">
      <c r="F516" s="139"/>
    </row>
    <row r="517">
      <c r="F517" s="139"/>
    </row>
    <row r="518">
      <c r="F518" s="139"/>
    </row>
    <row r="519">
      <c r="F519" s="139"/>
    </row>
    <row r="520">
      <c r="F520" s="139"/>
    </row>
    <row r="521">
      <c r="F521" s="139"/>
    </row>
    <row r="522">
      <c r="F522" s="139"/>
    </row>
    <row r="523">
      <c r="F523" s="139"/>
    </row>
    <row r="524">
      <c r="F524" s="139"/>
    </row>
    <row r="525">
      <c r="F525" s="139"/>
    </row>
    <row r="526">
      <c r="F526" s="139"/>
    </row>
    <row r="527">
      <c r="F527" s="139"/>
    </row>
    <row r="528">
      <c r="F528" s="139"/>
    </row>
    <row r="529">
      <c r="F529" s="139"/>
    </row>
    <row r="530">
      <c r="F530" s="139"/>
    </row>
    <row r="531">
      <c r="F531" s="139"/>
    </row>
    <row r="532">
      <c r="F532" s="139"/>
    </row>
    <row r="533">
      <c r="F533" s="139"/>
    </row>
    <row r="534">
      <c r="F534" s="139"/>
    </row>
    <row r="535">
      <c r="F535" s="139"/>
    </row>
    <row r="536">
      <c r="F536" s="139"/>
    </row>
    <row r="537">
      <c r="F537" s="139"/>
    </row>
    <row r="538">
      <c r="F538" s="139"/>
    </row>
    <row r="539">
      <c r="F539" s="139"/>
    </row>
    <row r="540">
      <c r="F540" s="139"/>
    </row>
    <row r="541">
      <c r="F541" s="139"/>
    </row>
    <row r="542">
      <c r="F542" s="139"/>
    </row>
    <row r="543">
      <c r="F543" s="139"/>
    </row>
    <row r="544">
      <c r="F544" s="139"/>
    </row>
    <row r="545">
      <c r="F545" s="139"/>
    </row>
    <row r="546">
      <c r="F546" s="139"/>
    </row>
    <row r="547">
      <c r="F547" s="139"/>
    </row>
    <row r="548">
      <c r="F548" s="139"/>
    </row>
    <row r="549">
      <c r="F549" s="139"/>
    </row>
    <row r="550">
      <c r="F550" s="139"/>
    </row>
    <row r="551">
      <c r="F551" s="139"/>
    </row>
    <row r="552">
      <c r="F552" s="139"/>
    </row>
    <row r="553">
      <c r="F553" s="139"/>
    </row>
    <row r="554">
      <c r="F554" s="139"/>
    </row>
    <row r="555">
      <c r="F555" s="139"/>
    </row>
    <row r="556">
      <c r="F556" s="139"/>
    </row>
    <row r="557">
      <c r="F557" s="139"/>
    </row>
    <row r="558">
      <c r="F558" s="139"/>
    </row>
    <row r="559">
      <c r="F559" s="139"/>
    </row>
    <row r="560">
      <c r="F560" s="139"/>
    </row>
    <row r="561">
      <c r="F561" s="139"/>
    </row>
    <row r="562">
      <c r="F562" s="139"/>
    </row>
    <row r="563">
      <c r="F563" s="139"/>
    </row>
    <row r="564">
      <c r="F564" s="139"/>
    </row>
    <row r="565">
      <c r="F565" s="139"/>
    </row>
    <row r="566">
      <c r="F566" s="139"/>
    </row>
    <row r="567">
      <c r="F567" s="139"/>
    </row>
    <row r="568">
      <c r="F568" s="139"/>
    </row>
    <row r="569">
      <c r="F569" s="139"/>
    </row>
    <row r="570">
      <c r="F570" s="139"/>
    </row>
    <row r="571">
      <c r="F571" s="139"/>
    </row>
    <row r="572">
      <c r="F572" s="139"/>
    </row>
    <row r="573">
      <c r="F573" s="139"/>
    </row>
    <row r="574">
      <c r="F574" s="139"/>
    </row>
    <row r="575">
      <c r="F575" s="139"/>
    </row>
    <row r="576">
      <c r="F576" s="139"/>
    </row>
    <row r="577">
      <c r="F577" s="139"/>
    </row>
    <row r="578">
      <c r="F578" s="139"/>
    </row>
    <row r="579">
      <c r="F579" s="139"/>
    </row>
    <row r="580">
      <c r="F580" s="139"/>
    </row>
    <row r="581">
      <c r="F581" s="139"/>
    </row>
    <row r="582">
      <c r="F582" s="139"/>
    </row>
    <row r="583">
      <c r="F583" s="139"/>
    </row>
    <row r="584">
      <c r="F584" s="139"/>
    </row>
    <row r="585">
      <c r="F585" s="139"/>
    </row>
    <row r="586">
      <c r="F586" s="139"/>
    </row>
    <row r="587">
      <c r="F587" s="139"/>
    </row>
    <row r="588">
      <c r="F588" s="139"/>
    </row>
    <row r="589">
      <c r="F589" s="139"/>
    </row>
    <row r="590">
      <c r="F590" s="139"/>
    </row>
    <row r="591">
      <c r="F591" s="139"/>
    </row>
    <row r="592">
      <c r="F592" s="139"/>
    </row>
    <row r="593">
      <c r="F593" s="139"/>
    </row>
    <row r="594">
      <c r="F594" s="139"/>
    </row>
    <row r="595">
      <c r="F595" s="139"/>
    </row>
    <row r="596">
      <c r="F596" s="139"/>
    </row>
    <row r="597">
      <c r="F597" s="139"/>
    </row>
    <row r="598">
      <c r="F598" s="139"/>
    </row>
    <row r="599">
      <c r="F599" s="139"/>
    </row>
    <row r="600">
      <c r="F600" s="139"/>
    </row>
    <row r="601">
      <c r="F601" s="139"/>
    </row>
    <row r="602">
      <c r="F602" s="139"/>
    </row>
    <row r="603">
      <c r="F603" s="139"/>
    </row>
    <row r="604">
      <c r="F604" s="139"/>
    </row>
    <row r="605">
      <c r="F605" s="139"/>
    </row>
    <row r="606">
      <c r="F606" s="139"/>
    </row>
    <row r="607">
      <c r="F607" s="139"/>
    </row>
    <row r="608">
      <c r="F608" s="139"/>
    </row>
    <row r="609">
      <c r="F609" s="139"/>
    </row>
    <row r="610">
      <c r="F610" s="139"/>
    </row>
    <row r="611">
      <c r="F611" s="139"/>
    </row>
    <row r="612">
      <c r="F612" s="139"/>
    </row>
    <row r="613">
      <c r="F613" s="139"/>
    </row>
    <row r="614">
      <c r="F614" s="139"/>
    </row>
    <row r="615">
      <c r="F615" s="139"/>
    </row>
    <row r="616">
      <c r="F616" s="139"/>
    </row>
    <row r="617">
      <c r="F617" s="139"/>
    </row>
    <row r="618">
      <c r="F618" s="139"/>
    </row>
    <row r="619">
      <c r="F619" s="139"/>
    </row>
    <row r="620">
      <c r="F620" s="139"/>
    </row>
    <row r="621">
      <c r="F621" s="139"/>
    </row>
    <row r="622">
      <c r="F622" s="139"/>
    </row>
    <row r="623">
      <c r="F623" s="139"/>
    </row>
    <row r="624">
      <c r="F624" s="139"/>
    </row>
    <row r="625">
      <c r="F625" s="139"/>
    </row>
    <row r="626">
      <c r="F626" s="139"/>
    </row>
    <row r="627">
      <c r="F627" s="139"/>
    </row>
    <row r="628">
      <c r="F628" s="139"/>
    </row>
    <row r="629">
      <c r="F629" s="139"/>
    </row>
    <row r="630">
      <c r="F630" s="139"/>
    </row>
    <row r="631">
      <c r="F631" s="139"/>
    </row>
    <row r="632">
      <c r="F632" s="139"/>
    </row>
    <row r="633">
      <c r="F633" s="139"/>
    </row>
    <row r="634">
      <c r="F634" s="139"/>
    </row>
    <row r="635">
      <c r="F635" s="139"/>
    </row>
    <row r="636">
      <c r="F636" s="139"/>
    </row>
    <row r="637">
      <c r="F637" s="139"/>
    </row>
    <row r="638">
      <c r="F638" s="139"/>
    </row>
    <row r="639">
      <c r="F639" s="139"/>
    </row>
    <row r="640">
      <c r="F640" s="139"/>
    </row>
    <row r="641">
      <c r="F641" s="139"/>
    </row>
    <row r="642">
      <c r="F642" s="139"/>
    </row>
    <row r="643">
      <c r="F643" s="139"/>
    </row>
    <row r="644">
      <c r="F644" s="139"/>
    </row>
    <row r="645">
      <c r="F645" s="139"/>
    </row>
    <row r="646">
      <c r="F646" s="139"/>
    </row>
    <row r="647">
      <c r="F647" s="139"/>
    </row>
    <row r="648">
      <c r="F648" s="139"/>
    </row>
    <row r="649">
      <c r="F649" s="139"/>
    </row>
    <row r="650">
      <c r="F650" s="139"/>
    </row>
    <row r="651">
      <c r="F651" s="139"/>
    </row>
    <row r="652">
      <c r="F652" s="139"/>
    </row>
    <row r="653">
      <c r="F653" s="139"/>
    </row>
    <row r="654">
      <c r="F654" s="139"/>
    </row>
    <row r="655">
      <c r="F655" s="139"/>
    </row>
    <row r="656">
      <c r="F656" s="139"/>
    </row>
    <row r="657">
      <c r="F657" s="139"/>
    </row>
    <row r="658">
      <c r="F658" s="139"/>
    </row>
    <row r="659">
      <c r="F659" s="139"/>
    </row>
    <row r="660">
      <c r="F660" s="139"/>
    </row>
    <row r="661">
      <c r="F661" s="139"/>
    </row>
    <row r="662">
      <c r="F662" s="139"/>
    </row>
    <row r="663">
      <c r="F663" s="139"/>
    </row>
    <row r="664">
      <c r="F664" s="139"/>
    </row>
    <row r="665">
      <c r="F665" s="139"/>
    </row>
    <row r="666">
      <c r="F666" s="139"/>
    </row>
    <row r="667">
      <c r="F667" s="139"/>
    </row>
    <row r="668">
      <c r="F668" s="139"/>
    </row>
    <row r="669">
      <c r="F669" s="139"/>
    </row>
    <row r="670">
      <c r="F670" s="139"/>
    </row>
    <row r="671">
      <c r="F671" s="139"/>
    </row>
    <row r="672">
      <c r="F672" s="139"/>
    </row>
    <row r="673">
      <c r="F673" s="139"/>
    </row>
    <row r="674">
      <c r="F674" s="139"/>
    </row>
    <row r="675">
      <c r="F675" s="139"/>
    </row>
    <row r="676">
      <c r="F676" s="139"/>
    </row>
    <row r="677">
      <c r="F677" s="139"/>
    </row>
    <row r="678">
      <c r="F678" s="139"/>
    </row>
    <row r="679">
      <c r="F679" s="139"/>
    </row>
    <row r="680">
      <c r="F680" s="139"/>
    </row>
    <row r="681">
      <c r="F681" s="139"/>
    </row>
    <row r="682">
      <c r="F682" s="139"/>
    </row>
    <row r="683">
      <c r="F683" s="139"/>
    </row>
    <row r="684">
      <c r="F684" s="139"/>
    </row>
    <row r="685">
      <c r="F685" s="139"/>
    </row>
    <row r="686">
      <c r="F686" s="139"/>
    </row>
    <row r="687">
      <c r="F687" s="139"/>
    </row>
    <row r="688">
      <c r="F688" s="139"/>
    </row>
    <row r="689">
      <c r="F689" s="139"/>
    </row>
    <row r="690">
      <c r="F690" s="139"/>
    </row>
    <row r="691">
      <c r="F691" s="139"/>
    </row>
    <row r="692">
      <c r="F692" s="139"/>
    </row>
    <row r="693">
      <c r="F693" s="139"/>
    </row>
    <row r="694">
      <c r="F694" s="139"/>
    </row>
    <row r="695">
      <c r="F695" s="139"/>
    </row>
    <row r="696">
      <c r="F696" s="139"/>
    </row>
    <row r="697">
      <c r="F697" s="139"/>
    </row>
    <row r="698">
      <c r="F698" s="139"/>
    </row>
    <row r="699">
      <c r="F699" s="139"/>
    </row>
    <row r="700">
      <c r="F700" s="139"/>
    </row>
    <row r="701">
      <c r="F701" s="139"/>
    </row>
    <row r="702">
      <c r="F702" s="139"/>
    </row>
    <row r="703">
      <c r="F703" s="139"/>
    </row>
    <row r="704">
      <c r="F704" s="139"/>
    </row>
    <row r="705">
      <c r="F705" s="139"/>
    </row>
    <row r="706">
      <c r="F706" s="139"/>
    </row>
    <row r="707">
      <c r="F707" s="139"/>
    </row>
    <row r="708">
      <c r="F708" s="139"/>
    </row>
    <row r="709">
      <c r="F709" s="139"/>
    </row>
    <row r="710">
      <c r="F710" s="139"/>
    </row>
    <row r="711">
      <c r="F711" s="139"/>
    </row>
    <row r="712">
      <c r="F712" s="139"/>
    </row>
    <row r="713">
      <c r="F713" s="139"/>
    </row>
    <row r="714">
      <c r="F714" s="139"/>
    </row>
    <row r="715">
      <c r="F715" s="139"/>
    </row>
    <row r="716">
      <c r="F716" s="139"/>
    </row>
    <row r="717">
      <c r="F717" s="139"/>
    </row>
    <row r="718">
      <c r="F718" s="139"/>
    </row>
    <row r="719">
      <c r="F719" s="139"/>
    </row>
    <row r="720">
      <c r="F720" s="139"/>
    </row>
    <row r="721">
      <c r="F721" s="139"/>
    </row>
    <row r="722">
      <c r="F722" s="139"/>
    </row>
    <row r="723">
      <c r="F723" s="139"/>
    </row>
    <row r="724">
      <c r="F724" s="139"/>
    </row>
    <row r="725">
      <c r="F725" s="139"/>
    </row>
    <row r="726">
      <c r="F726" s="139"/>
    </row>
    <row r="727">
      <c r="F727" s="139"/>
    </row>
    <row r="728">
      <c r="F728" s="139"/>
    </row>
    <row r="729">
      <c r="F729" s="139"/>
    </row>
    <row r="730">
      <c r="F730" s="139"/>
    </row>
    <row r="731">
      <c r="F731" s="139"/>
    </row>
    <row r="732">
      <c r="F732" s="139"/>
    </row>
    <row r="733">
      <c r="F733" s="139"/>
    </row>
    <row r="734">
      <c r="F734" s="139"/>
    </row>
    <row r="735">
      <c r="F735" s="139"/>
    </row>
    <row r="736">
      <c r="F736" s="139"/>
    </row>
    <row r="737">
      <c r="F737" s="139"/>
    </row>
    <row r="738">
      <c r="F738" s="139"/>
    </row>
    <row r="739">
      <c r="F739" s="139"/>
    </row>
    <row r="740">
      <c r="F740" s="139"/>
    </row>
    <row r="741">
      <c r="F741" s="139"/>
    </row>
    <row r="742">
      <c r="F742" s="139"/>
    </row>
    <row r="743">
      <c r="F743" s="139"/>
    </row>
    <row r="744">
      <c r="F744" s="139"/>
    </row>
    <row r="745">
      <c r="F745" s="139"/>
    </row>
    <row r="746">
      <c r="F746" s="139"/>
    </row>
    <row r="747">
      <c r="F747" s="139"/>
    </row>
    <row r="748">
      <c r="F748" s="139"/>
    </row>
    <row r="749">
      <c r="F749" s="139"/>
    </row>
    <row r="750">
      <c r="F750" s="139"/>
    </row>
    <row r="751">
      <c r="F751" s="139"/>
    </row>
    <row r="752">
      <c r="F752" s="139"/>
    </row>
    <row r="753">
      <c r="F753" s="139"/>
    </row>
    <row r="754">
      <c r="F754" s="139"/>
    </row>
    <row r="755">
      <c r="F755" s="139"/>
    </row>
    <row r="756">
      <c r="F756" s="139"/>
    </row>
    <row r="757">
      <c r="F757" s="139"/>
    </row>
    <row r="758">
      <c r="F758" s="139"/>
    </row>
    <row r="759">
      <c r="F759" s="139"/>
    </row>
    <row r="760">
      <c r="F760" s="139"/>
    </row>
    <row r="761">
      <c r="F761" s="139"/>
    </row>
    <row r="762">
      <c r="F762" s="139"/>
    </row>
    <row r="763">
      <c r="F763" s="139"/>
    </row>
    <row r="764">
      <c r="F764" s="139"/>
    </row>
    <row r="765">
      <c r="F765" s="139"/>
    </row>
    <row r="766">
      <c r="F766" s="139"/>
    </row>
    <row r="767">
      <c r="F767" s="139"/>
    </row>
    <row r="768">
      <c r="F768" s="139"/>
    </row>
    <row r="769">
      <c r="F769" s="139"/>
    </row>
    <row r="770">
      <c r="F770" s="139"/>
    </row>
    <row r="771">
      <c r="F771" s="139"/>
    </row>
    <row r="772">
      <c r="F772" s="139"/>
    </row>
    <row r="773">
      <c r="F773" s="139"/>
    </row>
    <row r="774">
      <c r="F774" s="139"/>
    </row>
    <row r="775">
      <c r="F775" s="139"/>
    </row>
    <row r="776">
      <c r="F776" s="139"/>
    </row>
    <row r="777">
      <c r="F777" s="139"/>
    </row>
    <row r="778">
      <c r="F778" s="139"/>
    </row>
    <row r="779">
      <c r="F779" s="139"/>
    </row>
    <row r="780">
      <c r="F780" s="139"/>
    </row>
    <row r="781">
      <c r="F781" s="139"/>
    </row>
    <row r="782">
      <c r="F782" s="139"/>
    </row>
    <row r="783">
      <c r="F783" s="139"/>
    </row>
    <row r="784">
      <c r="F784" s="139"/>
    </row>
    <row r="785">
      <c r="F785" s="139"/>
    </row>
    <row r="786">
      <c r="F786" s="139"/>
    </row>
    <row r="787">
      <c r="F787" s="139"/>
    </row>
    <row r="788">
      <c r="F788" s="139"/>
    </row>
    <row r="789">
      <c r="F789" s="139"/>
    </row>
    <row r="790">
      <c r="F790" s="139"/>
    </row>
    <row r="791">
      <c r="F791" s="139"/>
    </row>
    <row r="792">
      <c r="F792" s="139"/>
    </row>
    <row r="793">
      <c r="F793" s="139"/>
    </row>
    <row r="794">
      <c r="F794" s="139"/>
    </row>
    <row r="795">
      <c r="F795" s="139"/>
    </row>
    <row r="796">
      <c r="F796" s="139"/>
    </row>
    <row r="797">
      <c r="F797" s="139"/>
    </row>
    <row r="798">
      <c r="F798" s="139"/>
    </row>
    <row r="799">
      <c r="F799" s="139"/>
    </row>
    <row r="800">
      <c r="F800" s="139"/>
    </row>
    <row r="801">
      <c r="F801" s="139"/>
    </row>
    <row r="802">
      <c r="F802" s="139"/>
    </row>
    <row r="803">
      <c r="F803" s="139"/>
    </row>
    <row r="804">
      <c r="F804" s="139"/>
    </row>
    <row r="805">
      <c r="F805" s="139"/>
    </row>
    <row r="806">
      <c r="F806" s="139"/>
    </row>
    <row r="807">
      <c r="F807" s="139"/>
    </row>
    <row r="808">
      <c r="F808" s="139"/>
    </row>
    <row r="809">
      <c r="F809" s="139"/>
    </row>
    <row r="810">
      <c r="F810" s="139"/>
    </row>
    <row r="811">
      <c r="F811" s="139"/>
    </row>
    <row r="812">
      <c r="F812" s="139"/>
    </row>
    <row r="813">
      <c r="F813" s="139"/>
    </row>
    <row r="814">
      <c r="F814" s="139"/>
    </row>
    <row r="815">
      <c r="F815" s="139"/>
    </row>
    <row r="816">
      <c r="F816" s="139"/>
    </row>
    <row r="817">
      <c r="F817" s="139"/>
    </row>
    <row r="818">
      <c r="F818" s="139"/>
    </row>
    <row r="819">
      <c r="F819" s="139"/>
    </row>
    <row r="820">
      <c r="F820" s="139"/>
    </row>
    <row r="821">
      <c r="F821" s="139"/>
    </row>
    <row r="822">
      <c r="F822" s="139"/>
    </row>
    <row r="823">
      <c r="F823" s="139"/>
    </row>
    <row r="824">
      <c r="F824" s="139"/>
    </row>
    <row r="825">
      <c r="F825" s="139"/>
    </row>
    <row r="826">
      <c r="F826" s="139"/>
    </row>
    <row r="827">
      <c r="F827" s="139"/>
    </row>
    <row r="828">
      <c r="F828" s="139"/>
    </row>
    <row r="829">
      <c r="F829" s="139"/>
    </row>
    <row r="830">
      <c r="F830" s="139"/>
    </row>
    <row r="831">
      <c r="F831" s="139"/>
    </row>
    <row r="832">
      <c r="F832" s="139"/>
    </row>
    <row r="833">
      <c r="F833" s="139"/>
    </row>
    <row r="834">
      <c r="F834" s="139"/>
    </row>
    <row r="835">
      <c r="F835" s="139"/>
    </row>
    <row r="836">
      <c r="F836" s="139"/>
    </row>
    <row r="837">
      <c r="F837" s="139"/>
    </row>
    <row r="838">
      <c r="F838" s="139"/>
    </row>
    <row r="839">
      <c r="F839" s="139"/>
    </row>
    <row r="840">
      <c r="F840" s="139"/>
    </row>
    <row r="841">
      <c r="F841" s="139"/>
    </row>
    <row r="842">
      <c r="F842" s="139"/>
    </row>
    <row r="843">
      <c r="F843" s="139"/>
    </row>
    <row r="844">
      <c r="F844" s="139"/>
    </row>
    <row r="845">
      <c r="F845" s="139"/>
    </row>
    <row r="846">
      <c r="F846" s="139"/>
    </row>
    <row r="847">
      <c r="F847" s="139"/>
    </row>
    <row r="848">
      <c r="F848" s="139"/>
    </row>
    <row r="849">
      <c r="F849" s="139"/>
    </row>
    <row r="850">
      <c r="F850" s="139"/>
    </row>
    <row r="851">
      <c r="F851" s="139"/>
    </row>
    <row r="852">
      <c r="F852" s="139"/>
    </row>
    <row r="853">
      <c r="F853" s="139"/>
    </row>
    <row r="854">
      <c r="F854" s="139"/>
    </row>
    <row r="855">
      <c r="F855" s="139"/>
    </row>
    <row r="856">
      <c r="F856" s="139"/>
    </row>
    <row r="857">
      <c r="F857" s="139"/>
    </row>
    <row r="858">
      <c r="F858" s="139"/>
    </row>
    <row r="859">
      <c r="F859" s="139"/>
    </row>
    <row r="860">
      <c r="F860" s="139"/>
    </row>
    <row r="861">
      <c r="F861" s="139"/>
    </row>
    <row r="862">
      <c r="F862" s="139"/>
    </row>
    <row r="863">
      <c r="F863" s="139"/>
    </row>
    <row r="864">
      <c r="F864" s="139"/>
    </row>
    <row r="865">
      <c r="F865" s="139"/>
    </row>
    <row r="866">
      <c r="F866" s="139"/>
    </row>
    <row r="867">
      <c r="F867" s="139"/>
    </row>
    <row r="868">
      <c r="F868" s="139"/>
    </row>
    <row r="869">
      <c r="F869" s="139"/>
    </row>
    <row r="870">
      <c r="F870" s="139"/>
    </row>
    <row r="871">
      <c r="F871" s="139"/>
    </row>
    <row r="872">
      <c r="F872" s="139"/>
    </row>
    <row r="873">
      <c r="F873" s="139"/>
    </row>
    <row r="874">
      <c r="F874" s="139"/>
    </row>
    <row r="875">
      <c r="F875" s="139"/>
    </row>
    <row r="876">
      <c r="F876" s="139"/>
    </row>
    <row r="877">
      <c r="F877" s="139"/>
    </row>
    <row r="878">
      <c r="F878" s="139"/>
    </row>
    <row r="879">
      <c r="F879" s="139"/>
    </row>
    <row r="880">
      <c r="F880" s="139"/>
    </row>
    <row r="881">
      <c r="F881" s="139"/>
    </row>
    <row r="882">
      <c r="F882" s="139"/>
    </row>
    <row r="883">
      <c r="F883" s="139"/>
    </row>
    <row r="884">
      <c r="F884" s="139"/>
    </row>
    <row r="885">
      <c r="F885" s="139"/>
    </row>
    <row r="886">
      <c r="F886" s="139"/>
    </row>
    <row r="887">
      <c r="F887" s="139"/>
    </row>
    <row r="888">
      <c r="F888" s="139"/>
    </row>
    <row r="889">
      <c r="F889" s="139"/>
    </row>
    <row r="890">
      <c r="F890" s="139"/>
    </row>
    <row r="891">
      <c r="F891" s="139"/>
    </row>
    <row r="892">
      <c r="F892" s="139"/>
    </row>
    <row r="893">
      <c r="F893" s="139"/>
    </row>
    <row r="894">
      <c r="F894" s="139"/>
    </row>
    <row r="895">
      <c r="F895" s="139"/>
    </row>
    <row r="896">
      <c r="F896" s="139"/>
    </row>
    <row r="897">
      <c r="F897" s="139"/>
    </row>
    <row r="898">
      <c r="F898" s="139"/>
    </row>
    <row r="899">
      <c r="F899" s="139"/>
    </row>
    <row r="900">
      <c r="F900" s="139"/>
    </row>
    <row r="901">
      <c r="F901" s="139"/>
    </row>
    <row r="902">
      <c r="F902" s="139"/>
    </row>
    <row r="903">
      <c r="F903" s="139"/>
    </row>
    <row r="904">
      <c r="F904" s="139"/>
    </row>
    <row r="905">
      <c r="F905" s="139"/>
    </row>
    <row r="906">
      <c r="F906" s="139"/>
    </row>
    <row r="907">
      <c r="F907" s="139"/>
    </row>
    <row r="908">
      <c r="F908" s="139"/>
    </row>
    <row r="909">
      <c r="F909" s="139"/>
    </row>
    <row r="910">
      <c r="F910" s="139"/>
    </row>
    <row r="911">
      <c r="F911" s="139"/>
    </row>
    <row r="912">
      <c r="F912" s="139"/>
    </row>
    <row r="913">
      <c r="F913" s="139"/>
    </row>
    <row r="914">
      <c r="F914" s="139"/>
    </row>
    <row r="915">
      <c r="F915" s="139"/>
    </row>
    <row r="916">
      <c r="F916" s="139"/>
    </row>
    <row r="917">
      <c r="F917" s="139"/>
    </row>
    <row r="918">
      <c r="F918" s="139"/>
    </row>
    <row r="919">
      <c r="F919" s="139"/>
    </row>
    <row r="920">
      <c r="F920" s="139"/>
    </row>
    <row r="921">
      <c r="F921" s="139"/>
    </row>
    <row r="922">
      <c r="F922" s="139"/>
    </row>
    <row r="923">
      <c r="F923" s="139"/>
    </row>
    <row r="924">
      <c r="F924" s="139"/>
    </row>
    <row r="925">
      <c r="F925" s="139"/>
    </row>
    <row r="926">
      <c r="F926" s="139"/>
    </row>
    <row r="927">
      <c r="F927" s="139"/>
    </row>
    <row r="928">
      <c r="F928" s="139"/>
    </row>
    <row r="929">
      <c r="F929" s="139"/>
    </row>
    <row r="930">
      <c r="F930" s="139"/>
    </row>
    <row r="931">
      <c r="F931" s="139"/>
    </row>
    <row r="932">
      <c r="F932" s="139"/>
    </row>
    <row r="933">
      <c r="F933" s="139"/>
    </row>
    <row r="934">
      <c r="F934" s="139"/>
    </row>
    <row r="935">
      <c r="F935" s="139"/>
    </row>
    <row r="936">
      <c r="F936" s="139"/>
    </row>
    <row r="937">
      <c r="F937" s="139"/>
    </row>
    <row r="938">
      <c r="F938" s="139"/>
    </row>
    <row r="939">
      <c r="F939" s="139"/>
    </row>
    <row r="940">
      <c r="F940" s="139"/>
    </row>
    <row r="941">
      <c r="F941" s="139"/>
    </row>
    <row r="942">
      <c r="F942" s="139"/>
    </row>
    <row r="943">
      <c r="F943" s="139"/>
    </row>
    <row r="944">
      <c r="F944" s="139"/>
    </row>
    <row r="945">
      <c r="F945" s="139"/>
    </row>
    <row r="946">
      <c r="F946" s="139"/>
    </row>
    <row r="947">
      <c r="F947" s="139"/>
    </row>
    <row r="948">
      <c r="F948" s="139"/>
    </row>
    <row r="949">
      <c r="F949" s="139"/>
    </row>
    <row r="950">
      <c r="F950" s="139"/>
    </row>
    <row r="951">
      <c r="F951" s="139"/>
    </row>
    <row r="952">
      <c r="F952" s="139"/>
    </row>
    <row r="953">
      <c r="F953" s="139"/>
    </row>
    <row r="954">
      <c r="F954" s="139"/>
    </row>
    <row r="955">
      <c r="F955" s="139"/>
    </row>
    <row r="956">
      <c r="F956" s="139"/>
    </row>
    <row r="957">
      <c r="F957" s="139"/>
    </row>
    <row r="958">
      <c r="F958" s="139"/>
    </row>
    <row r="959">
      <c r="F959" s="139"/>
    </row>
    <row r="960">
      <c r="F960" s="139"/>
    </row>
    <row r="961">
      <c r="F961" s="139"/>
    </row>
    <row r="962">
      <c r="F962" s="139"/>
    </row>
    <row r="963">
      <c r="F963" s="139"/>
    </row>
    <row r="964">
      <c r="F964" s="139"/>
    </row>
    <row r="965">
      <c r="F965" s="139"/>
    </row>
    <row r="966">
      <c r="F966" s="139"/>
    </row>
    <row r="967">
      <c r="F967" s="139"/>
    </row>
    <row r="968">
      <c r="F968" s="139"/>
    </row>
    <row r="969">
      <c r="F969" s="139"/>
    </row>
    <row r="970">
      <c r="F970" s="139"/>
    </row>
    <row r="971">
      <c r="F971" s="139"/>
    </row>
    <row r="972">
      <c r="F972" s="139"/>
    </row>
    <row r="973">
      <c r="F973" s="139"/>
    </row>
    <row r="974">
      <c r="F974" s="139"/>
    </row>
    <row r="975">
      <c r="F975" s="139"/>
    </row>
    <row r="976">
      <c r="F976" s="139"/>
    </row>
    <row r="977">
      <c r="F977" s="139"/>
    </row>
    <row r="978">
      <c r="F978" s="139"/>
    </row>
    <row r="979">
      <c r="F979" s="139"/>
    </row>
    <row r="980">
      <c r="F980" s="139"/>
    </row>
    <row r="981">
      <c r="F981" s="139"/>
    </row>
    <row r="982">
      <c r="F982" s="139"/>
    </row>
    <row r="983">
      <c r="F983" s="139"/>
    </row>
    <row r="984">
      <c r="F984" s="139"/>
    </row>
    <row r="985">
      <c r="F985" s="139"/>
    </row>
    <row r="986">
      <c r="F986" s="139"/>
    </row>
    <row r="987">
      <c r="F987" s="139"/>
    </row>
    <row r="988">
      <c r="F988" s="139"/>
    </row>
    <row r="989">
      <c r="F989" s="139"/>
    </row>
    <row r="990">
      <c r="F990" s="139"/>
    </row>
    <row r="991">
      <c r="F991" s="139"/>
    </row>
    <row r="992">
      <c r="F992" s="139"/>
    </row>
    <row r="993">
      <c r="F993" s="139"/>
    </row>
    <row r="994">
      <c r="F994" s="139"/>
    </row>
    <row r="995">
      <c r="F995" s="139"/>
    </row>
    <row r="996">
      <c r="F996" s="139"/>
    </row>
    <row r="997">
      <c r="F997" s="139"/>
    </row>
    <row r="998">
      <c r="F998" s="139"/>
    </row>
    <row r="999">
      <c r="F999" s="139"/>
    </row>
    <row r="1000">
      <c r="F1000" s="139"/>
    </row>
  </sheetData>
  <mergeCells count="3">
    <mergeCell ref="E2:F2"/>
    <mergeCell ref="G2:I2"/>
    <mergeCell ref="J2:O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0"/>
      <c r="B1" s="39"/>
      <c r="C1" s="39"/>
      <c r="D1" s="39"/>
      <c r="E1" s="39"/>
      <c r="F1" s="39"/>
      <c r="G1" s="39"/>
      <c r="H1" s="39"/>
      <c r="I1" s="39"/>
      <c r="J1" s="39"/>
      <c r="K1" s="39"/>
      <c r="L1" s="39"/>
      <c r="M1" s="39"/>
      <c r="N1" s="39"/>
      <c r="O1" s="101"/>
    </row>
    <row r="2">
      <c r="A2" s="80"/>
      <c r="B2" s="120" t="s">
        <v>0</v>
      </c>
      <c r="C2" s="120" t="s">
        <v>1</v>
      </c>
      <c r="D2" s="81" t="s">
        <v>2</v>
      </c>
      <c r="E2" s="83" t="s">
        <v>3</v>
      </c>
      <c r="G2" s="83" t="s">
        <v>4</v>
      </c>
      <c r="J2" s="83" t="s">
        <v>5</v>
      </c>
      <c r="O2" s="101"/>
    </row>
    <row r="3">
      <c r="A3" s="122" t="s">
        <v>6</v>
      </c>
      <c r="B3" s="85"/>
      <c r="C3" s="85"/>
      <c r="D3" s="85"/>
      <c r="E3" s="85" t="s">
        <v>7</v>
      </c>
      <c r="F3" s="85" t="s">
        <v>8</v>
      </c>
      <c r="G3" s="85" t="s">
        <v>7</v>
      </c>
      <c r="H3" s="85" t="s">
        <v>8</v>
      </c>
      <c r="I3" s="85" t="s">
        <v>9</v>
      </c>
      <c r="J3" s="85" t="s">
        <v>340</v>
      </c>
      <c r="K3" s="85" t="s">
        <v>341</v>
      </c>
      <c r="L3" s="85" t="s">
        <v>342</v>
      </c>
      <c r="M3" s="85" t="s">
        <v>343</v>
      </c>
      <c r="N3" s="85" t="s">
        <v>344</v>
      </c>
      <c r="O3" s="103" t="s">
        <v>16</v>
      </c>
    </row>
    <row r="4">
      <c r="A4" s="80">
        <v>1.0</v>
      </c>
      <c r="B4" s="125" t="s">
        <v>345</v>
      </c>
      <c r="C4" s="125" t="s">
        <v>767</v>
      </c>
      <c r="D4" s="80" t="s">
        <v>347</v>
      </c>
      <c r="E4" s="39" t="s">
        <v>21</v>
      </c>
      <c r="F4" s="39" t="s">
        <v>31</v>
      </c>
      <c r="G4" s="92" t="s">
        <v>22</v>
      </c>
      <c r="H4" s="39"/>
      <c r="I4" s="39"/>
      <c r="J4" s="60"/>
      <c r="K4" s="39"/>
      <c r="L4" s="39"/>
      <c r="M4" s="39"/>
      <c r="N4" s="39"/>
      <c r="O4" s="80"/>
    </row>
    <row r="5">
      <c r="A5" s="80">
        <v>2.0</v>
      </c>
      <c r="B5" s="125" t="s">
        <v>348</v>
      </c>
      <c r="C5" s="125" t="s">
        <v>768</v>
      </c>
      <c r="D5" s="80" t="s">
        <v>350</v>
      </c>
      <c r="E5" s="39" t="s">
        <v>351</v>
      </c>
      <c r="F5" s="39" t="s">
        <v>21</v>
      </c>
      <c r="G5" s="92"/>
      <c r="H5" s="39" t="s">
        <v>22</v>
      </c>
      <c r="I5" s="39"/>
      <c r="J5" s="60"/>
      <c r="K5" s="39"/>
      <c r="L5" s="39"/>
      <c r="M5" s="39"/>
      <c r="N5" s="39"/>
      <c r="O5" s="80"/>
    </row>
    <row r="6">
      <c r="A6" s="80">
        <v>3.0</v>
      </c>
      <c r="B6" s="125" t="s">
        <v>352</v>
      </c>
      <c r="C6" s="125" t="s">
        <v>769</v>
      </c>
      <c r="D6" s="80" t="s">
        <v>354</v>
      </c>
      <c r="E6" s="39" t="s">
        <v>351</v>
      </c>
      <c r="F6" s="39" t="s">
        <v>21</v>
      </c>
      <c r="G6" s="92" t="s">
        <v>22</v>
      </c>
      <c r="H6" s="39"/>
      <c r="I6" s="39"/>
      <c r="J6" s="60"/>
      <c r="K6" s="39"/>
      <c r="L6" s="39"/>
      <c r="M6" s="39"/>
      <c r="N6" s="39"/>
      <c r="O6" s="80"/>
    </row>
    <row r="7">
      <c r="A7" s="80">
        <v>4.0</v>
      </c>
      <c r="B7" s="125" t="s">
        <v>356</v>
      </c>
      <c r="C7" s="125" t="s">
        <v>770</v>
      </c>
      <c r="D7" s="80" t="s">
        <v>358</v>
      </c>
      <c r="E7" s="39" t="s">
        <v>351</v>
      </c>
      <c r="F7" s="39" t="s">
        <v>21</v>
      </c>
      <c r="G7" s="92"/>
      <c r="H7" s="39" t="s">
        <v>22</v>
      </c>
      <c r="I7" s="39"/>
      <c r="J7" s="60"/>
      <c r="K7" s="39"/>
      <c r="L7" s="39"/>
      <c r="M7" s="39"/>
      <c r="N7" s="39"/>
      <c r="O7" s="80"/>
    </row>
    <row r="8">
      <c r="A8" s="80">
        <v>5.0</v>
      </c>
      <c r="B8" s="125" t="s">
        <v>359</v>
      </c>
      <c r="C8" s="125" t="s">
        <v>771</v>
      </c>
      <c r="D8" s="80" t="s">
        <v>57</v>
      </c>
      <c r="E8" s="39" t="s">
        <v>351</v>
      </c>
      <c r="F8" s="39" t="s">
        <v>21</v>
      </c>
      <c r="G8" s="92"/>
      <c r="H8" s="39" t="s">
        <v>22</v>
      </c>
      <c r="I8" s="39"/>
      <c r="J8" s="60"/>
      <c r="K8" s="39"/>
      <c r="L8" s="39"/>
      <c r="M8" s="39"/>
      <c r="N8" s="39"/>
      <c r="O8" s="80"/>
    </row>
    <row r="9">
      <c r="A9" s="80">
        <v>6.0</v>
      </c>
      <c r="B9" s="125" t="s">
        <v>361</v>
      </c>
      <c r="C9" s="125" t="s">
        <v>772</v>
      </c>
      <c r="D9" s="80" t="s">
        <v>347</v>
      </c>
      <c r="E9" s="39" t="s">
        <v>21</v>
      </c>
      <c r="F9" s="39" t="s">
        <v>20</v>
      </c>
      <c r="G9" s="92"/>
      <c r="H9" s="39" t="s">
        <v>22</v>
      </c>
      <c r="I9" s="39"/>
      <c r="J9" s="60"/>
      <c r="K9" s="39"/>
      <c r="L9" s="39"/>
      <c r="M9" s="39"/>
      <c r="N9" s="39"/>
      <c r="O9" s="80" t="s">
        <v>1012</v>
      </c>
    </row>
    <row r="10">
      <c r="A10" s="80">
        <v>7.0</v>
      </c>
      <c r="B10" s="125" t="s">
        <v>363</v>
      </c>
      <c r="C10" s="125" t="s">
        <v>767</v>
      </c>
      <c r="D10" s="80" t="s">
        <v>364</v>
      </c>
      <c r="E10" s="39" t="s">
        <v>21</v>
      </c>
      <c r="F10" s="39" t="s">
        <v>31</v>
      </c>
      <c r="G10" s="92" t="s">
        <v>22</v>
      </c>
      <c r="H10" s="39"/>
      <c r="I10" s="39"/>
      <c r="J10" s="60"/>
      <c r="K10" s="39"/>
      <c r="L10" s="39"/>
      <c r="M10" s="39"/>
      <c r="N10" s="39"/>
      <c r="O10" s="80"/>
    </row>
    <row r="11">
      <c r="A11" s="80">
        <v>8.0</v>
      </c>
      <c r="B11" s="125" t="s">
        <v>365</v>
      </c>
      <c r="C11" s="125" t="s">
        <v>773</v>
      </c>
      <c r="D11" s="80" t="s">
        <v>367</v>
      </c>
      <c r="E11" s="39" t="s">
        <v>351</v>
      </c>
      <c r="F11" s="39" t="s">
        <v>21</v>
      </c>
      <c r="G11" s="92"/>
      <c r="H11" s="39" t="s">
        <v>22</v>
      </c>
      <c r="I11" s="39"/>
      <c r="J11" s="60"/>
      <c r="K11" s="39"/>
      <c r="L11" s="39"/>
      <c r="M11" s="39"/>
      <c r="N11" s="39"/>
      <c r="O11" s="80"/>
    </row>
    <row r="12">
      <c r="A12" s="80">
        <v>9.0</v>
      </c>
      <c r="B12" s="125" t="s">
        <v>368</v>
      </c>
      <c r="C12" s="125" t="s">
        <v>774</v>
      </c>
      <c r="D12" s="80" t="s">
        <v>370</v>
      </c>
      <c r="E12" s="39" t="s">
        <v>351</v>
      </c>
      <c r="F12" s="39" t="s">
        <v>21</v>
      </c>
      <c r="G12" s="92"/>
      <c r="H12" s="39" t="s">
        <v>22</v>
      </c>
      <c r="I12" s="39"/>
      <c r="J12" s="60"/>
      <c r="K12" s="39"/>
      <c r="L12" s="39"/>
      <c r="M12" s="39"/>
      <c r="N12" s="39"/>
      <c r="O12" s="80"/>
    </row>
    <row r="13">
      <c r="A13" s="80">
        <v>10.0</v>
      </c>
      <c r="B13" s="125" t="s">
        <v>371</v>
      </c>
      <c r="C13" s="125" t="s">
        <v>775</v>
      </c>
      <c r="D13" s="80" t="s">
        <v>373</v>
      </c>
      <c r="E13" s="39" t="s">
        <v>351</v>
      </c>
      <c r="F13" s="39" t="s">
        <v>21</v>
      </c>
      <c r="G13" s="92"/>
      <c r="H13" s="39" t="s">
        <v>22</v>
      </c>
      <c r="I13" s="39"/>
      <c r="J13" s="60"/>
      <c r="K13" s="39"/>
      <c r="L13" s="39"/>
      <c r="M13" s="39"/>
      <c r="N13" s="39"/>
      <c r="O13" s="80"/>
    </row>
    <row r="14">
      <c r="A14" s="80">
        <v>11.0</v>
      </c>
      <c r="B14" s="125" t="s">
        <v>374</v>
      </c>
      <c r="C14" s="125" t="s">
        <v>776</v>
      </c>
      <c r="D14" s="80" t="s">
        <v>232</v>
      </c>
      <c r="E14" s="39" t="s">
        <v>21</v>
      </c>
      <c r="F14" s="39" t="s">
        <v>26</v>
      </c>
      <c r="G14" s="92"/>
      <c r="H14" s="39" t="s">
        <v>22</v>
      </c>
      <c r="I14" s="39"/>
      <c r="J14" s="60"/>
      <c r="K14" s="39"/>
      <c r="L14" s="39"/>
      <c r="M14" s="39"/>
      <c r="N14" s="39"/>
      <c r="O14" s="80"/>
    </row>
    <row r="15">
      <c r="A15" s="80">
        <v>12.0</v>
      </c>
      <c r="B15" s="125" t="s">
        <v>368</v>
      </c>
      <c r="C15" s="125" t="s">
        <v>774</v>
      </c>
      <c r="D15" s="80" t="s">
        <v>370</v>
      </c>
      <c r="E15" s="39" t="s">
        <v>351</v>
      </c>
      <c r="F15" s="39" t="s">
        <v>21</v>
      </c>
      <c r="G15" s="92"/>
      <c r="H15" s="39" t="s">
        <v>22</v>
      </c>
      <c r="I15" s="39"/>
      <c r="J15" s="60"/>
      <c r="K15" s="39"/>
      <c r="L15" s="39"/>
      <c r="M15" s="39"/>
      <c r="N15" s="39"/>
      <c r="O15" s="80"/>
    </row>
    <row r="16">
      <c r="A16" s="80">
        <v>13.0</v>
      </c>
      <c r="B16" s="125" t="s">
        <v>377</v>
      </c>
      <c r="C16" s="125" t="s">
        <v>777</v>
      </c>
      <c r="D16" s="80" t="s">
        <v>379</v>
      </c>
      <c r="E16" s="39" t="s">
        <v>351</v>
      </c>
      <c r="F16" s="39" t="s">
        <v>21</v>
      </c>
      <c r="G16" s="92"/>
      <c r="H16" s="39" t="s">
        <v>22</v>
      </c>
      <c r="I16" s="39"/>
      <c r="J16" s="60"/>
      <c r="K16" s="39"/>
      <c r="L16" s="39"/>
      <c r="M16" s="39"/>
      <c r="N16" s="39"/>
      <c r="O16" s="80"/>
    </row>
    <row r="17">
      <c r="A17" s="80">
        <v>14.0</v>
      </c>
      <c r="B17" s="125" t="s">
        <v>381</v>
      </c>
      <c r="C17" s="125" t="s">
        <v>778</v>
      </c>
      <c r="D17" s="80" t="s">
        <v>383</v>
      </c>
      <c r="E17" s="39" t="s">
        <v>351</v>
      </c>
      <c r="F17" s="39" t="s">
        <v>21</v>
      </c>
      <c r="G17" s="92"/>
      <c r="H17" s="39" t="s">
        <v>22</v>
      </c>
      <c r="I17" s="39"/>
      <c r="J17" s="60"/>
      <c r="K17" s="39"/>
      <c r="L17" s="39"/>
      <c r="M17" s="39"/>
      <c r="N17" s="39"/>
      <c r="O17" s="80"/>
    </row>
    <row r="18">
      <c r="A18" s="80">
        <v>15.0</v>
      </c>
      <c r="B18" s="125" t="s">
        <v>384</v>
      </c>
      <c r="C18" s="125" t="s">
        <v>779</v>
      </c>
      <c r="D18" s="80" t="s">
        <v>216</v>
      </c>
      <c r="E18" s="39" t="s">
        <v>21</v>
      </c>
      <c r="F18" s="39" t="s">
        <v>20</v>
      </c>
      <c r="G18" s="92"/>
      <c r="H18" s="39"/>
      <c r="I18" s="39" t="s">
        <v>22</v>
      </c>
      <c r="J18" s="60"/>
      <c r="K18" s="39"/>
      <c r="L18" s="39"/>
      <c r="M18" s="39"/>
      <c r="N18" s="39"/>
      <c r="O18" s="80"/>
    </row>
    <row r="19">
      <c r="A19" s="80">
        <v>16.0</v>
      </c>
      <c r="B19" s="125" t="s">
        <v>387</v>
      </c>
      <c r="C19" s="125" t="s">
        <v>780</v>
      </c>
      <c r="D19" s="80" t="s">
        <v>389</v>
      </c>
      <c r="E19" s="39" t="s">
        <v>21</v>
      </c>
      <c r="F19" s="39" t="s">
        <v>20</v>
      </c>
      <c r="G19" s="80" t="s">
        <v>22</v>
      </c>
      <c r="H19" s="39"/>
      <c r="I19" s="39"/>
      <c r="J19" s="60"/>
      <c r="K19" s="39"/>
      <c r="L19" s="39"/>
      <c r="M19" s="39"/>
      <c r="N19" s="39"/>
      <c r="O19" s="80"/>
    </row>
    <row r="20">
      <c r="A20" s="80">
        <v>17.0</v>
      </c>
      <c r="B20" s="125" t="s">
        <v>390</v>
      </c>
      <c r="C20" s="125" t="s">
        <v>781</v>
      </c>
      <c r="D20" s="80" t="s">
        <v>392</v>
      </c>
      <c r="E20" s="39" t="s">
        <v>351</v>
      </c>
      <c r="F20" s="39" t="s">
        <v>21</v>
      </c>
      <c r="G20" s="92"/>
      <c r="H20" s="39" t="s">
        <v>22</v>
      </c>
      <c r="I20" s="39"/>
      <c r="J20" s="60"/>
      <c r="K20" s="39"/>
      <c r="L20" s="39"/>
      <c r="M20" s="39"/>
      <c r="N20" s="39"/>
      <c r="O20" s="80"/>
    </row>
    <row r="21">
      <c r="A21" s="80">
        <v>18.0</v>
      </c>
      <c r="B21" s="125" t="s">
        <v>394</v>
      </c>
      <c r="C21" s="125" t="s">
        <v>783</v>
      </c>
      <c r="D21" s="80" t="s">
        <v>396</v>
      </c>
      <c r="E21" s="39" t="s">
        <v>21</v>
      </c>
      <c r="F21" s="39" t="s">
        <v>20</v>
      </c>
      <c r="G21" s="92" t="s">
        <v>22</v>
      </c>
      <c r="H21" s="39"/>
      <c r="I21" s="39"/>
      <c r="J21" s="60"/>
      <c r="K21" s="39"/>
      <c r="L21" s="39"/>
      <c r="M21" s="39"/>
      <c r="N21" s="39"/>
      <c r="O21" s="80"/>
    </row>
    <row r="22">
      <c r="A22" s="80">
        <v>19.0</v>
      </c>
      <c r="B22" s="125" t="s">
        <v>398</v>
      </c>
      <c r="C22" s="125" t="s">
        <v>784</v>
      </c>
      <c r="D22" s="80" t="s">
        <v>400</v>
      </c>
      <c r="E22" s="39" t="s">
        <v>21</v>
      </c>
      <c r="F22" s="39" t="s">
        <v>20</v>
      </c>
      <c r="G22" s="92" t="s">
        <v>22</v>
      </c>
      <c r="H22" s="39"/>
      <c r="I22" s="39"/>
      <c r="J22" s="60"/>
      <c r="K22" s="39"/>
      <c r="L22" s="39"/>
      <c r="M22" s="39"/>
      <c r="N22" s="39"/>
      <c r="O22" s="80"/>
    </row>
    <row r="23">
      <c r="A23" s="80">
        <v>20.0</v>
      </c>
      <c r="B23" s="125" t="s">
        <v>402</v>
      </c>
      <c r="C23" s="125" t="s">
        <v>773</v>
      </c>
      <c r="D23" s="80" t="s">
        <v>403</v>
      </c>
      <c r="E23" s="39" t="s">
        <v>351</v>
      </c>
      <c r="F23" s="39" t="s">
        <v>21</v>
      </c>
      <c r="G23" s="92"/>
      <c r="H23" s="39" t="s">
        <v>22</v>
      </c>
      <c r="I23" s="39"/>
      <c r="J23" s="60"/>
      <c r="K23" s="39"/>
      <c r="L23" s="39"/>
      <c r="M23" s="39"/>
      <c r="N23" s="39"/>
      <c r="O23" s="80"/>
    </row>
    <row r="24">
      <c r="A24" s="80">
        <v>21.0</v>
      </c>
      <c r="B24" s="125" t="s">
        <v>404</v>
      </c>
      <c r="C24" s="125" t="s">
        <v>785</v>
      </c>
      <c r="D24" s="80" t="s">
        <v>25</v>
      </c>
      <c r="E24" s="39" t="s">
        <v>21</v>
      </c>
      <c r="F24" s="39" t="s">
        <v>26</v>
      </c>
      <c r="G24" s="92"/>
      <c r="H24" s="39" t="s">
        <v>22</v>
      </c>
      <c r="I24" s="39"/>
      <c r="J24" s="60"/>
      <c r="K24" s="39"/>
      <c r="L24" s="39"/>
      <c r="M24" s="39"/>
      <c r="N24" s="39"/>
      <c r="O24" s="80"/>
    </row>
    <row r="25">
      <c r="A25" s="80">
        <v>22.0</v>
      </c>
      <c r="B25" s="125" t="s">
        <v>406</v>
      </c>
      <c r="C25" s="125" t="s">
        <v>786</v>
      </c>
      <c r="D25" s="80" t="s">
        <v>114</v>
      </c>
      <c r="E25" s="39" t="s">
        <v>21</v>
      </c>
      <c r="F25" s="39" t="s">
        <v>31</v>
      </c>
      <c r="G25" s="92" t="s">
        <v>22</v>
      </c>
      <c r="H25" s="39"/>
      <c r="I25" s="39"/>
      <c r="J25" s="60"/>
      <c r="K25" s="39"/>
      <c r="L25" s="39"/>
      <c r="M25" s="39"/>
      <c r="N25" s="39"/>
      <c r="O25" s="80"/>
    </row>
    <row r="26">
      <c r="A26" s="80">
        <v>23.0</v>
      </c>
      <c r="B26" s="125" t="s">
        <v>408</v>
      </c>
      <c r="C26" s="125" t="s">
        <v>788</v>
      </c>
      <c r="D26" s="80" t="s">
        <v>410</v>
      </c>
      <c r="E26" s="39" t="s">
        <v>21</v>
      </c>
      <c r="F26" s="39" t="s">
        <v>31</v>
      </c>
      <c r="G26" s="92" t="s">
        <v>22</v>
      </c>
      <c r="H26" s="39"/>
      <c r="I26" s="39"/>
      <c r="J26" s="60"/>
      <c r="K26" s="39"/>
      <c r="L26" s="39"/>
      <c r="M26" s="39"/>
      <c r="N26" s="39"/>
      <c r="O26" s="80"/>
    </row>
    <row r="27">
      <c r="A27" s="80">
        <v>24.0</v>
      </c>
      <c r="B27" s="125" t="s">
        <v>411</v>
      </c>
      <c r="C27" s="125" t="s">
        <v>789</v>
      </c>
      <c r="D27" s="80" t="s">
        <v>413</v>
      </c>
      <c r="E27" s="39" t="s">
        <v>351</v>
      </c>
      <c r="F27" s="39" t="s">
        <v>21</v>
      </c>
      <c r="G27" s="92"/>
      <c r="H27" s="39" t="s">
        <v>22</v>
      </c>
      <c r="I27" s="39"/>
      <c r="J27" s="60"/>
      <c r="K27" s="39"/>
      <c r="L27" s="39"/>
      <c r="M27" s="39"/>
      <c r="N27" s="39"/>
      <c r="O27" s="80"/>
    </row>
    <row r="28">
      <c r="A28" s="80">
        <v>25.0</v>
      </c>
      <c r="B28" s="125" t="s">
        <v>414</v>
      </c>
      <c r="C28" s="125" t="s">
        <v>790</v>
      </c>
      <c r="D28" s="80" t="s">
        <v>416</v>
      </c>
      <c r="E28" s="39" t="s">
        <v>21</v>
      </c>
      <c r="F28" s="39" t="s">
        <v>20</v>
      </c>
      <c r="G28" s="92" t="s">
        <v>22</v>
      </c>
      <c r="H28" s="39"/>
      <c r="I28" s="39"/>
      <c r="J28" s="60"/>
      <c r="K28" s="39"/>
      <c r="L28" s="39"/>
      <c r="M28" s="39"/>
      <c r="N28" s="39"/>
      <c r="O28" s="80"/>
    </row>
    <row r="29">
      <c r="A29" s="80">
        <v>26.0</v>
      </c>
      <c r="B29" s="125" t="s">
        <v>417</v>
      </c>
      <c r="C29" s="125" t="s">
        <v>789</v>
      </c>
      <c r="D29" s="80" t="s">
        <v>418</v>
      </c>
      <c r="E29" s="39" t="s">
        <v>21</v>
      </c>
      <c r="F29" s="39" t="s">
        <v>20</v>
      </c>
      <c r="G29" s="92" t="s">
        <v>22</v>
      </c>
      <c r="H29" s="39"/>
      <c r="I29" s="39"/>
      <c r="J29" s="60"/>
      <c r="K29" s="39"/>
      <c r="L29" s="39"/>
      <c r="M29" s="39"/>
      <c r="N29" s="39"/>
      <c r="O29" s="80"/>
    </row>
    <row r="30">
      <c r="A30" s="80">
        <v>27.0</v>
      </c>
      <c r="B30" s="125" t="s">
        <v>420</v>
      </c>
      <c r="C30" s="125" t="s">
        <v>791</v>
      </c>
      <c r="D30" s="80" t="s">
        <v>422</v>
      </c>
      <c r="E30" s="39" t="s">
        <v>351</v>
      </c>
      <c r="F30" s="39" t="s">
        <v>21</v>
      </c>
      <c r="G30" s="92" t="s">
        <v>22</v>
      </c>
      <c r="H30" s="39"/>
      <c r="I30" s="39"/>
      <c r="J30" s="60"/>
      <c r="K30" s="39"/>
      <c r="L30" s="39"/>
      <c r="M30" s="39"/>
      <c r="N30" s="39"/>
      <c r="O30" s="80"/>
    </row>
    <row r="31">
      <c r="A31" s="80">
        <v>28.0</v>
      </c>
      <c r="B31" s="125" t="s">
        <v>424</v>
      </c>
      <c r="C31" s="125" t="s">
        <v>792</v>
      </c>
      <c r="D31" s="80" t="s">
        <v>426</v>
      </c>
      <c r="E31" s="39" t="s">
        <v>21</v>
      </c>
      <c r="F31" s="39" t="s">
        <v>31</v>
      </c>
      <c r="G31" s="92" t="s">
        <v>22</v>
      </c>
      <c r="H31" s="39"/>
      <c r="I31" s="39"/>
      <c r="J31" s="60"/>
      <c r="K31" s="39"/>
      <c r="L31" s="39"/>
      <c r="M31" s="39"/>
      <c r="N31" s="39"/>
      <c r="O31" s="80"/>
    </row>
    <row r="32">
      <c r="A32" s="80">
        <v>29.0</v>
      </c>
      <c r="B32" s="125" t="s">
        <v>428</v>
      </c>
      <c r="C32" s="125" t="s">
        <v>794</v>
      </c>
      <c r="D32" s="80" t="s">
        <v>430</v>
      </c>
      <c r="E32" s="39" t="s">
        <v>351</v>
      </c>
      <c r="F32" s="39" t="s">
        <v>21</v>
      </c>
      <c r="G32" s="92" t="s">
        <v>22</v>
      </c>
      <c r="H32" s="39"/>
      <c r="I32" s="39"/>
      <c r="J32" s="60"/>
      <c r="K32" s="39"/>
      <c r="L32" s="39"/>
      <c r="M32" s="39"/>
      <c r="N32" s="39"/>
      <c r="O32" s="80"/>
    </row>
    <row r="33">
      <c r="A33" s="80">
        <v>30.0</v>
      </c>
      <c r="B33" s="125" t="s">
        <v>431</v>
      </c>
      <c r="C33" s="125" t="s">
        <v>795</v>
      </c>
      <c r="D33" s="80" t="s">
        <v>95</v>
      </c>
      <c r="E33" s="39" t="s">
        <v>21</v>
      </c>
      <c r="F33" s="39" t="s">
        <v>20</v>
      </c>
      <c r="G33" s="92"/>
      <c r="H33" s="39" t="s">
        <v>22</v>
      </c>
      <c r="I33" s="39"/>
      <c r="J33" s="60"/>
      <c r="K33" s="39"/>
      <c r="L33" s="39"/>
      <c r="M33" s="39"/>
      <c r="N33" s="39"/>
      <c r="O33" s="80"/>
    </row>
    <row r="34">
      <c r="A34" s="80">
        <v>31.0</v>
      </c>
      <c r="B34" s="125" t="s">
        <v>433</v>
      </c>
      <c r="C34" s="125" t="s">
        <v>796</v>
      </c>
      <c r="D34" s="80" t="s">
        <v>435</v>
      </c>
      <c r="E34" s="39" t="s">
        <v>351</v>
      </c>
      <c r="F34" s="39" t="s">
        <v>21</v>
      </c>
      <c r="G34" s="92"/>
      <c r="H34" s="39" t="s">
        <v>22</v>
      </c>
      <c r="I34" s="39"/>
      <c r="J34" s="60"/>
      <c r="K34" s="39"/>
      <c r="L34" s="39"/>
      <c r="M34" s="39"/>
      <c r="N34" s="39"/>
      <c r="O34" s="80"/>
    </row>
    <row r="35">
      <c r="A35" s="80">
        <v>32.0</v>
      </c>
      <c r="B35" s="125" t="s">
        <v>436</v>
      </c>
      <c r="C35" s="125" t="s">
        <v>797</v>
      </c>
      <c r="D35" s="80" t="s">
        <v>95</v>
      </c>
      <c r="E35" s="39" t="s">
        <v>21</v>
      </c>
      <c r="F35" s="39" t="s">
        <v>20</v>
      </c>
      <c r="G35" s="92" t="s">
        <v>22</v>
      </c>
      <c r="H35" s="39"/>
      <c r="I35" s="39"/>
      <c r="J35" s="60"/>
      <c r="K35" s="39"/>
      <c r="L35" s="39"/>
      <c r="M35" s="39"/>
      <c r="N35" s="39"/>
      <c r="O35" s="80"/>
    </row>
    <row r="36">
      <c r="A36" s="80">
        <v>33.0</v>
      </c>
      <c r="B36" s="125" t="s">
        <v>439</v>
      </c>
      <c r="C36" s="125" t="s">
        <v>798</v>
      </c>
      <c r="D36" s="80" t="s">
        <v>42</v>
      </c>
      <c r="E36" s="39" t="s">
        <v>21</v>
      </c>
      <c r="F36" s="39" t="s">
        <v>20</v>
      </c>
      <c r="G36" s="92"/>
      <c r="H36" s="39"/>
      <c r="I36" s="39" t="s">
        <v>22</v>
      </c>
      <c r="J36" s="60"/>
      <c r="K36" s="39"/>
      <c r="L36" s="39" t="s">
        <v>22</v>
      </c>
      <c r="M36" s="39"/>
      <c r="N36" s="39"/>
      <c r="O36" s="80"/>
    </row>
    <row r="37">
      <c r="A37" s="80">
        <v>34.0</v>
      </c>
      <c r="B37" s="125" t="s">
        <v>442</v>
      </c>
      <c r="C37" s="125" t="s">
        <v>800</v>
      </c>
      <c r="D37" s="80" t="s">
        <v>25</v>
      </c>
      <c r="E37" s="39" t="s">
        <v>21</v>
      </c>
      <c r="F37" s="39" t="s">
        <v>20</v>
      </c>
      <c r="G37" s="92" t="s">
        <v>22</v>
      </c>
      <c r="H37" s="39"/>
      <c r="I37" s="39"/>
      <c r="J37" s="60"/>
      <c r="K37" s="39"/>
      <c r="L37" s="39"/>
      <c r="M37" s="39"/>
      <c r="N37" s="39"/>
      <c r="O37" s="80"/>
    </row>
    <row r="38">
      <c r="A38" s="80">
        <v>35.0</v>
      </c>
      <c r="B38" s="125" t="s">
        <v>445</v>
      </c>
      <c r="C38" s="125" t="s">
        <v>801</v>
      </c>
      <c r="D38" s="80" t="s">
        <v>447</v>
      </c>
      <c r="E38" s="39" t="s">
        <v>21</v>
      </c>
      <c r="F38" s="39" t="s">
        <v>20</v>
      </c>
      <c r="G38" s="92"/>
      <c r="H38" s="39" t="s">
        <v>22</v>
      </c>
      <c r="I38" s="39"/>
      <c r="J38" s="60"/>
      <c r="K38" s="39"/>
      <c r="L38" s="39"/>
      <c r="M38" s="39"/>
      <c r="N38" s="39"/>
      <c r="O38" s="80"/>
    </row>
    <row r="39">
      <c r="A39" s="80">
        <v>36.0</v>
      </c>
      <c r="B39" s="125" t="s">
        <v>448</v>
      </c>
      <c r="C39" s="125" t="s">
        <v>802</v>
      </c>
      <c r="D39" s="80" t="s">
        <v>450</v>
      </c>
      <c r="E39" s="39" t="s">
        <v>21</v>
      </c>
      <c r="F39" s="39" t="s">
        <v>20</v>
      </c>
      <c r="G39" s="92" t="s">
        <v>22</v>
      </c>
      <c r="H39" s="39"/>
      <c r="I39" s="39"/>
      <c r="J39" s="60"/>
      <c r="K39" s="39"/>
      <c r="L39" s="39"/>
      <c r="M39" s="39"/>
      <c r="N39" s="39"/>
      <c r="O39" s="80"/>
    </row>
    <row r="40">
      <c r="A40" s="80">
        <v>37.0</v>
      </c>
      <c r="B40" s="125" t="s">
        <v>452</v>
      </c>
      <c r="C40" s="125" t="s">
        <v>769</v>
      </c>
      <c r="D40" s="80" t="s">
        <v>454</v>
      </c>
      <c r="E40" s="39" t="s">
        <v>21</v>
      </c>
      <c r="F40" s="39" t="s">
        <v>20</v>
      </c>
      <c r="G40" s="92" t="s">
        <v>22</v>
      </c>
      <c r="H40" s="39"/>
      <c r="I40" s="39"/>
      <c r="J40" s="60"/>
      <c r="K40" s="39"/>
      <c r="L40" s="39"/>
      <c r="M40" s="39"/>
      <c r="N40" s="39"/>
      <c r="O40" s="80"/>
    </row>
    <row r="41">
      <c r="A41" s="80">
        <v>38.0</v>
      </c>
      <c r="B41" s="125" t="s">
        <v>456</v>
      </c>
      <c r="C41" s="125" t="s">
        <v>803</v>
      </c>
      <c r="D41" s="80" t="s">
        <v>458</v>
      </c>
      <c r="E41" s="39" t="s">
        <v>21</v>
      </c>
      <c r="F41" s="39" t="s">
        <v>20</v>
      </c>
      <c r="G41" s="92" t="s">
        <v>22</v>
      </c>
      <c r="H41" s="39"/>
      <c r="I41" s="39"/>
      <c r="J41" s="60"/>
      <c r="K41" s="39"/>
      <c r="L41" s="39"/>
      <c r="M41" s="39"/>
      <c r="N41" s="39"/>
      <c r="O41" s="80"/>
    </row>
    <row r="42">
      <c r="A42" s="80">
        <v>39.0</v>
      </c>
      <c r="B42" s="125" t="s">
        <v>460</v>
      </c>
      <c r="C42" s="125" t="s">
        <v>805</v>
      </c>
      <c r="D42" s="80" t="s">
        <v>462</v>
      </c>
      <c r="E42" s="39" t="s">
        <v>351</v>
      </c>
      <c r="F42" s="39" t="s">
        <v>21</v>
      </c>
      <c r="G42" s="92" t="s">
        <v>22</v>
      </c>
      <c r="H42" s="39"/>
      <c r="I42" s="39"/>
      <c r="J42" s="60"/>
      <c r="K42" s="39"/>
      <c r="L42" s="39" t="s">
        <v>22</v>
      </c>
      <c r="M42" s="39"/>
      <c r="N42" s="39"/>
      <c r="O42" s="80"/>
    </row>
    <row r="43">
      <c r="A43" s="80">
        <v>40.0</v>
      </c>
      <c r="B43" s="125" t="s">
        <v>464</v>
      </c>
      <c r="C43" s="125" t="s">
        <v>806</v>
      </c>
      <c r="D43" s="80" t="s">
        <v>466</v>
      </c>
      <c r="E43" s="39" t="s">
        <v>21</v>
      </c>
      <c r="F43" s="39" t="s">
        <v>31</v>
      </c>
      <c r="G43" s="92" t="s">
        <v>22</v>
      </c>
      <c r="H43" s="39"/>
      <c r="I43" s="39"/>
      <c r="J43" s="60"/>
      <c r="K43" s="39"/>
      <c r="L43" s="39"/>
      <c r="M43" s="39"/>
      <c r="N43" s="39"/>
      <c r="O43" s="80"/>
    </row>
    <row r="44">
      <c r="A44" s="80">
        <v>41.0</v>
      </c>
      <c r="B44" s="125" t="s">
        <v>467</v>
      </c>
      <c r="C44" s="125" t="s">
        <v>807</v>
      </c>
      <c r="D44" s="80" t="s">
        <v>469</v>
      </c>
      <c r="E44" s="39" t="s">
        <v>351</v>
      </c>
      <c r="F44" s="39" t="s">
        <v>21</v>
      </c>
      <c r="G44" s="92" t="s">
        <v>22</v>
      </c>
      <c r="H44" s="39"/>
      <c r="I44" s="39"/>
      <c r="J44" s="60"/>
      <c r="K44" s="39"/>
      <c r="L44" s="39" t="s">
        <v>22</v>
      </c>
      <c r="M44" s="39"/>
      <c r="N44" s="39"/>
      <c r="O44" s="80"/>
    </row>
    <row r="45">
      <c r="A45" s="80">
        <v>42.0</v>
      </c>
      <c r="B45" s="125" t="s">
        <v>470</v>
      </c>
      <c r="C45" s="125" t="s">
        <v>808</v>
      </c>
      <c r="D45" s="80" t="s">
        <v>212</v>
      </c>
      <c r="E45" s="39" t="s">
        <v>351</v>
      </c>
      <c r="F45" s="39" t="s">
        <v>21</v>
      </c>
      <c r="G45" s="92"/>
      <c r="H45" s="39" t="s">
        <v>22</v>
      </c>
      <c r="I45" s="39"/>
      <c r="J45" s="60"/>
      <c r="K45" s="39"/>
      <c r="L45" s="39"/>
      <c r="M45" s="39"/>
      <c r="N45" s="39"/>
      <c r="O45" s="80"/>
    </row>
    <row r="46">
      <c r="A46" s="80">
        <v>43.0</v>
      </c>
      <c r="B46" s="125" t="s">
        <v>473</v>
      </c>
      <c r="C46" s="125" t="s">
        <v>809</v>
      </c>
      <c r="D46" s="80" t="s">
        <v>475</v>
      </c>
      <c r="E46" s="39" t="s">
        <v>21</v>
      </c>
      <c r="F46" s="39" t="s">
        <v>20</v>
      </c>
      <c r="G46" s="92"/>
      <c r="H46" s="39"/>
      <c r="I46" s="39" t="s">
        <v>22</v>
      </c>
      <c r="J46" s="60"/>
      <c r="K46" s="39"/>
      <c r="L46" s="39" t="s">
        <v>22</v>
      </c>
      <c r="M46" s="39"/>
      <c r="N46" s="39" t="s">
        <v>22</v>
      </c>
      <c r="O46" s="80"/>
    </row>
    <row r="47">
      <c r="A47" s="80">
        <v>44.0</v>
      </c>
      <c r="B47" s="125" t="s">
        <v>477</v>
      </c>
      <c r="C47" s="125" t="s">
        <v>810</v>
      </c>
      <c r="D47" s="80" t="s">
        <v>479</v>
      </c>
      <c r="E47" s="39" t="s">
        <v>351</v>
      </c>
      <c r="F47" s="39" t="s">
        <v>21</v>
      </c>
      <c r="G47" s="92"/>
      <c r="H47" s="39" t="s">
        <v>22</v>
      </c>
      <c r="I47" s="39"/>
      <c r="J47" s="60"/>
      <c r="K47" s="39"/>
      <c r="L47" s="39"/>
      <c r="M47" s="39"/>
      <c r="N47" s="39"/>
      <c r="O47" s="80"/>
    </row>
    <row r="48">
      <c r="A48" s="80">
        <v>45.0</v>
      </c>
      <c r="B48" s="125" t="s">
        <v>481</v>
      </c>
      <c r="C48" s="125" t="s">
        <v>811</v>
      </c>
      <c r="D48" s="80" t="s">
        <v>483</v>
      </c>
      <c r="E48" s="39" t="s">
        <v>351</v>
      </c>
      <c r="F48" s="39" t="s">
        <v>21</v>
      </c>
      <c r="G48" s="92"/>
      <c r="H48" s="39" t="s">
        <v>22</v>
      </c>
      <c r="I48" s="39"/>
      <c r="J48" s="60"/>
      <c r="K48" s="39"/>
      <c r="L48" s="39"/>
      <c r="M48" s="39"/>
      <c r="N48" s="39"/>
      <c r="O48" s="80"/>
    </row>
    <row r="49">
      <c r="A49" s="80">
        <v>46.0</v>
      </c>
      <c r="B49" s="125" t="s">
        <v>485</v>
      </c>
      <c r="C49" s="125" t="s">
        <v>772</v>
      </c>
      <c r="D49" s="80" t="s">
        <v>486</v>
      </c>
      <c r="E49" s="39" t="s">
        <v>21</v>
      </c>
      <c r="F49" s="39" t="s">
        <v>20</v>
      </c>
      <c r="G49" s="92" t="s">
        <v>22</v>
      </c>
      <c r="H49" s="39"/>
      <c r="I49" s="39"/>
      <c r="J49" s="60"/>
      <c r="K49" s="39"/>
      <c r="L49" s="39"/>
      <c r="M49" s="39"/>
      <c r="N49" s="39"/>
      <c r="O49" s="80"/>
    </row>
    <row r="50">
      <c r="A50" s="80">
        <v>47.0</v>
      </c>
      <c r="B50" s="125" t="s">
        <v>488</v>
      </c>
      <c r="C50" s="125" t="s">
        <v>773</v>
      </c>
      <c r="D50" s="80" t="s">
        <v>489</v>
      </c>
      <c r="E50" s="39" t="s">
        <v>351</v>
      </c>
      <c r="F50" s="39" t="s">
        <v>21</v>
      </c>
      <c r="G50" s="92"/>
      <c r="H50" s="39" t="s">
        <v>22</v>
      </c>
      <c r="I50" s="39"/>
      <c r="J50" s="60"/>
      <c r="K50" s="39"/>
      <c r="L50" s="39"/>
      <c r="M50" s="39"/>
      <c r="N50" s="39"/>
      <c r="O50" s="80"/>
    </row>
    <row r="51">
      <c r="A51" s="80">
        <v>48.0</v>
      </c>
      <c r="B51" s="125" t="s">
        <v>491</v>
      </c>
      <c r="C51" s="125" t="s">
        <v>767</v>
      </c>
      <c r="D51" s="80" t="s">
        <v>492</v>
      </c>
      <c r="E51" s="39" t="s">
        <v>351</v>
      </c>
      <c r="F51" s="39" t="s">
        <v>21</v>
      </c>
      <c r="G51" s="92"/>
      <c r="H51" s="39" t="s">
        <v>22</v>
      </c>
      <c r="I51" s="39"/>
      <c r="J51" s="60"/>
      <c r="K51" s="39"/>
      <c r="L51" s="39"/>
      <c r="M51" s="39"/>
      <c r="N51" s="39"/>
      <c r="O51" s="80"/>
    </row>
    <row r="52">
      <c r="A52" s="80">
        <v>49.0</v>
      </c>
      <c r="B52" s="125" t="s">
        <v>493</v>
      </c>
      <c r="C52" s="125" t="s">
        <v>813</v>
      </c>
      <c r="D52" s="80" t="s">
        <v>495</v>
      </c>
      <c r="E52" s="39" t="s">
        <v>351</v>
      </c>
      <c r="F52" s="39" t="s">
        <v>21</v>
      </c>
      <c r="G52" s="92" t="s">
        <v>22</v>
      </c>
      <c r="H52" s="39"/>
      <c r="I52" s="39"/>
      <c r="J52" s="60"/>
      <c r="K52" s="39"/>
      <c r="L52" s="39"/>
      <c r="M52" s="39"/>
      <c r="N52" s="39"/>
      <c r="O52" s="80"/>
    </row>
    <row r="53">
      <c r="A53" s="80">
        <v>50.0</v>
      </c>
      <c r="B53" s="125" t="s">
        <v>497</v>
      </c>
      <c r="C53" s="125" t="s">
        <v>814</v>
      </c>
      <c r="D53" s="80" t="s">
        <v>499</v>
      </c>
      <c r="E53" s="39" t="s">
        <v>21</v>
      </c>
      <c r="F53" s="39" t="s">
        <v>20</v>
      </c>
      <c r="G53" s="92" t="s">
        <v>22</v>
      </c>
      <c r="H53" s="39"/>
      <c r="I53" s="39"/>
      <c r="J53" s="60"/>
      <c r="K53" s="39"/>
      <c r="L53" s="39"/>
      <c r="M53" s="39"/>
      <c r="N53" s="39"/>
      <c r="O53" s="80"/>
    </row>
    <row r="54">
      <c r="A54" s="80">
        <v>51.0</v>
      </c>
      <c r="B54" s="125" t="s">
        <v>501</v>
      </c>
      <c r="C54" s="125" t="s">
        <v>815</v>
      </c>
      <c r="D54" s="80" t="s">
        <v>503</v>
      </c>
      <c r="E54" s="39" t="s">
        <v>21</v>
      </c>
      <c r="F54" s="39" t="s">
        <v>31</v>
      </c>
      <c r="G54" s="92" t="s">
        <v>22</v>
      </c>
      <c r="H54" s="39"/>
      <c r="I54" s="39"/>
      <c r="J54" s="60"/>
      <c r="K54" s="39"/>
      <c r="L54" s="39"/>
      <c r="M54" s="39"/>
      <c r="N54" s="39"/>
      <c r="O54" s="80"/>
    </row>
    <row r="55">
      <c r="A55" s="80">
        <v>52.0</v>
      </c>
      <c r="B55" s="125" t="s">
        <v>505</v>
      </c>
      <c r="C55" s="125" t="s">
        <v>788</v>
      </c>
      <c r="D55" s="80" t="s">
        <v>506</v>
      </c>
      <c r="E55" s="39" t="s">
        <v>21</v>
      </c>
      <c r="F55" s="39" t="s">
        <v>31</v>
      </c>
      <c r="G55" s="92" t="s">
        <v>22</v>
      </c>
      <c r="H55" s="39"/>
      <c r="I55" s="39"/>
      <c r="J55" s="60"/>
      <c r="K55" s="39"/>
      <c r="L55" s="39"/>
      <c r="M55" s="39"/>
      <c r="N55" s="39"/>
      <c r="O55" s="80"/>
    </row>
    <row r="56">
      <c r="A56" s="80">
        <v>53.0</v>
      </c>
      <c r="B56" s="125" t="s">
        <v>508</v>
      </c>
      <c r="C56" s="125" t="s">
        <v>816</v>
      </c>
      <c r="D56" s="80" t="s">
        <v>510</v>
      </c>
      <c r="E56" s="39" t="s">
        <v>21</v>
      </c>
      <c r="F56" s="39" t="s">
        <v>20</v>
      </c>
      <c r="G56" s="92" t="s">
        <v>22</v>
      </c>
      <c r="H56" s="39"/>
      <c r="I56" s="39"/>
      <c r="J56" s="60"/>
      <c r="K56" s="39"/>
      <c r="L56" s="39"/>
      <c r="M56" s="39"/>
      <c r="N56" s="39"/>
      <c r="O56" s="80"/>
    </row>
    <row r="57">
      <c r="A57" s="80">
        <v>54.0</v>
      </c>
      <c r="B57" s="125" t="s">
        <v>511</v>
      </c>
      <c r="C57" s="125" t="s">
        <v>817</v>
      </c>
      <c r="D57" s="80" t="s">
        <v>80</v>
      </c>
      <c r="E57" s="39" t="s">
        <v>351</v>
      </c>
      <c r="F57" s="39" t="s">
        <v>21</v>
      </c>
      <c r="G57" s="92"/>
      <c r="H57" s="39" t="s">
        <v>22</v>
      </c>
      <c r="I57" s="39"/>
      <c r="J57" s="60"/>
      <c r="K57" s="39"/>
      <c r="L57" s="39"/>
      <c r="M57" s="39"/>
      <c r="N57" s="39"/>
      <c r="O57" s="80"/>
    </row>
    <row r="58">
      <c r="A58" s="80">
        <v>55.0</v>
      </c>
      <c r="B58" s="125" t="s">
        <v>513</v>
      </c>
      <c r="C58" s="125" t="s">
        <v>789</v>
      </c>
      <c r="D58" s="80" t="s">
        <v>515</v>
      </c>
      <c r="E58" s="39" t="s">
        <v>351</v>
      </c>
      <c r="F58" s="39" t="s">
        <v>21</v>
      </c>
      <c r="G58" s="92" t="s">
        <v>22</v>
      </c>
      <c r="H58" s="39"/>
      <c r="I58" s="39"/>
      <c r="J58" s="60"/>
      <c r="K58" s="39"/>
      <c r="L58" s="39" t="s">
        <v>22</v>
      </c>
      <c r="M58" s="39"/>
      <c r="N58" s="39"/>
      <c r="O58" s="80"/>
    </row>
    <row r="59">
      <c r="A59" s="80">
        <v>56.0</v>
      </c>
      <c r="B59" s="125" t="s">
        <v>517</v>
      </c>
      <c r="C59" s="125" t="s">
        <v>818</v>
      </c>
      <c r="D59" s="80" t="s">
        <v>519</v>
      </c>
      <c r="E59" s="39" t="s">
        <v>351</v>
      </c>
      <c r="F59" s="39" t="s">
        <v>21</v>
      </c>
      <c r="G59" s="92"/>
      <c r="H59" s="39" t="s">
        <v>22</v>
      </c>
      <c r="I59" s="39"/>
      <c r="J59" s="60"/>
      <c r="K59" s="39"/>
      <c r="L59" s="39"/>
      <c r="M59" s="39"/>
      <c r="N59" s="39"/>
      <c r="O59" s="80"/>
    </row>
    <row r="60">
      <c r="A60" s="80">
        <v>57.0</v>
      </c>
      <c r="B60" s="125" t="s">
        <v>521</v>
      </c>
      <c r="C60" s="125" t="s">
        <v>819</v>
      </c>
      <c r="D60" s="80" t="s">
        <v>523</v>
      </c>
      <c r="E60" s="39" t="s">
        <v>351</v>
      </c>
      <c r="F60" s="39" t="s">
        <v>21</v>
      </c>
      <c r="G60" s="92"/>
      <c r="H60" s="39" t="s">
        <v>22</v>
      </c>
      <c r="I60" s="39"/>
      <c r="J60" s="60"/>
      <c r="K60" s="39"/>
      <c r="L60" s="39"/>
      <c r="M60" s="39"/>
      <c r="N60" s="39"/>
      <c r="O60" s="80"/>
    </row>
    <row r="61">
      <c r="A61" s="80">
        <v>58.0</v>
      </c>
      <c r="B61" s="125" t="s">
        <v>525</v>
      </c>
      <c r="C61" s="125" t="s">
        <v>776</v>
      </c>
      <c r="D61" s="80" t="s">
        <v>370</v>
      </c>
      <c r="E61" s="39" t="s">
        <v>351</v>
      </c>
      <c r="F61" s="39" t="s">
        <v>21</v>
      </c>
      <c r="G61" s="92"/>
      <c r="H61" s="39" t="s">
        <v>22</v>
      </c>
      <c r="I61" s="39"/>
      <c r="J61" s="60"/>
      <c r="K61" s="39"/>
      <c r="L61" s="39"/>
      <c r="M61" s="39"/>
      <c r="N61" s="39"/>
      <c r="O61" s="80"/>
    </row>
    <row r="62">
      <c r="A62" s="80">
        <v>59.0</v>
      </c>
      <c r="B62" s="125" t="s">
        <v>526</v>
      </c>
      <c r="C62" s="125" t="s">
        <v>808</v>
      </c>
      <c r="D62" s="80" t="s">
        <v>527</v>
      </c>
      <c r="E62" s="39" t="s">
        <v>351</v>
      </c>
      <c r="F62" s="39" t="s">
        <v>21</v>
      </c>
      <c r="G62" s="92"/>
      <c r="H62" s="39" t="s">
        <v>22</v>
      </c>
      <c r="I62" s="39"/>
      <c r="J62" s="60"/>
      <c r="K62" s="39"/>
      <c r="L62" s="39"/>
      <c r="M62" s="39"/>
      <c r="N62" s="39"/>
      <c r="O62" s="80"/>
    </row>
    <row r="63">
      <c r="A63" s="80">
        <v>60.0</v>
      </c>
      <c r="B63" s="125" t="s">
        <v>529</v>
      </c>
      <c r="C63" s="125" t="s">
        <v>820</v>
      </c>
      <c r="D63" s="80" t="s">
        <v>531</v>
      </c>
      <c r="E63" s="39" t="s">
        <v>351</v>
      </c>
      <c r="F63" s="39" t="s">
        <v>21</v>
      </c>
      <c r="G63" s="92"/>
      <c r="H63" s="39" t="s">
        <v>22</v>
      </c>
      <c r="I63" s="39"/>
      <c r="J63" s="60"/>
      <c r="K63" s="39"/>
      <c r="L63" s="39"/>
      <c r="M63" s="39"/>
      <c r="N63" s="39"/>
      <c r="O63" s="80"/>
    </row>
    <row r="64">
      <c r="A64" s="80">
        <v>61.0</v>
      </c>
      <c r="B64" s="125" t="s">
        <v>532</v>
      </c>
      <c r="C64" s="125" t="s">
        <v>821</v>
      </c>
      <c r="D64" s="80" t="s">
        <v>534</v>
      </c>
      <c r="E64" s="39" t="s">
        <v>21</v>
      </c>
      <c r="F64" s="39" t="s">
        <v>26</v>
      </c>
      <c r="G64" s="92"/>
      <c r="H64" s="39" t="s">
        <v>22</v>
      </c>
      <c r="I64" s="39"/>
      <c r="J64" s="60"/>
      <c r="K64" s="39"/>
      <c r="L64" s="39"/>
      <c r="M64" s="39"/>
      <c r="N64" s="39"/>
      <c r="O64" s="80"/>
    </row>
    <row r="65">
      <c r="A65" s="80">
        <v>62.0</v>
      </c>
      <c r="B65" s="125" t="s">
        <v>536</v>
      </c>
      <c r="C65" s="125" t="s">
        <v>822</v>
      </c>
      <c r="D65" s="80" t="s">
        <v>538</v>
      </c>
      <c r="E65" s="39" t="s">
        <v>351</v>
      </c>
      <c r="F65" s="39" t="s">
        <v>21</v>
      </c>
      <c r="G65" s="92"/>
      <c r="H65" s="39" t="s">
        <v>22</v>
      </c>
      <c r="I65" s="39"/>
      <c r="J65" s="60"/>
      <c r="K65" s="39"/>
      <c r="L65" s="39"/>
      <c r="M65" s="39"/>
      <c r="N65" s="39"/>
      <c r="O65" s="80"/>
    </row>
    <row r="66">
      <c r="A66" s="80">
        <v>63.0</v>
      </c>
      <c r="B66" s="125" t="s">
        <v>539</v>
      </c>
      <c r="C66" s="125" t="s">
        <v>823</v>
      </c>
      <c r="D66" s="80" t="s">
        <v>541</v>
      </c>
      <c r="E66" s="39" t="s">
        <v>21</v>
      </c>
      <c r="F66" s="39" t="s">
        <v>31</v>
      </c>
      <c r="G66" s="92" t="s">
        <v>22</v>
      </c>
      <c r="H66" s="39"/>
      <c r="I66" s="39"/>
      <c r="J66" s="60"/>
      <c r="K66" s="39"/>
      <c r="L66" s="39"/>
      <c r="M66" s="39"/>
      <c r="N66" s="39"/>
      <c r="O66" s="80"/>
    </row>
    <row r="67">
      <c r="A67" s="80">
        <v>64.0</v>
      </c>
      <c r="B67" s="125" t="s">
        <v>542</v>
      </c>
      <c r="C67" s="125" t="s">
        <v>781</v>
      </c>
      <c r="D67" s="80" t="s">
        <v>543</v>
      </c>
      <c r="E67" s="39" t="s">
        <v>351</v>
      </c>
      <c r="F67" s="39" t="s">
        <v>21</v>
      </c>
      <c r="G67" s="92" t="s">
        <v>22</v>
      </c>
      <c r="H67" s="39"/>
      <c r="I67" s="39"/>
      <c r="J67" s="60" t="s">
        <v>22</v>
      </c>
      <c r="K67" s="39"/>
      <c r="L67" s="39"/>
      <c r="M67" s="39"/>
      <c r="N67" s="39"/>
      <c r="O67" s="80"/>
    </row>
    <row r="68">
      <c r="A68" s="80">
        <v>65.0</v>
      </c>
      <c r="B68" s="125" t="s">
        <v>545</v>
      </c>
      <c r="C68" s="125" t="s">
        <v>824</v>
      </c>
      <c r="D68" s="80" t="s">
        <v>64</v>
      </c>
      <c r="E68" s="39" t="s">
        <v>21</v>
      </c>
      <c r="F68" s="39" t="s">
        <v>26</v>
      </c>
      <c r="G68" s="92" t="s">
        <v>22</v>
      </c>
      <c r="H68" s="39"/>
      <c r="I68" s="39"/>
      <c r="J68" s="60"/>
      <c r="K68" s="39"/>
      <c r="L68" s="39"/>
      <c r="M68" s="39"/>
      <c r="N68" s="39"/>
      <c r="O68" s="80"/>
    </row>
    <row r="69">
      <c r="A69" s="80">
        <v>66.0</v>
      </c>
      <c r="B69" s="125" t="s">
        <v>547</v>
      </c>
      <c r="C69" s="125" t="s">
        <v>790</v>
      </c>
      <c r="D69" s="80" t="s">
        <v>548</v>
      </c>
      <c r="E69" s="39" t="s">
        <v>21</v>
      </c>
      <c r="F69" s="39" t="s">
        <v>20</v>
      </c>
      <c r="G69" s="92" t="s">
        <v>22</v>
      </c>
      <c r="H69" s="39"/>
      <c r="I69" s="39"/>
      <c r="J69" s="60"/>
      <c r="K69" s="39"/>
      <c r="L69" s="39"/>
      <c r="M69" s="39"/>
      <c r="N69" s="39"/>
      <c r="O69" s="80"/>
    </row>
    <row r="70">
      <c r="A70" s="80">
        <v>67.0</v>
      </c>
      <c r="B70" s="125" t="s">
        <v>550</v>
      </c>
      <c r="C70" s="125" t="s">
        <v>825</v>
      </c>
      <c r="D70" s="80" t="s">
        <v>552</v>
      </c>
      <c r="E70" s="39" t="s">
        <v>351</v>
      </c>
      <c r="F70" s="39" t="s">
        <v>21</v>
      </c>
      <c r="G70" s="92"/>
      <c r="H70" s="39" t="s">
        <v>22</v>
      </c>
      <c r="I70" s="39"/>
      <c r="J70" s="60"/>
      <c r="K70" s="39"/>
      <c r="L70" s="39"/>
      <c r="M70" s="39"/>
      <c r="N70" s="39"/>
      <c r="O70" s="80"/>
    </row>
    <row r="71">
      <c r="A71" s="80">
        <v>68.0</v>
      </c>
      <c r="B71" s="125" t="s">
        <v>554</v>
      </c>
      <c r="C71" s="125" t="s">
        <v>826</v>
      </c>
      <c r="D71" s="80" t="s">
        <v>556</v>
      </c>
      <c r="E71" s="39" t="s">
        <v>351</v>
      </c>
      <c r="F71" s="39" t="s">
        <v>21</v>
      </c>
      <c r="G71" s="92"/>
      <c r="H71" s="39" t="s">
        <v>22</v>
      </c>
      <c r="I71" s="39"/>
      <c r="J71" s="60"/>
      <c r="K71" s="39"/>
      <c r="L71" s="39"/>
      <c r="M71" s="39"/>
      <c r="N71" s="39"/>
      <c r="O71" s="80"/>
    </row>
    <row r="72">
      <c r="A72" s="80">
        <v>69.0</v>
      </c>
      <c r="B72" s="125" t="s">
        <v>557</v>
      </c>
      <c r="C72" s="125" t="s">
        <v>814</v>
      </c>
      <c r="D72" s="80" t="s">
        <v>558</v>
      </c>
      <c r="E72" s="39" t="s">
        <v>21</v>
      </c>
      <c r="F72" s="39" t="s">
        <v>31</v>
      </c>
      <c r="G72" s="92" t="s">
        <v>22</v>
      </c>
      <c r="H72" s="39"/>
      <c r="I72" s="39"/>
      <c r="J72" s="60"/>
      <c r="K72" s="39"/>
      <c r="L72" s="39"/>
      <c r="M72" s="39"/>
      <c r="N72" s="39"/>
      <c r="O72" s="80"/>
    </row>
    <row r="73">
      <c r="A73" s="80">
        <v>70.0</v>
      </c>
      <c r="B73" s="125" t="s">
        <v>560</v>
      </c>
      <c r="C73" s="125" t="s">
        <v>786</v>
      </c>
      <c r="D73" s="80" t="s">
        <v>561</v>
      </c>
      <c r="E73" s="39" t="s">
        <v>21</v>
      </c>
      <c r="F73" s="39" t="s">
        <v>31</v>
      </c>
      <c r="G73" s="92" t="s">
        <v>22</v>
      </c>
      <c r="H73" s="39"/>
      <c r="I73" s="39"/>
      <c r="J73" s="60"/>
      <c r="K73" s="39"/>
      <c r="L73" s="39"/>
      <c r="M73" s="39"/>
      <c r="N73" s="39"/>
      <c r="O73" s="80"/>
    </row>
    <row r="74">
      <c r="A74" s="80">
        <v>71.0</v>
      </c>
      <c r="B74" s="125" t="s">
        <v>562</v>
      </c>
      <c r="C74" s="125" t="s">
        <v>827</v>
      </c>
      <c r="D74" s="80" t="s">
        <v>145</v>
      </c>
      <c r="E74" s="39" t="s">
        <v>351</v>
      </c>
      <c r="F74" s="39" t="s">
        <v>21</v>
      </c>
      <c r="G74" s="92"/>
      <c r="H74" s="39" t="s">
        <v>22</v>
      </c>
      <c r="I74" s="39"/>
      <c r="J74" s="60"/>
      <c r="K74" s="39"/>
      <c r="L74" s="39"/>
      <c r="M74" s="39"/>
      <c r="N74" s="39"/>
      <c r="O74" s="80"/>
    </row>
    <row r="75">
      <c r="A75" s="80">
        <v>72.0</v>
      </c>
      <c r="B75" s="125" t="s">
        <v>565</v>
      </c>
      <c r="C75" s="125" t="s">
        <v>828</v>
      </c>
      <c r="D75" s="80" t="s">
        <v>209</v>
      </c>
      <c r="E75" s="39" t="s">
        <v>21</v>
      </c>
      <c r="F75" s="39" t="s">
        <v>31</v>
      </c>
      <c r="G75" s="92" t="s">
        <v>22</v>
      </c>
      <c r="H75" s="39"/>
      <c r="I75" s="39"/>
      <c r="J75" s="60"/>
      <c r="K75" s="39"/>
      <c r="L75" s="39"/>
      <c r="M75" s="39"/>
      <c r="N75" s="39"/>
      <c r="O75" s="80"/>
    </row>
    <row r="76">
      <c r="A76" s="80">
        <v>73.0</v>
      </c>
      <c r="B76" s="125" t="s">
        <v>568</v>
      </c>
      <c r="C76" s="125" t="s">
        <v>829</v>
      </c>
      <c r="D76" s="80" t="s">
        <v>570</v>
      </c>
      <c r="E76" s="39" t="s">
        <v>351</v>
      </c>
      <c r="F76" s="39" t="s">
        <v>21</v>
      </c>
      <c r="G76" s="92"/>
      <c r="H76" s="39" t="s">
        <v>22</v>
      </c>
      <c r="I76" s="39"/>
      <c r="J76" s="60"/>
      <c r="K76" s="39"/>
      <c r="L76" s="39"/>
      <c r="M76" s="39"/>
      <c r="N76" s="39"/>
      <c r="O76" s="80"/>
    </row>
    <row r="77">
      <c r="A77" s="80">
        <v>74.0</v>
      </c>
      <c r="B77" s="125" t="s">
        <v>571</v>
      </c>
      <c r="C77" s="125" t="s">
        <v>830</v>
      </c>
      <c r="D77" s="80" t="s">
        <v>573</v>
      </c>
      <c r="E77" s="39" t="s">
        <v>351</v>
      </c>
      <c r="F77" s="39" t="s">
        <v>21</v>
      </c>
      <c r="G77" s="92" t="s">
        <v>22</v>
      </c>
      <c r="H77" s="39"/>
      <c r="I77" s="39"/>
      <c r="J77" s="60"/>
      <c r="K77" s="39"/>
      <c r="L77" s="39"/>
      <c r="M77" s="39"/>
      <c r="N77" s="39"/>
      <c r="O77" s="80"/>
    </row>
    <row r="78">
      <c r="A78" s="80">
        <v>75.0</v>
      </c>
      <c r="B78" s="125" t="s">
        <v>575</v>
      </c>
      <c r="C78" s="125" t="s">
        <v>831</v>
      </c>
      <c r="D78" s="80" t="s">
        <v>577</v>
      </c>
      <c r="E78" s="39" t="s">
        <v>351</v>
      </c>
      <c r="F78" s="39" t="s">
        <v>21</v>
      </c>
      <c r="G78" s="92" t="s">
        <v>22</v>
      </c>
      <c r="H78" s="39"/>
      <c r="I78" s="39"/>
      <c r="J78" s="60"/>
      <c r="K78" s="39"/>
      <c r="L78" s="39" t="s">
        <v>22</v>
      </c>
      <c r="M78" s="39"/>
      <c r="N78" s="39"/>
      <c r="O78" s="80"/>
    </row>
    <row r="79">
      <c r="A79" s="80">
        <v>76.0</v>
      </c>
      <c r="B79" s="125" t="s">
        <v>579</v>
      </c>
      <c r="C79" s="125" t="s">
        <v>832</v>
      </c>
      <c r="D79" s="80" t="s">
        <v>110</v>
      </c>
      <c r="E79" s="39" t="s">
        <v>21</v>
      </c>
      <c r="F79" s="39" t="s">
        <v>20</v>
      </c>
      <c r="G79" s="92"/>
      <c r="H79" s="39" t="s">
        <v>22</v>
      </c>
      <c r="I79" s="39"/>
      <c r="J79" s="60"/>
      <c r="K79" s="39"/>
      <c r="L79" s="39"/>
      <c r="M79" s="39"/>
      <c r="N79" s="39"/>
      <c r="O79" s="80"/>
    </row>
    <row r="80">
      <c r="A80" s="80">
        <v>77.0</v>
      </c>
      <c r="B80" s="125" t="s">
        <v>581</v>
      </c>
      <c r="C80" s="125" t="s">
        <v>772</v>
      </c>
      <c r="D80" s="80" t="s">
        <v>582</v>
      </c>
      <c r="E80" s="39" t="s">
        <v>21</v>
      </c>
      <c r="F80" s="39" t="s">
        <v>20</v>
      </c>
      <c r="G80" s="92" t="s">
        <v>22</v>
      </c>
      <c r="H80" s="39"/>
      <c r="I80" s="39"/>
      <c r="J80" s="60"/>
      <c r="K80" s="39"/>
      <c r="L80" s="39"/>
      <c r="M80" s="39"/>
      <c r="N80" s="39"/>
      <c r="O80" s="80"/>
    </row>
    <row r="81">
      <c r="A81" s="80">
        <v>78.0</v>
      </c>
      <c r="B81" s="125" t="s">
        <v>584</v>
      </c>
      <c r="C81" s="125" t="s">
        <v>834</v>
      </c>
      <c r="D81" s="80" t="s">
        <v>586</v>
      </c>
      <c r="E81" s="39" t="s">
        <v>351</v>
      </c>
      <c r="F81" s="39" t="s">
        <v>21</v>
      </c>
      <c r="G81" s="92"/>
      <c r="H81" s="39" t="s">
        <v>22</v>
      </c>
      <c r="I81" s="39"/>
      <c r="J81" s="60"/>
      <c r="K81" s="39"/>
      <c r="L81" s="39"/>
      <c r="M81" s="39"/>
      <c r="N81" s="39"/>
      <c r="O81" s="80"/>
    </row>
    <row r="82">
      <c r="A82" s="80">
        <v>79.0</v>
      </c>
      <c r="B82" s="125" t="s">
        <v>588</v>
      </c>
      <c r="C82" s="125" t="s">
        <v>802</v>
      </c>
      <c r="D82" s="80" t="s">
        <v>590</v>
      </c>
      <c r="E82" s="39" t="s">
        <v>21</v>
      </c>
      <c r="F82" s="39" t="s">
        <v>20</v>
      </c>
      <c r="G82" s="92" t="s">
        <v>22</v>
      </c>
      <c r="H82" s="39"/>
      <c r="I82" s="39"/>
      <c r="J82" s="60"/>
      <c r="K82" s="39"/>
      <c r="L82" s="39"/>
      <c r="M82" s="39"/>
      <c r="N82" s="39"/>
      <c r="O82" s="80"/>
    </row>
    <row r="83">
      <c r="A83" s="80">
        <v>80.0</v>
      </c>
      <c r="B83" s="125" t="s">
        <v>592</v>
      </c>
      <c r="C83" s="125" t="s">
        <v>819</v>
      </c>
      <c r="D83" s="80" t="s">
        <v>593</v>
      </c>
      <c r="E83" s="39" t="s">
        <v>351</v>
      </c>
      <c r="F83" s="39" t="s">
        <v>21</v>
      </c>
      <c r="G83" s="92"/>
      <c r="H83" s="39" t="s">
        <v>22</v>
      </c>
      <c r="I83" s="39"/>
      <c r="J83" s="60"/>
      <c r="K83" s="39"/>
      <c r="L83" s="39"/>
      <c r="M83" s="39"/>
      <c r="N83" s="39"/>
      <c r="O83" s="80"/>
    </row>
    <row r="84">
      <c r="A84" s="80">
        <v>81.0</v>
      </c>
      <c r="B84" s="125" t="s">
        <v>595</v>
      </c>
      <c r="C84" s="125" t="s">
        <v>795</v>
      </c>
      <c r="D84" s="80" t="s">
        <v>596</v>
      </c>
      <c r="E84" s="39" t="s">
        <v>351</v>
      </c>
      <c r="F84" s="39" t="s">
        <v>21</v>
      </c>
      <c r="G84" s="92"/>
      <c r="H84" s="39" t="s">
        <v>22</v>
      </c>
      <c r="I84" s="39"/>
      <c r="J84" s="60"/>
      <c r="K84" s="39"/>
      <c r="L84" s="39"/>
      <c r="M84" s="39"/>
      <c r="N84" s="39"/>
      <c r="O84" s="80"/>
    </row>
    <row r="85">
      <c r="A85" s="80">
        <v>82.0</v>
      </c>
      <c r="B85" s="125" t="s">
        <v>598</v>
      </c>
      <c r="C85" s="125" t="s">
        <v>836</v>
      </c>
      <c r="D85" s="80" t="s">
        <v>600</v>
      </c>
      <c r="E85" s="39" t="s">
        <v>21</v>
      </c>
      <c r="F85" s="39" t="s">
        <v>20</v>
      </c>
      <c r="G85" s="92" t="s">
        <v>22</v>
      </c>
      <c r="H85" s="39"/>
      <c r="I85" s="39"/>
      <c r="J85" s="60"/>
      <c r="K85" s="39"/>
      <c r="L85" s="39"/>
      <c r="M85" s="39"/>
      <c r="N85" s="39"/>
      <c r="O85" s="80"/>
    </row>
    <row r="86">
      <c r="A86" s="80">
        <v>83.0</v>
      </c>
      <c r="B86" s="125" t="s">
        <v>602</v>
      </c>
      <c r="C86" s="125" t="s">
        <v>783</v>
      </c>
      <c r="D86" s="80" t="s">
        <v>603</v>
      </c>
      <c r="E86" s="39" t="s">
        <v>351</v>
      </c>
      <c r="F86" s="39" t="s">
        <v>20</v>
      </c>
      <c r="G86" s="92"/>
      <c r="H86" s="39"/>
      <c r="I86" s="39" t="s">
        <v>22</v>
      </c>
      <c r="J86" s="60"/>
      <c r="K86" s="39"/>
      <c r="L86" s="39"/>
      <c r="M86" s="39"/>
      <c r="N86" s="39"/>
      <c r="O86" s="80" t="s">
        <v>917</v>
      </c>
    </row>
    <row r="87">
      <c r="A87" s="80">
        <v>84.0</v>
      </c>
      <c r="B87" s="125" t="s">
        <v>605</v>
      </c>
      <c r="C87" s="125" t="s">
        <v>838</v>
      </c>
      <c r="D87" s="80" t="s">
        <v>607</v>
      </c>
      <c r="E87" s="39" t="s">
        <v>351</v>
      </c>
      <c r="F87" s="39" t="s">
        <v>21</v>
      </c>
      <c r="G87" s="92"/>
      <c r="H87" s="39" t="s">
        <v>22</v>
      </c>
      <c r="I87" s="39"/>
      <c r="J87" s="60"/>
      <c r="K87" s="39"/>
      <c r="L87" s="39"/>
      <c r="M87" s="39"/>
      <c r="N87" s="39"/>
      <c r="O87" s="80"/>
    </row>
    <row r="88">
      <c r="A88" s="80">
        <v>85.0</v>
      </c>
      <c r="B88" s="125" t="s">
        <v>609</v>
      </c>
      <c r="C88" s="125" t="s">
        <v>839</v>
      </c>
      <c r="D88" s="80" t="s">
        <v>611</v>
      </c>
      <c r="E88" s="39" t="s">
        <v>351</v>
      </c>
      <c r="F88" s="39" t="s">
        <v>21</v>
      </c>
      <c r="G88" s="92" t="s">
        <v>22</v>
      </c>
      <c r="H88" s="39"/>
      <c r="I88" s="39"/>
      <c r="J88" s="60"/>
      <c r="K88" s="39"/>
      <c r="L88" s="39"/>
      <c r="M88" s="39"/>
      <c r="N88" s="39"/>
      <c r="O88" s="80"/>
    </row>
    <row r="89">
      <c r="A89" s="80">
        <v>86.0</v>
      </c>
      <c r="B89" s="125" t="s">
        <v>613</v>
      </c>
      <c r="C89" s="125" t="s">
        <v>840</v>
      </c>
      <c r="D89" s="80" t="s">
        <v>615</v>
      </c>
      <c r="E89" s="39" t="s">
        <v>351</v>
      </c>
      <c r="F89" s="39" t="s">
        <v>21</v>
      </c>
      <c r="G89" s="92" t="s">
        <v>22</v>
      </c>
      <c r="H89" s="39"/>
      <c r="I89" s="39"/>
      <c r="J89" s="60"/>
      <c r="K89" s="39"/>
      <c r="L89" s="39"/>
      <c r="M89" s="39"/>
      <c r="N89" s="39"/>
      <c r="O89" s="80"/>
    </row>
    <row r="90">
      <c r="A90" s="80">
        <v>87.0</v>
      </c>
      <c r="B90" s="125" t="s">
        <v>617</v>
      </c>
      <c r="C90" s="125" t="s">
        <v>841</v>
      </c>
      <c r="D90" s="80" t="s">
        <v>619</v>
      </c>
      <c r="E90" s="39" t="s">
        <v>351</v>
      </c>
      <c r="F90" s="39" t="s">
        <v>21</v>
      </c>
      <c r="G90" s="92" t="s">
        <v>22</v>
      </c>
      <c r="H90" s="39"/>
      <c r="I90" s="39"/>
      <c r="J90" s="60" t="s">
        <v>22</v>
      </c>
      <c r="K90" s="39"/>
      <c r="L90" s="39"/>
      <c r="M90" s="39"/>
      <c r="N90" s="39"/>
      <c r="O90" s="80"/>
    </row>
    <row r="91">
      <c r="A91" s="80">
        <v>88.0</v>
      </c>
      <c r="B91" s="125" t="s">
        <v>621</v>
      </c>
      <c r="C91" s="125" t="s">
        <v>842</v>
      </c>
      <c r="D91" s="80" t="s">
        <v>623</v>
      </c>
      <c r="E91" s="39" t="s">
        <v>351</v>
      </c>
      <c r="F91" s="39" t="s">
        <v>21</v>
      </c>
      <c r="G91" s="92"/>
      <c r="H91" s="39" t="s">
        <v>22</v>
      </c>
      <c r="I91" s="39"/>
      <c r="J91" s="60"/>
      <c r="K91" s="39"/>
      <c r="L91" s="39"/>
      <c r="M91" s="39"/>
      <c r="N91" s="39"/>
      <c r="O91" s="80"/>
    </row>
    <row r="92">
      <c r="A92" s="80">
        <v>89.0</v>
      </c>
      <c r="B92" s="125" t="s">
        <v>625</v>
      </c>
      <c r="C92" s="125" t="s">
        <v>843</v>
      </c>
      <c r="D92" s="80" t="s">
        <v>627</v>
      </c>
      <c r="E92" s="39" t="s">
        <v>351</v>
      </c>
      <c r="F92" s="39" t="s">
        <v>21</v>
      </c>
      <c r="G92" s="92"/>
      <c r="H92" s="39" t="s">
        <v>22</v>
      </c>
      <c r="I92" s="39"/>
      <c r="J92" s="60"/>
      <c r="K92" s="39"/>
      <c r="L92" s="39"/>
      <c r="M92" s="39"/>
      <c r="N92" s="39"/>
      <c r="O92" s="80"/>
    </row>
    <row r="93">
      <c r="A93" s="80">
        <v>90.0</v>
      </c>
      <c r="B93" s="125" t="s">
        <v>629</v>
      </c>
      <c r="C93" s="125" t="s">
        <v>844</v>
      </c>
      <c r="D93" s="80" t="s">
        <v>631</v>
      </c>
      <c r="E93" s="39" t="s">
        <v>351</v>
      </c>
      <c r="F93" s="39" t="s">
        <v>21</v>
      </c>
      <c r="G93" s="92"/>
      <c r="H93" s="39" t="s">
        <v>22</v>
      </c>
      <c r="I93" s="39"/>
      <c r="J93" s="60"/>
      <c r="K93" s="39"/>
      <c r="L93" s="39"/>
      <c r="M93" s="39"/>
      <c r="N93" s="39"/>
      <c r="O93" s="80"/>
    </row>
    <row r="94">
      <c r="A94" s="80">
        <v>91.0</v>
      </c>
      <c r="B94" s="125" t="s">
        <v>633</v>
      </c>
      <c r="C94" s="125" t="s">
        <v>843</v>
      </c>
      <c r="D94" s="80" t="s">
        <v>634</v>
      </c>
      <c r="E94" s="39" t="s">
        <v>351</v>
      </c>
      <c r="F94" s="39" t="s">
        <v>21</v>
      </c>
      <c r="G94" s="92"/>
      <c r="H94" s="39" t="s">
        <v>22</v>
      </c>
      <c r="I94" s="39"/>
      <c r="J94" s="60"/>
      <c r="K94" s="39"/>
      <c r="L94" s="39"/>
      <c r="M94" s="39"/>
      <c r="N94" s="39"/>
      <c r="O94" s="80"/>
    </row>
    <row r="95">
      <c r="A95" s="80">
        <v>92.0</v>
      </c>
      <c r="B95" s="125" t="s">
        <v>636</v>
      </c>
      <c r="C95" s="125" t="s">
        <v>771</v>
      </c>
      <c r="D95" s="80" t="s">
        <v>80</v>
      </c>
      <c r="E95" s="39" t="s">
        <v>351</v>
      </c>
      <c r="F95" s="39" t="s">
        <v>21</v>
      </c>
      <c r="G95" s="92"/>
      <c r="H95" s="39" t="s">
        <v>22</v>
      </c>
      <c r="I95" s="39"/>
      <c r="J95" s="60"/>
      <c r="K95" s="39"/>
      <c r="L95" s="39"/>
      <c r="M95" s="39"/>
      <c r="N95" s="39"/>
      <c r="O95" s="80"/>
    </row>
    <row r="96">
      <c r="A96" s="80">
        <v>93.0</v>
      </c>
      <c r="B96" s="125" t="s">
        <v>638</v>
      </c>
      <c r="C96" s="125" t="s">
        <v>845</v>
      </c>
      <c r="D96" s="80" t="s">
        <v>134</v>
      </c>
      <c r="E96" s="39" t="s">
        <v>351</v>
      </c>
      <c r="F96" s="39" t="s">
        <v>21</v>
      </c>
      <c r="G96" s="92"/>
      <c r="H96" s="39" t="s">
        <v>22</v>
      </c>
      <c r="I96" s="39"/>
      <c r="J96" s="60"/>
      <c r="K96" s="39"/>
      <c r="L96" s="39"/>
      <c r="M96" s="39"/>
      <c r="N96" s="39"/>
      <c r="O96" s="80"/>
    </row>
    <row r="97">
      <c r="A97" s="80">
        <v>94.0</v>
      </c>
      <c r="B97" s="125" t="s">
        <v>641</v>
      </c>
      <c r="C97" s="125" t="s">
        <v>846</v>
      </c>
      <c r="D97" s="80" t="s">
        <v>643</v>
      </c>
      <c r="E97" s="39" t="s">
        <v>21</v>
      </c>
      <c r="F97" s="39" t="s">
        <v>20</v>
      </c>
      <c r="G97" s="92" t="s">
        <v>22</v>
      </c>
      <c r="H97" s="39"/>
      <c r="I97" s="39"/>
      <c r="J97" s="60"/>
      <c r="K97" s="39"/>
      <c r="L97" s="39"/>
      <c r="M97" s="39"/>
      <c r="N97" s="39"/>
      <c r="O97" s="80"/>
    </row>
    <row r="98">
      <c r="A98" s="80">
        <v>95.0</v>
      </c>
      <c r="B98" s="125" t="s">
        <v>645</v>
      </c>
      <c r="C98" s="125" t="s">
        <v>848</v>
      </c>
      <c r="D98" s="80" t="s">
        <v>647</v>
      </c>
      <c r="E98" s="39" t="s">
        <v>21</v>
      </c>
      <c r="F98" s="39" t="s">
        <v>31</v>
      </c>
      <c r="G98" s="92" t="s">
        <v>22</v>
      </c>
      <c r="H98" s="39"/>
      <c r="I98" s="39"/>
      <c r="J98" s="60"/>
      <c r="K98" s="39"/>
      <c r="L98" s="39"/>
      <c r="M98" s="39"/>
      <c r="N98" s="39"/>
      <c r="O98" s="80"/>
    </row>
    <row r="99">
      <c r="A99" s="80">
        <v>96.0</v>
      </c>
      <c r="B99" s="125" t="s">
        <v>649</v>
      </c>
      <c r="C99" s="125" t="s">
        <v>783</v>
      </c>
      <c r="D99" s="80" t="s">
        <v>127</v>
      </c>
      <c r="E99" s="39" t="s">
        <v>21</v>
      </c>
      <c r="F99" s="39" t="s">
        <v>20</v>
      </c>
      <c r="G99" s="92" t="s">
        <v>22</v>
      </c>
      <c r="H99" s="39"/>
      <c r="I99" s="39"/>
      <c r="J99" s="60"/>
      <c r="K99" s="39"/>
      <c r="L99" s="39"/>
      <c r="M99" s="39"/>
      <c r="N99" s="39"/>
      <c r="O99" s="80"/>
    </row>
    <row r="100">
      <c r="A100" s="80">
        <v>97.0</v>
      </c>
      <c r="B100" s="125" t="s">
        <v>650</v>
      </c>
      <c r="C100" s="125" t="s">
        <v>849</v>
      </c>
      <c r="D100" s="80" t="s">
        <v>652</v>
      </c>
      <c r="E100" s="39" t="s">
        <v>351</v>
      </c>
      <c r="F100" s="39" t="s">
        <v>21</v>
      </c>
      <c r="G100" s="92"/>
      <c r="H100" s="39" t="s">
        <v>22</v>
      </c>
      <c r="I100" s="39"/>
      <c r="J100" s="60"/>
      <c r="K100" s="39"/>
      <c r="L100" s="39"/>
      <c r="M100" s="39"/>
      <c r="N100" s="39"/>
      <c r="O100" s="80"/>
    </row>
    <row r="101">
      <c r="A101" s="80">
        <v>98.0</v>
      </c>
      <c r="B101" s="130" t="s">
        <v>653</v>
      </c>
      <c r="C101" s="125" t="s">
        <v>822</v>
      </c>
      <c r="D101" s="80" t="s">
        <v>654</v>
      </c>
      <c r="E101" s="39" t="s">
        <v>21</v>
      </c>
      <c r="F101" s="39" t="s">
        <v>20</v>
      </c>
      <c r="G101" s="92" t="s">
        <v>22</v>
      </c>
      <c r="H101" s="39"/>
      <c r="I101" s="39"/>
      <c r="J101" s="60"/>
      <c r="K101" s="39"/>
      <c r="L101" s="39"/>
      <c r="M101" s="39"/>
      <c r="N101" s="39"/>
      <c r="O101" s="80"/>
    </row>
    <row r="102">
      <c r="A102" s="80">
        <v>99.0</v>
      </c>
      <c r="B102" s="125" t="s">
        <v>656</v>
      </c>
      <c r="C102" s="125" t="s">
        <v>851</v>
      </c>
      <c r="D102" s="80" t="s">
        <v>658</v>
      </c>
      <c r="E102" s="39" t="s">
        <v>21</v>
      </c>
      <c r="F102" s="39" t="s">
        <v>20</v>
      </c>
      <c r="G102" s="92" t="s">
        <v>22</v>
      </c>
      <c r="H102" s="39"/>
      <c r="I102" s="39"/>
      <c r="J102" s="60"/>
      <c r="K102" s="39"/>
      <c r="L102" s="39"/>
      <c r="M102" s="39"/>
      <c r="N102" s="39"/>
      <c r="O102" s="80"/>
    </row>
    <row r="103">
      <c r="A103" s="87">
        <v>100.0</v>
      </c>
      <c r="B103" s="131" t="s">
        <v>660</v>
      </c>
      <c r="C103" s="131" t="s">
        <v>813</v>
      </c>
      <c r="D103" s="87" t="s">
        <v>661</v>
      </c>
      <c r="E103" s="85" t="s">
        <v>351</v>
      </c>
      <c r="F103" s="85" t="s">
        <v>21</v>
      </c>
      <c r="G103" s="87"/>
      <c r="H103" s="68" t="s">
        <v>22</v>
      </c>
      <c r="I103" s="85"/>
      <c r="J103" s="85"/>
      <c r="K103" s="68"/>
      <c r="L103" s="68"/>
      <c r="M103" s="68"/>
      <c r="N103" s="68"/>
      <c r="O103" s="87"/>
    </row>
    <row r="104">
      <c r="A104" s="39"/>
      <c r="B104" s="39"/>
      <c r="C104" s="39"/>
      <c r="D104" s="39"/>
      <c r="E104" s="39"/>
      <c r="F104" s="39"/>
      <c r="G104" s="97">
        <f t="shared" ref="G104:N104" si="1">COUNTIF(G4:G103,"x")</f>
        <v>48</v>
      </c>
      <c r="H104" s="39">
        <f t="shared" si="1"/>
        <v>48</v>
      </c>
      <c r="I104" s="39">
        <f t="shared" si="1"/>
        <v>4</v>
      </c>
      <c r="J104" s="97">
        <f t="shared" si="1"/>
        <v>2</v>
      </c>
      <c r="K104" s="39">
        <f t="shared" si="1"/>
        <v>0</v>
      </c>
      <c r="L104" s="97">
        <f t="shared" si="1"/>
        <v>6</v>
      </c>
      <c r="M104" s="97">
        <f t="shared" si="1"/>
        <v>0</v>
      </c>
      <c r="N104" s="39">
        <f t="shared" si="1"/>
        <v>1</v>
      </c>
    </row>
  </sheetData>
  <mergeCells count="3">
    <mergeCell ref="E2:F2"/>
    <mergeCell ref="G2:I2"/>
    <mergeCell ref="J2:N2"/>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sheetData>
    <row r="1">
      <c r="A1" s="80"/>
      <c r="B1" s="39"/>
      <c r="C1" s="39"/>
      <c r="D1" s="39"/>
      <c r="E1" s="39"/>
      <c r="F1" s="39"/>
      <c r="G1" s="39"/>
      <c r="H1" s="39"/>
      <c r="I1" s="39"/>
      <c r="J1" s="39"/>
      <c r="K1" s="39"/>
      <c r="L1" s="39"/>
      <c r="M1" s="39"/>
      <c r="N1" s="39"/>
      <c r="O1" s="101"/>
    </row>
    <row r="2">
      <c r="A2" s="80"/>
      <c r="B2" s="120" t="s">
        <v>0</v>
      </c>
      <c r="C2" s="120" t="s">
        <v>1</v>
      </c>
      <c r="D2" s="81" t="s">
        <v>2</v>
      </c>
      <c r="E2" s="83" t="s">
        <v>3</v>
      </c>
      <c r="G2" s="83" t="s">
        <v>4</v>
      </c>
      <c r="J2" s="83" t="s">
        <v>5</v>
      </c>
      <c r="O2" s="101"/>
    </row>
    <row r="3">
      <c r="A3" s="122" t="s">
        <v>6</v>
      </c>
      <c r="B3" s="85"/>
      <c r="C3" s="85"/>
      <c r="D3" s="85"/>
      <c r="E3" s="85" t="s">
        <v>7</v>
      </c>
      <c r="F3" s="85" t="s">
        <v>8</v>
      </c>
      <c r="G3" s="85" t="s">
        <v>7</v>
      </c>
      <c r="H3" s="85" t="s">
        <v>8</v>
      </c>
      <c r="I3" s="85" t="s">
        <v>9</v>
      </c>
      <c r="J3" s="85" t="s">
        <v>340</v>
      </c>
      <c r="K3" s="85" t="s">
        <v>341</v>
      </c>
      <c r="L3" s="85" t="s">
        <v>342</v>
      </c>
      <c r="M3" s="85" t="s">
        <v>343</v>
      </c>
      <c r="N3" s="85" t="s">
        <v>344</v>
      </c>
      <c r="O3" s="103" t="s">
        <v>16</v>
      </c>
      <c r="P3" s="98" t="s">
        <v>766</v>
      </c>
    </row>
    <row r="4">
      <c r="A4" s="80">
        <v>34.0</v>
      </c>
      <c r="B4" s="125" t="s">
        <v>442</v>
      </c>
      <c r="C4" s="125" t="s">
        <v>800</v>
      </c>
      <c r="D4" s="80" t="s">
        <v>25</v>
      </c>
      <c r="E4" s="39" t="s">
        <v>21</v>
      </c>
      <c r="F4" s="39" t="s">
        <v>20</v>
      </c>
      <c r="G4" s="92" t="s">
        <v>22</v>
      </c>
      <c r="H4" s="39"/>
      <c r="I4" s="39"/>
      <c r="J4" s="60"/>
      <c r="K4" s="39"/>
      <c r="L4" s="39"/>
      <c r="M4" s="39"/>
      <c r="N4" s="39"/>
      <c r="O4" s="80"/>
      <c r="P4" s="99">
        <f>random_key!A34</f>
        <v>0.00126792185</v>
      </c>
    </row>
    <row r="5">
      <c r="A5" s="80">
        <v>32.0</v>
      </c>
      <c r="B5" s="125" t="s">
        <v>436</v>
      </c>
      <c r="C5" s="125" t="s">
        <v>797</v>
      </c>
      <c r="D5" s="80" t="s">
        <v>95</v>
      </c>
      <c r="E5" s="39" t="s">
        <v>21</v>
      </c>
      <c r="F5" s="39" t="s">
        <v>20</v>
      </c>
      <c r="G5" s="92" t="s">
        <v>22</v>
      </c>
      <c r="H5" s="39"/>
      <c r="I5" s="39"/>
      <c r="J5" s="60"/>
      <c r="K5" s="39"/>
      <c r="L5" s="39"/>
      <c r="M5" s="39"/>
      <c r="N5" s="39"/>
      <c r="O5" s="80"/>
      <c r="P5" s="99">
        <f>random_key!A32</f>
        <v>0.014775109</v>
      </c>
    </row>
    <row r="6">
      <c r="A6" s="80">
        <v>78.0</v>
      </c>
      <c r="B6" s="125" t="s">
        <v>584</v>
      </c>
      <c r="C6" s="125" t="s">
        <v>834</v>
      </c>
      <c r="D6" s="80" t="s">
        <v>586</v>
      </c>
      <c r="E6" s="39" t="s">
        <v>351</v>
      </c>
      <c r="F6" s="39" t="s">
        <v>21</v>
      </c>
      <c r="G6" s="92"/>
      <c r="H6" s="39" t="s">
        <v>22</v>
      </c>
      <c r="I6" s="39"/>
      <c r="J6" s="60"/>
      <c r="K6" s="39"/>
      <c r="L6" s="39"/>
      <c r="M6" s="39"/>
      <c r="N6" s="39"/>
      <c r="O6" s="80"/>
      <c r="P6" s="99">
        <f>random_key!A78</f>
        <v>0.02361814938</v>
      </c>
    </row>
    <row r="7">
      <c r="A7" s="80">
        <v>24.0</v>
      </c>
      <c r="B7" s="125" t="s">
        <v>411</v>
      </c>
      <c r="C7" s="125" t="s">
        <v>789</v>
      </c>
      <c r="D7" s="80" t="s">
        <v>413</v>
      </c>
      <c r="E7" s="39" t="s">
        <v>351</v>
      </c>
      <c r="F7" s="39" t="s">
        <v>21</v>
      </c>
      <c r="G7" s="92"/>
      <c r="H7" s="39" t="s">
        <v>22</v>
      </c>
      <c r="I7" s="39"/>
      <c r="J7" s="60"/>
      <c r="K7" s="39"/>
      <c r="L7" s="39"/>
      <c r="M7" s="39"/>
      <c r="N7" s="39"/>
      <c r="O7" s="80"/>
      <c r="P7" s="99">
        <f>random_key!A24</f>
        <v>0.0411164938</v>
      </c>
    </row>
    <row r="8">
      <c r="A8" s="80">
        <v>60.0</v>
      </c>
      <c r="B8" s="125" t="s">
        <v>529</v>
      </c>
      <c r="C8" s="125" t="s">
        <v>820</v>
      </c>
      <c r="D8" s="80" t="s">
        <v>531</v>
      </c>
      <c r="E8" s="39" t="s">
        <v>351</v>
      </c>
      <c r="F8" s="39" t="s">
        <v>21</v>
      </c>
      <c r="G8" s="92"/>
      <c r="H8" s="39" t="s">
        <v>22</v>
      </c>
      <c r="I8" s="39"/>
      <c r="J8" s="60"/>
      <c r="K8" s="39"/>
      <c r="L8" s="39"/>
      <c r="M8" s="39"/>
      <c r="N8" s="39"/>
      <c r="O8" s="80"/>
      <c r="P8" s="99">
        <f>random_key!A60</f>
        <v>0.04241728525</v>
      </c>
    </row>
    <row r="9">
      <c r="A9" s="80">
        <v>31.0</v>
      </c>
      <c r="B9" s="125" t="s">
        <v>433</v>
      </c>
      <c r="C9" s="125" t="s">
        <v>796</v>
      </c>
      <c r="D9" s="80" t="s">
        <v>435</v>
      </c>
      <c r="E9" s="39" t="s">
        <v>351</v>
      </c>
      <c r="F9" s="39" t="s">
        <v>21</v>
      </c>
      <c r="G9" s="92"/>
      <c r="H9" s="39" t="s">
        <v>22</v>
      </c>
      <c r="I9" s="39"/>
      <c r="J9" s="60"/>
      <c r="K9" s="39"/>
      <c r="L9" s="39"/>
      <c r="M9" s="39"/>
      <c r="N9" s="39"/>
      <c r="O9" s="80"/>
      <c r="P9" s="99">
        <f>random_key!A31</f>
        <v>0.04729217204</v>
      </c>
    </row>
    <row r="10">
      <c r="A10" s="80">
        <v>56.0</v>
      </c>
      <c r="B10" s="125" t="s">
        <v>517</v>
      </c>
      <c r="C10" s="125" t="s">
        <v>818</v>
      </c>
      <c r="D10" s="80" t="s">
        <v>519</v>
      </c>
      <c r="E10" s="39" t="s">
        <v>351</v>
      </c>
      <c r="F10" s="39" t="s">
        <v>21</v>
      </c>
      <c r="G10" s="92"/>
      <c r="H10" s="39" t="s">
        <v>22</v>
      </c>
      <c r="I10" s="39"/>
      <c r="J10" s="60"/>
      <c r="K10" s="39"/>
      <c r="L10" s="39"/>
      <c r="M10" s="39"/>
      <c r="N10" s="39"/>
      <c r="O10" s="80"/>
      <c r="P10" s="99">
        <f>random_key!A56</f>
        <v>0.07656247635</v>
      </c>
    </row>
    <row r="11">
      <c r="A11" s="80">
        <v>15.0</v>
      </c>
      <c r="B11" s="125" t="s">
        <v>384</v>
      </c>
      <c r="C11" s="125" t="s">
        <v>779</v>
      </c>
      <c r="D11" s="80" t="s">
        <v>216</v>
      </c>
      <c r="E11" s="39" t="s">
        <v>21</v>
      </c>
      <c r="F11" s="39" t="s">
        <v>20</v>
      </c>
      <c r="G11" s="92"/>
      <c r="H11" s="39"/>
      <c r="I11" s="39" t="s">
        <v>22</v>
      </c>
      <c r="J11" s="60"/>
      <c r="K11" s="39"/>
      <c r="L11" s="39"/>
      <c r="M11" s="39"/>
      <c r="N11" s="39"/>
      <c r="O11" s="80"/>
      <c r="P11" s="99">
        <f>random_key!A15</f>
        <v>0.0980610577</v>
      </c>
    </row>
    <row r="12">
      <c r="A12" s="80">
        <v>52.0</v>
      </c>
      <c r="B12" s="125" t="s">
        <v>505</v>
      </c>
      <c r="C12" s="125" t="s">
        <v>788</v>
      </c>
      <c r="D12" s="80" t="s">
        <v>506</v>
      </c>
      <c r="E12" s="39" t="s">
        <v>21</v>
      </c>
      <c r="F12" s="39" t="s">
        <v>31</v>
      </c>
      <c r="G12" s="92" t="s">
        <v>22</v>
      </c>
      <c r="H12" s="39"/>
      <c r="I12" s="39"/>
      <c r="J12" s="60"/>
      <c r="K12" s="39"/>
      <c r="L12" s="39"/>
      <c r="M12" s="39"/>
      <c r="N12" s="39"/>
      <c r="O12" s="80"/>
      <c r="P12" s="99">
        <f>random_key!A52</f>
        <v>0.1163449744</v>
      </c>
    </row>
    <row r="13">
      <c r="A13" s="80">
        <v>92.0</v>
      </c>
      <c r="B13" s="125" t="s">
        <v>636</v>
      </c>
      <c r="C13" s="125" t="s">
        <v>771</v>
      </c>
      <c r="D13" s="80" t="s">
        <v>80</v>
      </c>
      <c r="E13" s="39" t="s">
        <v>351</v>
      </c>
      <c r="F13" s="39" t="s">
        <v>21</v>
      </c>
      <c r="G13" s="92"/>
      <c r="H13" s="39" t="s">
        <v>22</v>
      </c>
      <c r="I13" s="39"/>
      <c r="J13" s="60"/>
      <c r="K13" s="39"/>
      <c r="L13" s="39"/>
      <c r="M13" s="39"/>
      <c r="N13" s="39"/>
      <c r="O13" s="80"/>
      <c r="P13" s="99">
        <f>random_key!A92</f>
        <v>0.1176876676</v>
      </c>
    </row>
    <row r="14">
      <c r="A14" s="80">
        <v>36.0</v>
      </c>
      <c r="B14" s="125" t="s">
        <v>448</v>
      </c>
      <c r="C14" s="125" t="s">
        <v>802</v>
      </c>
      <c r="D14" s="80" t="s">
        <v>450</v>
      </c>
      <c r="E14" s="39" t="s">
        <v>21</v>
      </c>
      <c r="F14" s="39" t="s">
        <v>20</v>
      </c>
      <c r="G14" s="92" t="s">
        <v>22</v>
      </c>
      <c r="H14" s="39"/>
      <c r="I14" s="39"/>
      <c r="J14" s="60"/>
      <c r="K14" s="39"/>
      <c r="L14" s="39"/>
      <c r="M14" s="39"/>
      <c r="N14" s="39"/>
      <c r="O14" s="80"/>
      <c r="P14" s="99">
        <f>random_key!A36</f>
        <v>0.1197756392</v>
      </c>
    </row>
    <row r="15">
      <c r="A15" s="80">
        <v>87.0</v>
      </c>
      <c r="B15" s="125" t="s">
        <v>617</v>
      </c>
      <c r="C15" s="125" t="s">
        <v>841</v>
      </c>
      <c r="D15" s="80" t="s">
        <v>619</v>
      </c>
      <c r="E15" s="39" t="s">
        <v>351</v>
      </c>
      <c r="F15" s="39" t="s">
        <v>21</v>
      </c>
      <c r="G15" s="92" t="s">
        <v>22</v>
      </c>
      <c r="H15" s="39"/>
      <c r="I15" s="39"/>
      <c r="J15" s="60" t="s">
        <v>22</v>
      </c>
      <c r="K15" s="39"/>
      <c r="L15" s="39"/>
      <c r="M15" s="39"/>
      <c r="N15" s="39"/>
      <c r="O15" s="80"/>
      <c r="P15" s="99">
        <f>random_key!A87</f>
        <v>0.1801476423</v>
      </c>
    </row>
    <row r="16">
      <c r="A16" s="80">
        <v>9.0</v>
      </c>
      <c r="B16" s="125" t="s">
        <v>368</v>
      </c>
      <c r="C16" s="125" t="s">
        <v>774</v>
      </c>
      <c r="D16" s="80" t="s">
        <v>370</v>
      </c>
      <c r="E16" s="39" t="s">
        <v>351</v>
      </c>
      <c r="F16" s="39" t="s">
        <v>21</v>
      </c>
      <c r="G16" s="92"/>
      <c r="H16" s="39" t="s">
        <v>22</v>
      </c>
      <c r="I16" s="39"/>
      <c r="J16" s="60"/>
      <c r="K16" s="39"/>
      <c r="L16" s="39"/>
      <c r="M16" s="39"/>
      <c r="N16" s="39"/>
      <c r="O16" s="80"/>
      <c r="P16" s="99">
        <f>random_key!A9</f>
        <v>0.1930796601</v>
      </c>
    </row>
    <row r="17">
      <c r="A17" s="80">
        <v>7.0</v>
      </c>
      <c r="B17" s="125" t="s">
        <v>363</v>
      </c>
      <c r="C17" s="125" t="s">
        <v>767</v>
      </c>
      <c r="D17" s="80" t="s">
        <v>364</v>
      </c>
      <c r="E17" s="39" t="s">
        <v>21</v>
      </c>
      <c r="F17" s="39" t="s">
        <v>31</v>
      </c>
      <c r="G17" s="92" t="s">
        <v>22</v>
      </c>
      <c r="H17" s="39"/>
      <c r="I17" s="39"/>
      <c r="J17" s="60"/>
      <c r="K17" s="39"/>
      <c r="L17" s="39"/>
      <c r="M17" s="39"/>
      <c r="N17" s="39"/>
      <c r="O17" s="80"/>
      <c r="P17" s="99">
        <f>random_key!A7</f>
        <v>0.2005901691</v>
      </c>
    </row>
    <row r="18">
      <c r="A18" s="80">
        <v>14.0</v>
      </c>
      <c r="B18" s="125" t="s">
        <v>381</v>
      </c>
      <c r="C18" s="125" t="s">
        <v>778</v>
      </c>
      <c r="D18" s="80" t="s">
        <v>383</v>
      </c>
      <c r="E18" s="39" t="s">
        <v>351</v>
      </c>
      <c r="F18" s="39" t="s">
        <v>21</v>
      </c>
      <c r="G18" s="92"/>
      <c r="H18" s="39" t="s">
        <v>22</v>
      </c>
      <c r="I18" s="39"/>
      <c r="J18" s="60"/>
      <c r="K18" s="39"/>
      <c r="L18" s="39"/>
      <c r="M18" s="39"/>
      <c r="N18" s="39"/>
      <c r="O18" s="80"/>
      <c r="P18" s="99">
        <f>random_key!A14</f>
        <v>0.2045792564</v>
      </c>
    </row>
    <row r="19">
      <c r="A19" s="80">
        <v>49.0</v>
      </c>
      <c r="B19" s="125" t="s">
        <v>493</v>
      </c>
      <c r="C19" s="125" t="s">
        <v>813</v>
      </c>
      <c r="D19" s="80" t="s">
        <v>495</v>
      </c>
      <c r="E19" s="39" t="s">
        <v>351</v>
      </c>
      <c r="F19" s="39" t="s">
        <v>21</v>
      </c>
      <c r="G19" s="92" t="s">
        <v>22</v>
      </c>
      <c r="H19" s="39"/>
      <c r="I19" s="39"/>
      <c r="J19" s="60"/>
      <c r="K19" s="39"/>
      <c r="L19" s="39"/>
      <c r="M19" s="39"/>
      <c r="N19" s="39"/>
      <c r="O19" s="80"/>
      <c r="P19" s="99">
        <f>random_key!A49</f>
        <v>0.2046791854</v>
      </c>
    </row>
    <row r="20">
      <c r="A20" s="80">
        <v>73.0</v>
      </c>
      <c r="B20" s="125" t="s">
        <v>568</v>
      </c>
      <c r="C20" s="125" t="s">
        <v>829</v>
      </c>
      <c r="D20" s="80" t="s">
        <v>570</v>
      </c>
      <c r="E20" s="39" t="s">
        <v>351</v>
      </c>
      <c r="F20" s="39" t="s">
        <v>21</v>
      </c>
      <c r="G20" s="92"/>
      <c r="H20" s="39" t="s">
        <v>22</v>
      </c>
      <c r="I20" s="39"/>
      <c r="J20" s="60"/>
      <c r="K20" s="39"/>
      <c r="L20" s="39"/>
      <c r="M20" s="39"/>
      <c r="N20" s="39"/>
      <c r="O20" s="80"/>
      <c r="P20" s="99">
        <f>random_key!A73</f>
        <v>0.2060904439</v>
      </c>
    </row>
    <row r="21">
      <c r="A21" s="80">
        <v>91.0</v>
      </c>
      <c r="B21" s="125" t="s">
        <v>633</v>
      </c>
      <c r="C21" s="125" t="s">
        <v>843</v>
      </c>
      <c r="D21" s="80" t="s">
        <v>634</v>
      </c>
      <c r="E21" s="39" t="s">
        <v>351</v>
      </c>
      <c r="F21" s="39" t="s">
        <v>21</v>
      </c>
      <c r="G21" s="92"/>
      <c r="H21" s="39" t="s">
        <v>22</v>
      </c>
      <c r="I21" s="39"/>
      <c r="J21" s="60"/>
      <c r="K21" s="39"/>
      <c r="L21" s="39"/>
      <c r="M21" s="39"/>
      <c r="N21" s="39"/>
      <c r="O21" s="80"/>
      <c r="P21" s="99">
        <f>random_key!A91</f>
        <v>0.208460173</v>
      </c>
    </row>
    <row r="22">
      <c r="A22" s="80">
        <v>47.0</v>
      </c>
      <c r="B22" s="125" t="s">
        <v>488</v>
      </c>
      <c r="C22" s="125" t="s">
        <v>773</v>
      </c>
      <c r="D22" s="80" t="s">
        <v>489</v>
      </c>
      <c r="E22" s="39" t="s">
        <v>351</v>
      </c>
      <c r="F22" s="39" t="s">
        <v>21</v>
      </c>
      <c r="G22" s="92"/>
      <c r="H22" s="39" t="s">
        <v>22</v>
      </c>
      <c r="I22" s="39"/>
      <c r="J22" s="60"/>
      <c r="K22" s="39"/>
      <c r="L22" s="39"/>
      <c r="M22" s="39"/>
      <c r="N22" s="39"/>
      <c r="O22" s="80"/>
      <c r="P22" s="99">
        <f>random_key!A47</f>
        <v>0.2140410334</v>
      </c>
    </row>
    <row r="23">
      <c r="A23" s="80">
        <v>82.0</v>
      </c>
      <c r="B23" s="125" t="s">
        <v>598</v>
      </c>
      <c r="C23" s="125" t="s">
        <v>836</v>
      </c>
      <c r="D23" s="80" t="s">
        <v>600</v>
      </c>
      <c r="E23" s="39" t="s">
        <v>21</v>
      </c>
      <c r="F23" s="39" t="s">
        <v>20</v>
      </c>
      <c r="G23" s="92" t="s">
        <v>22</v>
      </c>
      <c r="H23" s="39"/>
      <c r="I23" s="39"/>
      <c r="J23" s="60"/>
      <c r="K23" s="39"/>
      <c r="L23" s="39"/>
      <c r="M23" s="39"/>
      <c r="N23" s="39"/>
      <c r="O23" s="80"/>
      <c r="P23" s="99">
        <f>random_key!A82</f>
        <v>0.2217316316</v>
      </c>
    </row>
    <row r="24">
      <c r="A24" s="80">
        <v>19.0</v>
      </c>
      <c r="B24" s="125" t="s">
        <v>398</v>
      </c>
      <c r="C24" s="125" t="s">
        <v>784</v>
      </c>
      <c r="D24" s="80" t="s">
        <v>400</v>
      </c>
      <c r="E24" s="39" t="s">
        <v>21</v>
      </c>
      <c r="F24" s="39" t="s">
        <v>20</v>
      </c>
      <c r="G24" s="92" t="s">
        <v>22</v>
      </c>
      <c r="H24" s="39"/>
      <c r="I24" s="39"/>
      <c r="J24" s="60"/>
      <c r="K24" s="39"/>
      <c r="L24" s="39"/>
      <c r="M24" s="39"/>
      <c r="N24" s="39"/>
      <c r="O24" s="80"/>
      <c r="P24" s="99">
        <f>random_key!A19</f>
        <v>0.2255976227</v>
      </c>
    </row>
    <row r="25">
      <c r="A25" s="80">
        <v>17.0</v>
      </c>
      <c r="B25" s="125" t="s">
        <v>390</v>
      </c>
      <c r="C25" s="125" t="s">
        <v>781</v>
      </c>
      <c r="D25" s="80" t="s">
        <v>392</v>
      </c>
      <c r="E25" s="39" t="s">
        <v>351</v>
      </c>
      <c r="F25" s="39" t="s">
        <v>21</v>
      </c>
      <c r="G25" s="92"/>
      <c r="H25" s="39" t="s">
        <v>22</v>
      </c>
      <c r="I25" s="39"/>
      <c r="J25" s="60"/>
      <c r="K25" s="39"/>
      <c r="L25" s="39"/>
      <c r="M25" s="39"/>
      <c r="N25" s="39"/>
      <c r="O25" s="80"/>
      <c r="P25" s="99">
        <f>random_key!A17</f>
        <v>0.2359531103</v>
      </c>
    </row>
    <row r="26">
      <c r="A26" s="80">
        <v>29.0</v>
      </c>
      <c r="B26" s="125" t="s">
        <v>428</v>
      </c>
      <c r="C26" s="125" t="s">
        <v>794</v>
      </c>
      <c r="D26" s="80" t="s">
        <v>430</v>
      </c>
      <c r="E26" s="39" t="s">
        <v>351</v>
      </c>
      <c r="F26" s="39" t="s">
        <v>21</v>
      </c>
      <c r="G26" s="92" t="s">
        <v>22</v>
      </c>
      <c r="H26" s="39"/>
      <c r="I26" s="39"/>
      <c r="J26" s="60"/>
      <c r="K26" s="39"/>
      <c r="L26" s="39"/>
      <c r="M26" s="39"/>
      <c r="N26" s="39"/>
      <c r="O26" s="80"/>
      <c r="P26" s="99">
        <f>random_key!A29</f>
        <v>0.2367282546</v>
      </c>
    </row>
    <row r="27">
      <c r="A27" s="80">
        <v>44.0</v>
      </c>
      <c r="B27" s="125" t="s">
        <v>477</v>
      </c>
      <c r="C27" s="125" t="s">
        <v>810</v>
      </c>
      <c r="D27" s="80" t="s">
        <v>479</v>
      </c>
      <c r="E27" s="39" t="s">
        <v>351</v>
      </c>
      <c r="F27" s="39" t="s">
        <v>21</v>
      </c>
      <c r="G27" s="92"/>
      <c r="H27" s="39" t="s">
        <v>22</v>
      </c>
      <c r="I27" s="39"/>
      <c r="J27" s="60"/>
      <c r="K27" s="39"/>
      <c r="L27" s="39"/>
      <c r="M27" s="39"/>
      <c r="N27" s="39"/>
      <c r="O27" s="80"/>
      <c r="P27" s="99">
        <f>random_key!A44</f>
        <v>0.2390760191</v>
      </c>
    </row>
    <row r="28">
      <c r="A28" s="80">
        <v>41.0</v>
      </c>
      <c r="B28" s="125" t="s">
        <v>467</v>
      </c>
      <c r="C28" s="125" t="s">
        <v>807</v>
      </c>
      <c r="D28" s="80" t="s">
        <v>469</v>
      </c>
      <c r="E28" s="39" t="s">
        <v>351</v>
      </c>
      <c r="F28" s="39" t="s">
        <v>21</v>
      </c>
      <c r="G28" s="92" t="s">
        <v>22</v>
      </c>
      <c r="H28" s="39"/>
      <c r="I28" s="39"/>
      <c r="J28" s="60"/>
      <c r="K28" s="39"/>
      <c r="L28" s="39" t="s">
        <v>22</v>
      </c>
      <c r="M28" s="39"/>
      <c r="N28" s="39"/>
      <c r="O28" s="80"/>
      <c r="P28" s="99">
        <f>random_key!A41</f>
        <v>0.2504741674</v>
      </c>
    </row>
    <row r="29">
      <c r="A29" s="80">
        <v>20.0</v>
      </c>
      <c r="B29" s="125" t="s">
        <v>402</v>
      </c>
      <c r="C29" s="125" t="s">
        <v>773</v>
      </c>
      <c r="D29" s="80" t="s">
        <v>403</v>
      </c>
      <c r="E29" s="39" t="s">
        <v>351</v>
      </c>
      <c r="F29" s="39" t="s">
        <v>21</v>
      </c>
      <c r="G29" s="92"/>
      <c r="H29" s="39" t="s">
        <v>22</v>
      </c>
      <c r="I29" s="39"/>
      <c r="J29" s="60"/>
      <c r="K29" s="39"/>
      <c r="L29" s="39"/>
      <c r="M29" s="39"/>
      <c r="N29" s="39"/>
      <c r="O29" s="80"/>
      <c r="P29" s="99">
        <f>random_key!A20</f>
        <v>0.2628754448</v>
      </c>
    </row>
    <row r="30">
      <c r="A30" s="80">
        <v>85.0</v>
      </c>
      <c r="B30" s="125" t="s">
        <v>609</v>
      </c>
      <c r="C30" s="125" t="s">
        <v>839</v>
      </c>
      <c r="D30" s="80" t="s">
        <v>611</v>
      </c>
      <c r="E30" s="39" t="s">
        <v>351</v>
      </c>
      <c r="F30" s="39" t="s">
        <v>21</v>
      </c>
      <c r="G30" s="92" t="s">
        <v>22</v>
      </c>
      <c r="H30" s="39"/>
      <c r="I30" s="39"/>
      <c r="J30" s="60"/>
      <c r="K30" s="39"/>
      <c r="L30" s="39"/>
      <c r="M30" s="39"/>
      <c r="N30" s="39"/>
      <c r="O30" s="80"/>
      <c r="P30" s="99">
        <f>random_key!A85</f>
        <v>0.2733204148</v>
      </c>
    </row>
    <row r="31">
      <c r="A31" s="80">
        <v>71.0</v>
      </c>
      <c r="B31" s="125" t="s">
        <v>562</v>
      </c>
      <c r="C31" s="125" t="s">
        <v>827</v>
      </c>
      <c r="D31" s="80" t="s">
        <v>145</v>
      </c>
      <c r="E31" s="39" t="s">
        <v>351</v>
      </c>
      <c r="F31" s="39" t="s">
        <v>21</v>
      </c>
      <c r="G31" s="92"/>
      <c r="H31" s="39" t="s">
        <v>22</v>
      </c>
      <c r="I31" s="39"/>
      <c r="J31" s="60"/>
      <c r="K31" s="39"/>
      <c r="L31" s="39"/>
      <c r="M31" s="39"/>
      <c r="N31" s="39"/>
      <c r="O31" s="80"/>
      <c r="P31" s="99">
        <f>random_key!A71</f>
        <v>0.278433439</v>
      </c>
    </row>
    <row r="32">
      <c r="A32" s="80">
        <v>88.0</v>
      </c>
      <c r="B32" s="125" t="s">
        <v>621</v>
      </c>
      <c r="C32" s="125" t="s">
        <v>842</v>
      </c>
      <c r="D32" s="80" t="s">
        <v>623</v>
      </c>
      <c r="E32" s="39" t="s">
        <v>351</v>
      </c>
      <c r="F32" s="39" t="s">
        <v>21</v>
      </c>
      <c r="G32" s="92"/>
      <c r="H32" s="39" t="s">
        <v>22</v>
      </c>
      <c r="I32" s="39"/>
      <c r="J32" s="60"/>
      <c r="K32" s="39"/>
      <c r="L32" s="39"/>
      <c r="M32" s="39"/>
      <c r="N32" s="39"/>
      <c r="O32" s="80"/>
      <c r="P32" s="99">
        <f>random_key!A88</f>
        <v>0.2798860334</v>
      </c>
    </row>
    <row r="33">
      <c r="A33" s="80">
        <v>37.0</v>
      </c>
      <c r="B33" s="125" t="s">
        <v>452</v>
      </c>
      <c r="C33" s="125" t="s">
        <v>769</v>
      </c>
      <c r="D33" s="80" t="s">
        <v>454</v>
      </c>
      <c r="E33" s="39" t="s">
        <v>21</v>
      </c>
      <c r="F33" s="39" t="s">
        <v>20</v>
      </c>
      <c r="G33" s="92" t="s">
        <v>22</v>
      </c>
      <c r="H33" s="39"/>
      <c r="I33" s="39"/>
      <c r="J33" s="60"/>
      <c r="K33" s="39"/>
      <c r="L33" s="39"/>
      <c r="M33" s="39"/>
      <c r="N33" s="39"/>
      <c r="O33" s="80"/>
      <c r="P33" s="99">
        <f>random_key!A37</f>
        <v>0.2853436585</v>
      </c>
    </row>
    <row r="34">
      <c r="A34" s="80">
        <v>2.0</v>
      </c>
      <c r="B34" s="125" t="s">
        <v>348</v>
      </c>
      <c r="C34" s="125" t="s">
        <v>768</v>
      </c>
      <c r="D34" s="80" t="s">
        <v>350</v>
      </c>
      <c r="E34" s="39" t="s">
        <v>351</v>
      </c>
      <c r="F34" s="39" t="s">
        <v>21</v>
      </c>
      <c r="G34" s="92"/>
      <c r="H34" s="39" t="s">
        <v>22</v>
      </c>
      <c r="I34" s="39"/>
      <c r="J34" s="60"/>
      <c r="K34" s="39"/>
      <c r="L34" s="39"/>
      <c r="M34" s="39"/>
      <c r="N34" s="39"/>
      <c r="O34" s="80"/>
      <c r="P34" s="99">
        <f>random_key!A2</f>
        <v>0.3018055165</v>
      </c>
    </row>
    <row r="35">
      <c r="A35" s="80">
        <v>98.0</v>
      </c>
      <c r="B35" s="130" t="s">
        <v>653</v>
      </c>
      <c r="C35" s="125" t="s">
        <v>822</v>
      </c>
      <c r="D35" s="80" t="s">
        <v>654</v>
      </c>
      <c r="E35" s="39" t="s">
        <v>21</v>
      </c>
      <c r="F35" s="39" t="s">
        <v>20</v>
      </c>
      <c r="G35" s="92" t="s">
        <v>22</v>
      </c>
      <c r="H35" s="39"/>
      <c r="I35" s="39"/>
      <c r="J35" s="60"/>
      <c r="K35" s="39"/>
      <c r="L35" s="39"/>
      <c r="M35" s="39"/>
      <c r="N35" s="39"/>
      <c r="O35" s="80"/>
      <c r="P35" s="99">
        <f>random_key!A98</f>
        <v>0.340759892</v>
      </c>
    </row>
    <row r="36">
      <c r="A36" s="80">
        <v>25.0</v>
      </c>
      <c r="B36" s="125" t="s">
        <v>414</v>
      </c>
      <c r="C36" s="125" t="s">
        <v>790</v>
      </c>
      <c r="D36" s="80" t="s">
        <v>416</v>
      </c>
      <c r="E36" s="39" t="s">
        <v>21</v>
      </c>
      <c r="F36" s="39" t="s">
        <v>20</v>
      </c>
      <c r="G36" s="92" t="s">
        <v>22</v>
      </c>
      <c r="H36" s="39"/>
      <c r="I36" s="39"/>
      <c r="J36" s="60"/>
      <c r="K36" s="39"/>
      <c r="L36" s="39"/>
      <c r="M36" s="39"/>
      <c r="N36" s="39"/>
      <c r="O36" s="80"/>
      <c r="P36" s="99">
        <f>random_key!A25</f>
        <v>0.3472535053</v>
      </c>
    </row>
    <row r="37">
      <c r="A37" s="80">
        <v>45.0</v>
      </c>
      <c r="B37" s="125" t="s">
        <v>481</v>
      </c>
      <c r="C37" s="125" t="s">
        <v>811</v>
      </c>
      <c r="D37" s="80" t="s">
        <v>483</v>
      </c>
      <c r="E37" s="39" t="s">
        <v>351</v>
      </c>
      <c r="F37" s="39" t="s">
        <v>21</v>
      </c>
      <c r="G37" s="92"/>
      <c r="H37" s="39" t="s">
        <v>22</v>
      </c>
      <c r="I37" s="39"/>
      <c r="J37" s="60"/>
      <c r="K37" s="39"/>
      <c r="L37" s="39"/>
      <c r="M37" s="39"/>
      <c r="N37" s="39"/>
      <c r="O37" s="80"/>
      <c r="P37" s="99">
        <f>random_key!A45</f>
        <v>0.3495666817</v>
      </c>
    </row>
    <row r="38">
      <c r="A38" s="80">
        <v>6.0</v>
      </c>
      <c r="B38" s="125" t="s">
        <v>361</v>
      </c>
      <c r="C38" s="125" t="s">
        <v>772</v>
      </c>
      <c r="D38" s="80" t="s">
        <v>347</v>
      </c>
      <c r="E38" s="39" t="s">
        <v>21</v>
      </c>
      <c r="F38" s="39" t="s">
        <v>20</v>
      </c>
      <c r="G38" s="92"/>
      <c r="H38" s="39" t="s">
        <v>22</v>
      </c>
      <c r="I38" s="39"/>
      <c r="J38" s="60"/>
      <c r="K38" s="39"/>
      <c r="L38" s="39"/>
      <c r="M38" s="39"/>
      <c r="N38" s="39"/>
      <c r="O38" s="80" t="s">
        <v>1012</v>
      </c>
      <c r="P38" s="99">
        <f>random_key!A6</f>
        <v>0.3538941995</v>
      </c>
    </row>
    <row r="39">
      <c r="A39" s="80">
        <v>79.0</v>
      </c>
      <c r="B39" s="125" t="s">
        <v>588</v>
      </c>
      <c r="C39" s="125" t="s">
        <v>802</v>
      </c>
      <c r="D39" s="80" t="s">
        <v>590</v>
      </c>
      <c r="E39" s="39" t="s">
        <v>21</v>
      </c>
      <c r="F39" s="39" t="s">
        <v>20</v>
      </c>
      <c r="G39" s="92" t="s">
        <v>22</v>
      </c>
      <c r="H39" s="39"/>
      <c r="I39" s="39"/>
      <c r="J39" s="60"/>
      <c r="K39" s="39"/>
      <c r="L39" s="39"/>
      <c r="M39" s="39"/>
      <c r="N39" s="39"/>
      <c r="O39" s="80"/>
      <c r="P39" s="99">
        <f>random_key!A79</f>
        <v>0.4195941883</v>
      </c>
    </row>
    <row r="40">
      <c r="A40" s="80">
        <v>5.0</v>
      </c>
      <c r="B40" s="125" t="s">
        <v>359</v>
      </c>
      <c r="C40" s="125" t="s">
        <v>771</v>
      </c>
      <c r="D40" s="80" t="s">
        <v>57</v>
      </c>
      <c r="E40" s="39" t="s">
        <v>351</v>
      </c>
      <c r="F40" s="39" t="s">
        <v>21</v>
      </c>
      <c r="G40" s="92"/>
      <c r="H40" s="39" t="s">
        <v>22</v>
      </c>
      <c r="I40" s="39"/>
      <c r="J40" s="60"/>
      <c r="K40" s="39"/>
      <c r="L40" s="39"/>
      <c r="M40" s="39"/>
      <c r="N40" s="39"/>
      <c r="O40" s="80"/>
      <c r="P40" s="99">
        <f>random_key!A5</f>
        <v>0.4200862284</v>
      </c>
    </row>
    <row r="41">
      <c r="A41" s="80">
        <v>81.0</v>
      </c>
      <c r="B41" s="125" t="s">
        <v>595</v>
      </c>
      <c r="C41" s="125" t="s">
        <v>795</v>
      </c>
      <c r="D41" s="80" t="s">
        <v>596</v>
      </c>
      <c r="E41" s="39" t="s">
        <v>351</v>
      </c>
      <c r="F41" s="39" t="s">
        <v>21</v>
      </c>
      <c r="G41" s="92"/>
      <c r="H41" s="39" t="s">
        <v>22</v>
      </c>
      <c r="I41" s="39"/>
      <c r="J41" s="60"/>
      <c r="K41" s="39"/>
      <c r="L41" s="39"/>
      <c r="M41" s="39"/>
      <c r="N41" s="39"/>
      <c r="O41" s="80"/>
      <c r="P41" s="99">
        <f>random_key!A81</f>
        <v>0.4456763806</v>
      </c>
    </row>
    <row r="42">
      <c r="A42" s="80">
        <v>76.0</v>
      </c>
      <c r="B42" s="125" t="s">
        <v>579</v>
      </c>
      <c r="C42" s="125" t="s">
        <v>832</v>
      </c>
      <c r="D42" s="80" t="s">
        <v>110</v>
      </c>
      <c r="E42" s="39" t="s">
        <v>21</v>
      </c>
      <c r="F42" s="39" t="s">
        <v>20</v>
      </c>
      <c r="G42" s="92"/>
      <c r="H42" s="39" t="s">
        <v>22</v>
      </c>
      <c r="I42" s="39"/>
      <c r="J42" s="60"/>
      <c r="K42" s="39"/>
      <c r="L42" s="39"/>
      <c r="M42" s="39"/>
      <c r="N42" s="39"/>
      <c r="O42" s="80"/>
      <c r="P42" s="99">
        <f>random_key!A76</f>
        <v>0.4472647815</v>
      </c>
    </row>
    <row r="43">
      <c r="A43" s="80">
        <v>21.0</v>
      </c>
      <c r="B43" s="125" t="s">
        <v>404</v>
      </c>
      <c r="C43" s="125" t="s">
        <v>785</v>
      </c>
      <c r="D43" s="80" t="s">
        <v>25</v>
      </c>
      <c r="E43" s="39" t="s">
        <v>21</v>
      </c>
      <c r="F43" s="39" t="s">
        <v>26</v>
      </c>
      <c r="G43" s="92"/>
      <c r="H43" s="39" t="s">
        <v>22</v>
      </c>
      <c r="I43" s="39"/>
      <c r="J43" s="60"/>
      <c r="K43" s="39"/>
      <c r="L43" s="39"/>
      <c r="M43" s="39"/>
      <c r="N43" s="39"/>
      <c r="O43" s="80"/>
      <c r="P43" s="99">
        <f>random_key!A21</f>
        <v>0.4672776255</v>
      </c>
    </row>
    <row r="44">
      <c r="A44" s="80">
        <v>33.0</v>
      </c>
      <c r="B44" s="125" t="s">
        <v>439</v>
      </c>
      <c r="C44" s="125" t="s">
        <v>798</v>
      </c>
      <c r="D44" s="80" t="s">
        <v>42</v>
      </c>
      <c r="E44" s="39" t="s">
        <v>21</v>
      </c>
      <c r="F44" s="39" t="s">
        <v>20</v>
      </c>
      <c r="G44" s="92"/>
      <c r="H44" s="39"/>
      <c r="I44" s="39" t="s">
        <v>22</v>
      </c>
      <c r="J44" s="60"/>
      <c r="K44" s="39"/>
      <c r="L44" s="39" t="s">
        <v>22</v>
      </c>
      <c r="M44" s="39"/>
      <c r="N44" s="39"/>
      <c r="O44" s="80"/>
      <c r="P44" s="99">
        <f>random_key!A33</f>
        <v>0.48600759</v>
      </c>
    </row>
    <row r="45">
      <c r="A45" s="80">
        <v>59.0</v>
      </c>
      <c r="B45" s="125" t="s">
        <v>526</v>
      </c>
      <c r="C45" s="125" t="s">
        <v>808</v>
      </c>
      <c r="D45" s="80" t="s">
        <v>527</v>
      </c>
      <c r="E45" s="39" t="s">
        <v>351</v>
      </c>
      <c r="F45" s="39" t="s">
        <v>21</v>
      </c>
      <c r="G45" s="92"/>
      <c r="H45" s="39" t="s">
        <v>22</v>
      </c>
      <c r="I45" s="39"/>
      <c r="J45" s="60"/>
      <c r="K45" s="39"/>
      <c r="L45" s="39"/>
      <c r="M45" s="39"/>
      <c r="N45" s="39"/>
      <c r="O45" s="80"/>
      <c r="P45" s="99">
        <f>random_key!A59</f>
        <v>0.4909575479</v>
      </c>
    </row>
    <row r="46">
      <c r="A46" s="80">
        <v>42.0</v>
      </c>
      <c r="B46" s="125" t="s">
        <v>470</v>
      </c>
      <c r="C46" s="125" t="s">
        <v>808</v>
      </c>
      <c r="D46" s="80" t="s">
        <v>212</v>
      </c>
      <c r="E46" s="39" t="s">
        <v>351</v>
      </c>
      <c r="F46" s="39" t="s">
        <v>21</v>
      </c>
      <c r="G46" s="92"/>
      <c r="H46" s="39" t="s">
        <v>22</v>
      </c>
      <c r="I46" s="39"/>
      <c r="J46" s="60"/>
      <c r="K46" s="39"/>
      <c r="L46" s="39"/>
      <c r="M46" s="39"/>
      <c r="N46" s="39"/>
      <c r="O46" s="80"/>
      <c r="P46" s="99">
        <f>random_key!A42</f>
        <v>0.5062348543</v>
      </c>
    </row>
    <row r="47">
      <c r="A47" s="80">
        <v>38.0</v>
      </c>
      <c r="B47" s="125" t="s">
        <v>456</v>
      </c>
      <c r="C47" s="125" t="s">
        <v>803</v>
      </c>
      <c r="D47" s="80" t="s">
        <v>458</v>
      </c>
      <c r="E47" s="39" t="s">
        <v>21</v>
      </c>
      <c r="F47" s="39" t="s">
        <v>20</v>
      </c>
      <c r="G47" s="92" t="s">
        <v>22</v>
      </c>
      <c r="H47" s="39"/>
      <c r="I47" s="39"/>
      <c r="J47" s="60"/>
      <c r="K47" s="39"/>
      <c r="L47" s="39"/>
      <c r="M47" s="39"/>
      <c r="N47" s="39"/>
      <c r="O47" s="80"/>
      <c r="P47" s="99">
        <f>random_key!A38</f>
        <v>0.5320225834</v>
      </c>
    </row>
    <row r="48">
      <c r="A48" s="80">
        <v>57.0</v>
      </c>
      <c r="B48" s="125" t="s">
        <v>521</v>
      </c>
      <c r="C48" s="125" t="s">
        <v>819</v>
      </c>
      <c r="D48" s="80" t="s">
        <v>523</v>
      </c>
      <c r="E48" s="39" t="s">
        <v>351</v>
      </c>
      <c r="F48" s="39" t="s">
        <v>21</v>
      </c>
      <c r="G48" s="92"/>
      <c r="H48" s="39" t="s">
        <v>22</v>
      </c>
      <c r="I48" s="39"/>
      <c r="J48" s="60"/>
      <c r="K48" s="39"/>
      <c r="L48" s="39"/>
      <c r="M48" s="39"/>
      <c r="N48" s="39"/>
      <c r="O48" s="80"/>
      <c r="P48" s="99">
        <f>random_key!A57</f>
        <v>0.5392406636</v>
      </c>
    </row>
    <row r="49">
      <c r="A49" s="80">
        <v>95.0</v>
      </c>
      <c r="B49" s="125" t="s">
        <v>645</v>
      </c>
      <c r="C49" s="125" t="s">
        <v>848</v>
      </c>
      <c r="D49" s="80" t="s">
        <v>647</v>
      </c>
      <c r="E49" s="39" t="s">
        <v>21</v>
      </c>
      <c r="F49" s="39" t="s">
        <v>31</v>
      </c>
      <c r="G49" s="92" t="s">
        <v>22</v>
      </c>
      <c r="H49" s="39"/>
      <c r="I49" s="39"/>
      <c r="J49" s="60"/>
      <c r="K49" s="39"/>
      <c r="L49" s="39"/>
      <c r="M49" s="39"/>
      <c r="N49" s="39"/>
      <c r="O49" s="80"/>
      <c r="P49" s="99">
        <f>random_key!A95</f>
        <v>0.5528709074</v>
      </c>
    </row>
    <row r="50">
      <c r="A50" s="80">
        <v>8.0</v>
      </c>
      <c r="B50" s="125" t="s">
        <v>365</v>
      </c>
      <c r="C50" s="125" t="s">
        <v>773</v>
      </c>
      <c r="D50" s="80" t="s">
        <v>367</v>
      </c>
      <c r="E50" s="39" t="s">
        <v>351</v>
      </c>
      <c r="F50" s="39" t="s">
        <v>21</v>
      </c>
      <c r="G50" s="92"/>
      <c r="H50" s="39" t="s">
        <v>22</v>
      </c>
      <c r="I50" s="39"/>
      <c r="J50" s="60"/>
      <c r="K50" s="39"/>
      <c r="L50" s="39"/>
      <c r="M50" s="39"/>
      <c r="N50" s="39"/>
      <c r="O50" s="80"/>
      <c r="P50" s="99">
        <f>random_key!A8</f>
        <v>0.554984421</v>
      </c>
    </row>
    <row r="51">
      <c r="A51" s="80">
        <v>11.0</v>
      </c>
      <c r="B51" s="125" t="s">
        <v>374</v>
      </c>
      <c r="C51" s="125" t="s">
        <v>776</v>
      </c>
      <c r="D51" s="80" t="s">
        <v>232</v>
      </c>
      <c r="E51" s="39" t="s">
        <v>21</v>
      </c>
      <c r="F51" s="39" t="s">
        <v>26</v>
      </c>
      <c r="G51" s="92"/>
      <c r="H51" s="39" t="s">
        <v>22</v>
      </c>
      <c r="I51" s="39"/>
      <c r="J51" s="60"/>
      <c r="K51" s="39"/>
      <c r="L51" s="39"/>
      <c r="M51" s="39"/>
      <c r="N51" s="39"/>
      <c r="O51" s="80"/>
      <c r="P51" s="99">
        <f>random_key!A11</f>
        <v>0.5740921633</v>
      </c>
    </row>
    <row r="52">
      <c r="A52" s="80">
        <v>16.0</v>
      </c>
      <c r="B52" s="125" t="s">
        <v>387</v>
      </c>
      <c r="C52" s="125" t="s">
        <v>780</v>
      </c>
      <c r="D52" s="80" t="s">
        <v>389</v>
      </c>
      <c r="E52" s="39" t="s">
        <v>21</v>
      </c>
      <c r="F52" s="39" t="s">
        <v>20</v>
      </c>
      <c r="G52" s="80" t="s">
        <v>22</v>
      </c>
      <c r="H52" s="39"/>
      <c r="I52" s="39"/>
      <c r="J52" s="60"/>
      <c r="K52" s="39"/>
      <c r="L52" s="39"/>
      <c r="M52" s="39"/>
      <c r="N52" s="39"/>
      <c r="O52" s="80"/>
      <c r="P52" s="99">
        <f>random_key!A16</f>
        <v>0.5758198613</v>
      </c>
    </row>
    <row r="53">
      <c r="A53" s="80">
        <v>13.0</v>
      </c>
      <c r="B53" s="125" t="s">
        <v>377</v>
      </c>
      <c r="C53" s="125" t="s">
        <v>777</v>
      </c>
      <c r="D53" s="80" t="s">
        <v>379</v>
      </c>
      <c r="E53" s="39" t="s">
        <v>351</v>
      </c>
      <c r="F53" s="39" t="s">
        <v>21</v>
      </c>
      <c r="G53" s="92"/>
      <c r="H53" s="39" t="s">
        <v>22</v>
      </c>
      <c r="I53" s="39"/>
      <c r="J53" s="60"/>
      <c r="K53" s="39"/>
      <c r="L53" s="39"/>
      <c r="M53" s="39"/>
      <c r="N53" s="39"/>
      <c r="O53" s="80"/>
      <c r="P53" s="99">
        <f>random_key!A13</f>
        <v>0.5806079571</v>
      </c>
    </row>
    <row r="54">
      <c r="A54" s="80">
        <v>83.0</v>
      </c>
      <c r="B54" s="125" t="s">
        <v>602</v>
      </c>
      <c r="C54" s="125" t="s">
        <v>783</v>
      </c>
      <c r="D54" s="80" t="s">
        <v>603</v>
      </c>
      <c r="E54" s="39" t="s">
        <v>351</v>
      </c>
      <c r="F54" s="39" t="s">
        <v>20</v>
      </c>
      <c r="G54" s="92"/>
      <c r="H54" s="39"/>
      <c r="I54" s="39" t="s">
        <v>22</v>
      </c>
      <c r="J54" s="60"/>
      <c r="K54" s="39"/>
      <c r="L54" s="39"/>
      <c r="M54" s="39"/>
      <c r="N54" s="39"/>
      <c r="O54" s="80" t="s">
        <v>917</v>
      </c>
      <c r="P54" s="99">
        <f>random_key!A83</f>
        <v>0.5810969474</v>
      </c>
    </row>
    <row r="55">
      <c r="A55" s="80">
        <v>100.0</v>
      </c>
      <c r="B55" s="125" t="s">
        <v>660</v>
      </c>
      <c r="C55" s="125" t="s">
        <v>813</v>
      </c>
      <c r="D55" s="80" t="s">
        <v>661</v>
      </c>
      <c r="E55" s="39" t="s">
        <v>351</v>
      </c>
      <c r="F55" s="39" t="s">
        <v>21</v>
      </c>
      <c r="G55" s="80"/>
      <c r="H55" s="60" t="s">
        <v>22</v>
      </c>
      <c r="I55" s="39"/>
      <c r="J55" s="39"/>
      <c r="K55" s="60"/>
      <c r="L55" s="60"/>
      <c r="M55" s="60"/>
      <c r="N55" s="60"/>
      <c r="O55" s="80"/>
      <c r="P55" s="99">
        <f>random_key!A100</f>
        <v>0.5847508866</v>
      </c>
    </row>
    <row r="56">
      <c r="A56" s="80">
        <v>18.0</v>
      </c>
      <c r="B56" s="125" t="s">
        <v>394</v>
      </c>
      <c r="C56" s="125" t="s">
        <v>783</v>
      </c>
      <c r="D56" s="80" t="s">
        <v>396</v>
      </c>
      <c r="E56" s="39" t="s">
        <v>21</v>
      </c>
      <c r="F56" s="39" t="s">
        <v>20</v>
      </c>
      <c r="G56" s="92" t="s">
        <v>22</v>
      </c>
      <c r="H56" s="39"/>
      <c r="I56" s="39"/>
      <c r="J56" s="60"/>
      <c r="K56" s="39"/>
      <c r="L56" s="39"/>
      <c r="M56" s="39"/>
      <c r="N56" s="39"/>
      <c r="O56" s="80"/>
      <c r="P56" s="99">
        <f>random_key!A18</f>
        <v>0.586809022</v>
      </c>
    </row>
    <row r="57">
      <c r="A57" s="80">
        <v>99.0</v>
      </c>
      <c r="B57" s="125" t="s">
        <v>656</v>
      </c>
      <c r="C57" s="125" t="s">
        <v>851</v>
      </c>
      <c r="D57" s="80" t="s">
        <v>658</v>
      </c>
      <c r="E57" s="39" t="s">
        <v>21</v>
      </c>
      <c r="F57" s="39" t="s">
        <v>20</v>
      </c>
      <c r="G57" s="92" t="s">
        <v>22</v>
      </c>
      <c r="H57" s="39"/>
      <c r="I57" s="39"/>
      <c r="J57" s="60"/>
      <c r="K57" s="39"/>
      <c r="L57" s="39"/>
      <c r="M57" s="39"/>
      <c r="N57" s="39"/>
      <c r="O57" s="80"/>
      <c r="P57" s="99">
        <f>random_key!A99</f>
        <v>0.5960798585</v>
      </c>
    </row>
    <row r="58">
      <c r="A58" s="80">
        <v>1.0</v>
      </c>
      <c r="B58" s="125" t="s">
        <v>345</v>
      </c>
      <c r="C58" s="125" t="s">
        <v>767</v>
      </c>
      <c r="D58" s="80" t="s">
        <v>347</v>
      </c>
      <c r="E58" s="39" t="s">
        <v>21</v>
      </c>
      <c r="F58" s="39" t="s">
        <v>31</v>
      </c>
      <c r="G58" s="92" t="s">
        <v>22</v>
      </c>
      <c r="H58" s="39"/>
      <c r="I58" s="39"/>
      <c r="J58" s="60"/>
      <c r="K58" s="39"/>
      <c r="L58" s="39"/>
      <c r="M58" s="39"/>
      <c r="N58" s="39"/>
      <c r="O58" s="80"/>
      <c r="P58" s="99">
        <f>random_key!A1</f>
        <v>0.6058113928</v>
      </c>
    </row>
    <row r="59">
      <c r="A59" s="80">
        <v>28.0</v>
      </c>
      <c r="B59" s="125" t="s">
        <v>424</v>
      </c>
      <c r="C59" s="125" t="s">
        <v>792</v>
      </c>
      <c r="D59" s="80" t="s">
        <v>426</v>
      </c>
      <c r="E59" s="39" t="s">
        <v>21</v>
      </c>
      <c r="F59" s="39" t="s">
        <v>31</v>
      </c>
      <c r="G59" s="92" t="s">
        <v>22</v>
      </c>
      <c r="H59" s="39"/>
      <c r="I59" s="39"/>
      <c r="J59" s="60"/>
      <c r="K59" s="39"/>
      <c r="L59" s="39"/>
      <c r="M59" s="39"/>
      <c r="N59" s="39"/>
      <c r="O59" s="80"/>
      <c r="P59" s="99">
        <f>random_key!A28</f>
        <v>0.6095717857</v>
      </c>
    </row>
    <row r="60">
      <c r="A60" s="80">
        <v>26.0</v>
      </c>
      <c r="B60" s="125" t="s">
        <v>417</v>
      </c>
      <c r="C60" s="125" t="s">
        <v>789</v>
      </c>
      <c r="D60" s="80" t="s">
        <v>418</v>
      </c>
      <c r="E60" s="39" t="s">
        <v>21</v>
      </c>
      <c r="F60" s="39" t="s">
        <v>20</v>
      </c>
      <c r="G60" s="92" t="s">
        <v>22</v>
      </c>
      <c r="H60" s="39"/>
      <c r="I60" s="39"/>
      <c r="J60" s="60"/>
      <c r="K60" s="39"/>
      <c r="L60" s="39"/>
      <c r="M60" s="39"/>
      <c r="N60" s="39"/>
      <c r="O60" s="80"/>
      <c r="P60" s="99">
        <f>random_key!A26</f>
        <v>0.6126845745</v>
      </c>
    </row>
    <row r="61">
      <c r="A61" s="80">
        <v>63.0</v>
      </c>
      <c r="B61" s="125" t="s">
        <v>539</v>
      </c>
      <c r="C61" s="125" t="s">
        <v>823</v>
      </c>
      <c r="D61" s="80" t="s">
        <v>541</v>
      </c>
      <c r="E61" s="39" t="s">
        <v>21</v>
      </c>
      <c r="F61" s="39" t="s">
        <v>31</v>
      </c>
      <c r="G61" s="92" t="s">
        <v>22</v>
      </c>
      <c r="H61" s="39"/>
      <c r="I61" s="39"/>
      <c r="J61" s="60"/>
      <c r="K61" s="39"/>
      <c r="L61" s="39"/>
      <c r="M61" s="39"/>
      <c r="N61" s="39"/>
      <c r="O61" s="80"/>
      <c r="P61" s="99">
        <f>random_key!A63</f>
        <v>0.6156882262</v>
      </c>
    </row>
    <row r="62">
      <c r="A62" s="80">
        <v>65.0</v>
      </c>
      <c r="B62" s="125" t="s">
        <v>545</v>
      </c>
      <c r="C62" s="125" t="s">
        <v>824</v>
      </c>
      <c r="D62" s="80" t="s">
        <v>64</v>
      </c>
      <c r="E62" s="39" t="s">
        <v>21</v>
      </c>
      <c r="F62" s="39" t="s">
        <v>26</v>
      </c>
      <c r="G62" s="92" t="s">
        <v>22</v>
      </c>
      <c r="H62" s="39"/>
      <c r="I62" s="39"/>
      <c r="J62" s="60"/>
      <c r="K62" s="39"/>
      <c r="L62" s="39"/>
      <c r="M62" s="39"/>
      <c r="N62" s="39"/>
      <c r="O62" s="80"/>
      <c r="P62" s="99">
        <f>random_key!A65</f>
        <v>0.6172641741</v>
      </c>
    </row>
    <row r="63">
      <c r="A63" s="80">
        <v>50.0</v>
      </c>
      <c r="B63" s="125" t="s">
        <v>497</v>
      </c>
      <c r="C63" s="125" t="s">
        <v>814</v>
      </c>
      <c r="D63" s="80" t="s">
        <v>499</v>
      </c>
      <c r="E63" s="39" t="s">
        <v>21</v>
      </c>
      <c r="F63" s="39" t="s">
        <v>20</v>
      </c>
      <c r="G63" s="92" t="s">
        <v>22</v>
      </c>
      <c r="H63" s="39"/>
      <c r="I63" s="39"/>
      <c r="J63" s="60"/>
      <c r="K63" s="39"/>
      <c r="L63" s="39"/>
      <c r="M63" s="39"/>
      <c r="N63" s="39"/>
      <c r="O63" s="80"/>
      <c r="P63" s="99">
        <f>random_key!A50</f>
        <v>0.6196514827</v>
      </c>
    </row>
    <row r="64">
      <c r="A64" s="80">
        <v>35.0</v>
      </c>
      <c r="B64" s="125" t="s">
        <v>445</v>
      </c>
      <c r="C64" s="125" t="s">
        <v>801</v>
      </c>
      <c r="D64" s="80" t="s">
        <v>447</v>
      </c>
      <c r="E64" s="39" t="s">
        <v>21</v>
      </c>
      <c r="F64" s="39" t="s">
        <v>20</v>
      </c>
      <c r="G64" s="92"/>
      <c r="H64" s="39" t="s">
        <v>22</v>
      </c>
      <c r="I64" s="39"/>
      <c r="J64" s="60"/>
      <c r="K64" s="39"/>
      <c r="L64" s="39"/>
      <c r="M64" s="39"/>
      <c r="N64" s="39"/>
      <c r="O64" s="80"/>
      <c r="P64" s="99">
        <f>random_key!A35</f>
        <v>0.6326865327</v>
      </c>
    </row>
    <row r="65">
      <c r="A65" s="80">
        <v>53.0</v>
      </c>
      <c r="B65" s="125" t="s">
        <v>508</v>
      </c>
      <c r="C65" s="125" t="s">
        <v>816</v>
      </c>
      <c r="D65" s="80" t="s">
        <v>510</v>
      </c>
      <c r="E65" s="39" t="s">
        <v>21</v>
      </c>
      <c r="F65" s="39" t="s">
        <v>20</v>
      </c>
      <c r="G65" s="92" t="s">
        <v>22</v>
      </c>
      <c r="H65" s="39"/>
      <c r="I65" s="39"/>
      <c r="J65" s="60"/>
      <c r="K65" s="39"/>
      <c r="L65" s="39"/>
      <c r="M65" s="39"/>
      <c r="N65" s="39"/>
      <c r="O65" s="80"/>
      <c r="P65" s="99">
        <f>random_key!A53</f>
        <v>0.6338566744</v>
      </c>
    </row>
    <row r="66">
      <c r="A66" s="80">
        <v>66.0</v>
      </c>
      <c r="B66" s="125" t="s">
        <v>547</v>
      </c>
      <c r="C66" s="125" t="s">
        <v>790</v>
      </c>
      <c r="D66" s="80" t="s">
        <v>548</v>
      </c>
      <c r="E66" s="39" t="s">
        <v>21</v>
      </c>
      <c r="F66" s="39" t="s">
        <v>20</v>
      </c>
      <c r="G66" s="92" t="s">
        <v>22</v>
      </c>
      <c r="H66" s="39"/>
      <c r="I66" s="39"/>
      <c r="J66" s="60"/>
      <c r="K66" s="39"/>
      <c r="L66" s="39"/>
      <c r="M66" s="39"/>
      <c r="N66" s="39"/>
      <c r="O66" s="80"/>
      <c r="P66" s="99">
        <f>random_key!A66</f>
        <v>0.6338980481</v>
      </c>
    </row>
    <row r="67">
      <c r="A67" s="80">
        <v>69.0</v>
      </c>
      <c r="B67" s="125" t="s">
        <v>557</v>
      </c>
      <c r="C67" s="125" t="s">
        <v>814</v>
      </c>
      <c r="D67" s="80" t="s">
        <v>558</v>
      </c>
      <c r="E67" s="39" t="s">
        <v>21</v>
      </c>
      <c r="F67" s="39" t="s">
        <v>31</v>
      </c>
      <c r="G67" s="92" t="s">
        <v>22</v>
      </c>
      <c r="H67" s="39"/>
      <c r="I67" s="39"/>
      <c r="J67" s="60"/>
      <c r="K67" s="39"/>
      <c r="L67" s="39"/>
      <c r="M67" s="39"/>
      <c r="N67" s="39"/>
      <c r="O67" s="80"/>
      <c r="P67" s="99">
        <f>random_key!A69</f>
        <v>0.6380938099</v>
      </c>
    </row>
    <row r="68">
      <c r="A68" s="80">
        <v>75.0</v>
      </c>
      <c r="B68" s="125" t="s">
        <v>575</v>
      </c>
      <c r="C68" s="125" t="s">
        <v>831</v>
      </c>
      <c r="D68" s="80" t="s">
        <v>577</v>
      </c>
      <c r="E68" s="39" t="s">
        <v>351</v>
      </c>
      <c r="F68" s="39" t="s">
        <v>21</v>
      </c>
      <c r="G68" s="92" t="s">
        <v>22</v>
      </c>
      <c r="H68" s="39"/>
      <c r="I68" s="39"/>
      <c r="J68" s="60"/>
      <c r="K68" s="39"/>
      <c r="L68" s="39" t="s">
        <v>22</v>
      </c>
      <c r="M68" s="39"/>
      <c r="N68" s="39"/>
      <c r="O68" s="80"/>
      <c r="P68" s="99">
        <f>random_key!A75</f>
        <v>0.647923742</v>
      </c>
    </row>
    <row r="69">
      <c r="A69" s="80">
        <v>58.0</v>
      </c>
      <c r="B69" s="125" t="s">
        <v>525</v>
      </c>
      <c r="C69" s="125" t="s">
        <v>776</v>
      </c>
      <c r="D69" s="80" t="s">
        <v>370</v>
      </c>
      <c r="E69" s="39" t="s">
        <v>351</v>
      </c>
      <c r="F69" s="39" t="s">
        <v>21</v>
      </c>
      <c r="G69" s="92"/>
      <c r="H69" s="39" t="s">
        <v>22</v>
      </c>
      <c r="I69" s="39"/>
      <c r="J69" s="60"/>
      <c r="K69" s="39"/>
      <c r="L69" s="39"/>
      <c r="M69" s="39"/>
      <c r="N69" s="39"/>
      <c r="O69" s="80"/>
      <c r="P69" s="99">
        <f>random_key!A58</f>
        <v>0.6700016504</v>
      </c>
    </row>
    <row r="70">
      <c r="A70" s="80">
        <v>12.0</v>
      </c>
      <c r="B70" s="125" t="s">
        <v>368</v>
      </c>
      <c r="C70" s="125" t="s">
        <v>774</v>
      </c>
      <c r="D70" s="80" t="s">
        <v>370</v>
      </c>
      <c r="E70" s="39" t="s">
        <v>351</v>
      </c>
      <c r="F70" s="39" t="s">
        <v>21</v>
      </c>
      <c r="G70" s="92"/>
      <c r="H70" s="39" t="s">
        <v>22</v>
      </c>
      <c r="I70" s="39"/>
      <c r="J70" s="60"/>
      <c r="K70" s="39"/>
      <c r="L70" s="39"/>
      <c r="M70" s="39"/>
      <c r="N70" s="39"/>
      <c r="O70" s="80"/>
      <c r="P70" s="99">
        <f>random_key!A12</f>
        <v>0.6836740545</v>
      </c>
    </row>
    <row r="71">
      <c r="A71" s="80">
        <v>10.0</v>
      </c>
      <c r="B71" s="125" t="s">
        <v>371</v>
      </c>
      <c r="C71" s="125" t="s">
        <v>775</v>
      </c>
      <c r="D71" s="80" t="s">
        <v>373</v>
      </c>
      <c r="E71" s="39" t="s">
        <v>351</v>
      </c>
      <c r="F71" s="39" t="s">
        <v>21</v>
      </c>
      <c r="G71" s="92"/>
      <c r="H71" s="39" t="s">
        <v>22</v>
      </c>
      <c r="I71" s="39"/>
      <c r="J71" s="60"/>
      <c r="K71" s="39"/>
      <c r="L71" s="39"/>
      <c r="M71" s="39"/>
      <c r="N71" s="39"/>
      <c r="O71" s="80"/>
      <c r="P71" s="99">
        <f>random_key!A10</f>
        <v>0.6919815096</v>
      </c>
    </row>
    <row r="72">
      <c r="A72" s="80">
        <v>39.0</v>
      </c>
      <c r="B72" s="125" t="s">
        <v>460</v>
      </c>
      <c r="C72" s="125" t="s">
        <v>805</v>
      </c>
      <c r="D72" s="80" t="s">
        <v>462</v>
      </c>
      <c r="E72" s="39" t="s">
        <v>351</v>
      </c>
      <c r="F72" s="39" t="s">
        <v>21</v>
      </c>
      <c r="G72" s="92" t="s">
        <v>22</v>
      </c>
      <c r="H72" s="39"/>
      <c r="I72" s="39"/>
      <c r="J72" s="60"/>
      <c r="K72" s="39"/>
      <c r="L72" s="39" t="s">
        <v>22</v>
      </c>
      <c r="M72" s="39"/>
      <c r="N72" s="39"/>
      <c r="O72" s="80"/>
      <c r="P72" s="99">
        <f>random_key!A39</f>
        <v>0.695756292</v>
      </c>
    </row>
    <row r="73">
      <c r="A73" s="80">
        <v>70.0</v>
      </c>
      <c r="B73" s="125" t="s">
        <v>560</v>
      </c>
      <c r="C73" s="125" t="s">
        <v>786</v>
      </c>
      <c r="D73" s="80" t="s">
        <v>561</v>
      </c>
      <c r="E73" s="39" t="s">
        <v>21</v>
      </c>
      <c r="F73" s="39" t="s">
        <v>31</v>
      </c>
      <c r="G73" s="92" t="s">
        <v>22</v>
      </c>
      <c r="H73" s="39"/>
      <c r="I73" s="39"/>
      <c r="J73" s="60"/>
      <c r="K73" s="39"/>
      <c r="L73" s="39"/>
      <c r="M73" s="39"/>
      <c r="N73" s="39"/>
      <c r="O73" s="80"/>
      <c r="P73" s="99">
        <f>random_key!A70</f>
        <v>0.7004230169</v>
      </c>
    </row>
    <row r="74">
      <c r="A74" s="80">
        <v>30.0</v>
      </c>
      <c r="B74" s="125" t="s">
        <v>431</v>
      </c>
      <c r="C74" s="125" t="s">
        <v>795</v>
      </c>
      <c r="D74" s="80" t="s">
        <v>95</v>
      </c>
      <c r="E74" s="39" t="s">
        <v>21</v>
      </c>
      <c r="F74" s="39" t="s">
        <v>20</v>
      </c>
      <c r="G74" s="92"/>
      <c r="H74" s="39" t="s">
        <v>22</v>
      </c>
      <c r="I74" s="39"/>
      <c r="J74" s="60"/>
      <c r="K74" s="39"/>
      <c r="L74" s="39"/>
      <c r="M74" s="39"/>
      <c r="N74" s="39"/>
      <c r="O74" s="80"/>
      <c r="P74" s="99">
        <f>random_key!A30</f>
        <v>0.723421083</v>
      </c>
    </row>
    <row r="75">
      <c r="A75" s="80">
        <v>90.0</v>
      </c>
      <c r="B75" s="125" t="s">
        <v>629</v>
      </c>
      <c r="C75" s="125" t="s">
        <v>844</v>
      </c>
      <c r="D75" s="80" t="s">
        <v>631</v>
      </c>
      <c r="E75" s="39" t="s">
        <v>351</v>
      </c>
      <c r="F75" s="39" t="s">
        <v>21</v>
      </c>
      <c r="G75" s="92"/>
      <c r="H75" s="39" t="s">
        <v>22</v>
      </c>
      <c r="I75" s="39"/>
      <c r="J75" s="60"/>
      <c r="K75" s="39"/>
      <c r="L75" s="39"/>
      <c r="M75" s="39"/>
      <c r="N75" s="39"/>
      <c r="O75" s="80"/>
      <c r="P75" s="99">
        <f>random_key!A90</f>
        <v>0.727142934</v>
      </c>
    </row>
    <row r="76">
      <c r="A76" s="80">
        <v>74.0</v>
      </c>
      <c r="B76" s="125" t="s">
        <v>571</v>
      </c>
      <c r="C76" s="125" t="s">
        <v>830</v>
      </c>
      <c r="D76" s="80" t="s">
        <v>573</v>
      </c>
      <c r="E76" s="39" t="s">
        <v>351</v>
      </c>
      <c r="F76" s="39" t="s">
        <v>21</v>
      </c>
      <c r="G76" s="92" t="s">
        <v>22</v>
      </c>
      <c r="H76" s="39"/>
      <c r="I76" s="39"/>
      <c r="J76" s="60"/>
      <c r="K76" s="39"/>
      <c r="L76" s="39"/>
      <c r="M76" s="39"/>
      <c r="N76" s="39"/>
      <c r="O76" s="80"/>
      <c r="P76" s="99">
        <f>random_key!A74</f>
        <v>0.7435089948</v>
      </c>
    </row>
    <row r="77">
      <c r="A77" s="80">
        <v>62.0</v>
      </c>
      <c r="B77" s="125" t="s">
        <v>536</v>
      </c>
      <c r="C77" s="125" t="s">
        <v>822</v>
      </c>
      <c r="D77" s="80" t="s">
        <v>538</v>
      </c>
      <c r="E77" s="39" t="s">
        <v>351</v>
      </c>
      <c r="F77" s="39" t="s">
        <v>21</v>
      </c>
      <c r="G77" s="92"/>
      <c r="H77" s="39" t="s">
        <v>22</v>
      </c>
      <c r="I77" s="39"/>
      <c r="J77" s="60"/>
      <c r="K77" s="39"/>
      <c r="L77" s="39"/>
      <c r="M77" s="39"/>
      <c r="N77" s="39"/>
      <c r="O77" s="80"/>
      <c r="P77" s="99">
        <f>random_key!A62</f>
        <v>0.7471633311</v>
      </c>
    </row>
    <row r="78">
      <c r="A78" s="80">
        <v>23.0</v>
      </c>
      <c r="B78" s="125" t="s">
        <v>408</v>
      </c>
      <c r="C78" s="125" t="s">
        <v>788</v>
      </c>
      <c r="D78" s="80" t="s">
        <v>410</v>
      </c>
      <c r="E78" s="39" t="s">
        <v>21</v>
      </c>
      <c r="F78" s="39" t="s">
        <v>31</v>
      </c>
      <c r="G78" s="92" t="s">
        <v>22</v>
      </c>
      <c r="H78" s="39"/>
      <c r="I78" s="39"/>
      <c r="J78" s="60"/>
      <c r="K78" s="39"/>
      <c r="L78" s="39"/>
      <c r="M78" s="39"/>
      <c r="N78" s="39"/>
      <c r="O78" s="80"/>
      <c r="P78" s="99">
        <f>random_key!A23</f>
        <v>0.7541920884</v>
      </c>
    </row>
    <row r="79">
      <c r="A79" s="80">
        <v>55.0</v>
      </c>
      <c r="B79" s="125" t="s">
        <v>513</v>
      </c>
      <c r="C79" s="125" t="s">
        <v>789</v>
      </c>
      <c r="D79" s="80" t="s">
        <v>515</v>
      </c>
      <c r="E79" s="39" t="s">
        <v>351</v>
      </c>
      <c r="F79" s="39" t="s">
        <v>21</v>
      </c>
      <c r="G79" s="92" t="s">
        <v>22</v>
      </c>
      <c r="H79" s="39"/>
      <c r="I79" s="39"/>
      <c r="J79" s="60"/>
      <c r="K79" s="39"/>
      <c r="L79" s="39" t="s">
        <v>22</v>
      </c>
      <c r="M79" s="39"/>
      <c r="N79" s="39"/>
      <c r="O79" s="80"/>
      <c r="P79" s="99">
        <f>random_key!A55</f>
        <v>0.7605468318</v>
      </c>
    </row>
    <row r="80">
      <c r="A80" s="80">
        <v>4.0</v>
      </c>
      <c r="B80" s="125" t="s">
        <v>356</v>
      </c>
      <c r="C80" s="125" t="s">
        <v>770</v>
      </c>
      <c r="D80" s="80" t="s">
        <v>358</v>
      </c>
      <c r="E80" s="39" t="s">
        <v>351</v>
      </c>
      <c r="F80" s="39" t="s">
        <v>21</v>
      </c>
      <c r="G80" s="92"/>
      <c r="H80" s="39" t="s">
        <v>22</v>
      </c>
      <c r="I80" s="39"/>
      <c r="J80" s="60"/>
      <c r="K80" s="39"/>
      <c r="L80" s="39"/>
      <c r="M80" s="39"/>
      <c r="N80" s="39"/>
      <c r="O80" s="80"/>
      <c r="P80" s="99">
        <f>random_key!A4</f>
        <v>0.7622668932</v>
      </c>
    </row>
    <row r="81">
      <c r="A81" s="80">
        <v>22.0</v>
      </c>
      <c r="B81" s="125" t="s">
        <v>406</v>
      </c>
      <c r="C81" s="125" t="s">
        <v>786</v>
      </c>
      <c r="D81" s="80" t="s">
        <v>114</v>
      </c>
      <c r="E81" s="39" t="s">
        <v>21</v>
      </c>
      <c r="F81" s="39" t="s">
        <v>31</v>
      </c>
      <c r="G81" s="92" t="s">
        <v>22</v>
      </c>
      <c r="H81" s="39"/>
      <c r="I81" s="39"/>
      <c r="J81" s="60"/>
      <c r="K81" s="39"/>
      <c r="L81" s="39"/>
      <c r="M81" s="39"/>
      <c r="N81" s="39"/>
      <c r="O81" s="80"/>
      <c r="P81" s="99">
        <f>random_key!A22</f>
        <v>0.7884075586</v>
      </c>
    </row>
    <row r="82">
      <c r="A82" s="80">
        <v>84.0</v>
      </c>
      <c r="B82" s="125" t="s">
        <v>605</v>
      </c>
      <c r="C82" s="125" t="s">
        <v>838</v>
      </c>
      <c r="D82" s="80" t="s">
        <v>607</v>
      </c>
      <c r="E82" s="39" t="s">
        <v>351</v>
      </c>
      <c r="F82" s="39" t="s">
        <v>21</v>
      </c>
      <c r="G82" s="92"/>
      <c r="H82" s="39" t="s">
        <v>22</v>
      </c>
      <c r="I82" s="39"/>
      <c r="J82" s="60"/>
      <c r="K82" s="39"/>
      <c r="L82" s="39"/>
      <c r="M82" s="39"/>
      <c r="N82" s="39"/>
      <c r="O82" s="80"/>
      <c r="P82" s="99">
        <f>random_key!A84</f>
        <v>0.7958894172</v>
      </c>
    </row>
    <row r="83">
      <c r="A83" s="80">
        <v>51.0</v>
      </c>
      <c r="B83" s="125" t="s">
        <v>501</v>
      </c>
      <c r="C83" s="125" t="s">
        <v>815</v>
      </c>
      <c r="D83" s="80" t="s">
        <v>503</v>
      </c>
      <c r="E83" s="39" t="s">
        <v>21</v>
      </c>
      <c r="F83" s="39" t="s">
        <v>31</v>
      </c>
      <c r="G83" s="92" t="s">
        <v>22</v>
      </c>
      <c r="H83" s="39"/>
      <c r="I83" s="39"/>
      <c r="J83" s="60"/>
      <c r="K83" s="39"/>
      <c r="L83" s="39"/>
      <c r="M83" s="39"/>
      <c r="N83" s="39"/>
      <c r="O83" s="80"/>
      <c r="P83" s="99">
        <f>random_key!A51</f>
        <v>0.799996192</v>
      </c>
    </row>
    <row r="84">
      <c r="A84" s="80">
        <v>68.0</v>
      </c>
      <c r="B84" s="125" t="s">
        <v>554</v>
      </c>
      <c r="C84" s="125" t="s">
        <v>826</v>
      </c>
      <c r="D84" s="80" t="s">
        <v>556</v>
      </c>
      <c r="E84" s="39" t="s">
        <v>351</v>
      </c>
      <c r="F84" s="39" t="s">
        <v>21</v>
      </c>
      <c r="G84" s="92"/>
      <c r="H84" s="39" t="s">
        <v>22</v>
      </c>
      <c r="I84" s="39"/>
      <c r="J84" s="60"/>
      <c r="K84" s="39"/>
      <c r="L84" s="39"/>
      <c r="M84" s="39"/>
      <c r="N84" s="39"/>
      <c r="O84" s="80"/>
      <c r="P84" s="99">
        <f>random_key!A68</f>
        <v>0.8182745013</v>
      </c>
    </row>
    <row r="85">
      <c r="A85" s="80">
        <v>43.0</v>
      </c>
      <c r="B85" s="125" t="s">
        <v>473</v>
      </c>
      <c r="C85" s="125" t="s">
        <v>809</v>
      </c>
      <c r="D85" s="80" t="s">
        <v>475</v>
      </c>
      <c r="E85" s="39" t="s">
        <v>21</v>
      </c>
      <c r="F85" s="39" t="s">
        <v>20</v>
      </c>
      <c r="G85" s="92"/>
      <c r="H85" s="39"/>
      <c r="I85" s="39" t="s">
        <v>22</v>
      </c>
      <c r="J85" s="60"/>
      <c r="K85" s="39"/>
      <c r="L85" s="39" t="s">
        <v>22</v>
      </c>
      <c r="M85" s="39"/>
      <c r="N85" s="39" t="s">
        <v>22</v>
      </c>
      <c r="O85" s="80"/>
      <c r="P85" s="99">
        <f>random_key!A43</f>
        <v>0.8376744095</v>
      </c>
    </row>
    <row r="86">
      <c r="A86" s="80">
        <v>89.0</v>
      </c>
      <c r="B86" s="125" t="s">
        <v>625</v>
      </c>
      <c r="C86" s="125" t="s">
        <v>843</v>
      </c>
      <c r="D86" s="80" t="s">
        <v>627</v>
      </c>
      <c r="E86" s="39" t="s">
        <v>351</v>
      </c>
      <c r="F86" s="39" t="s">
        <v>21</v>
      </c>
      <c r="G86" s="92"/>
      <c r="H86" s="39" t="s">
        <v>22</v>
      </c>
      <c r="I86" s="39"/>
      <c r="J86" s="60"/>
      <c r="K86" s="39"/>
      <c r="L86" s="39"/>
      <c r="M86" s="39"/>
      <c r="N86" s="39"/>
      <c r="O86" s="80"/>
      <c r="P86" s="99">
        <f>random_key!A89</f>
        <v>0.8543904858</v>
      </c>
    </row>
    <row r="87">
      <c r="A87" s="80">
        <v>40.0</v>
      </c>
      <c r="B87" s="125" t="s">
        <v>464</v>
      </c>
      <c r="C87" s="125" t="s">
        <v>806</v>
      </c>
      <c r="D87" s="80" t="s">
        <v>466</v>
      </c>
      <c r="E87" s="39" t="s">
        <v>21</v>
      </c>
      <c r="F87" s="39" t="s">
        <v>31</v>
      </c>
      <c r="G87" s="92" t="s">
        <v>22</v>
      </c>
      <c r="H87" s="39"/>
      <c r="I87" s="39"/>
      <c r="J87" s="60"/>
      <c r="K87" s="39"/>
      <c r="L87" s="39"/>
      <c r="M87" s="39"/>
      <c r="N87" s="39"/>
      <c r="O87" s="80"/>
      <c r="P87" s="99">
        <f>random_key!A40</f>
        <v>0.8587903714</v>
      </c>
    </row>
    <row r="88">
      <c r="A88" s="80">
        <v>67.0</v>
      </c>
      <c r="B88" s="125" t="s">
        <v>550</v>
      </c>
      <c r="C88" s="125" t="s">
        <v>825</v>
      </c>
      <c r="D88" s="80" t="s">
        <v>552</v>
      </c>
      <c r="E88" s="39" t="s">
        <v>351</v>
      </c>
      <c r="F88" s="39" t="s">
        <v>21</v>
      </c>
      <c r="G88" s="92"/>
      <c r="H88" s="39" t="s">
        <v>22</v>
      </c>
      <c r="I88" s="39"/>
      <c r="J88" s="60"/>
      <c r="K88" s="39"/>
      <c r="L88" s="39"/>
      <c r="M88" s="39"/>
      <c r="N88" s="39"/>
      <c r="O88" s="80"/>
      <c r="P88" s="99">
        <f>random_key!A67</f>
        <v>0.8642436393</v>
      </c>
    </row>
    <row r="89">
      <c r="A89" s="80">
        <v>86.0</v>
      </c>
      <c r="B89" s="125" t="s">
        <v>613</v>
      </c>
      <c r="C89" s="125" t="s">
        <v>840</v>
      </c>
      <c r="D89" s="80" t="s">
        <v>615</v>
      </c>
      <c r="E89" s="39" t="s">
        <v>351</v>
      </c>
      <c r="F89" s="39" t="s">
        <v>21</v>
      </c>
      <c r="G89" s="92" t="s">
        <v>22</v>
      </c>
      <c r="H89" s="39"/>
      <c r="I89" s="39"/>
      <c r="J89" s="60"/>
      <c r="K89" s="39"/>
      <c r="L89" s="39"/>
      <c r="M89" s="39"/>
      <c r="N89" s="39"/>
      <c r="O89" s="80"/>
      <c r="P89" s="99">
        <f>random_key!A86</f>
        <v>0.8755905375</v>
      </c>
    </row>
    <row r="90">
      <c r="A90" s="80">
        <v>72.0</v>
      </c>
      <c r="B90" s="125" t="s">
        <v>565</v>
      </c>
      <c r="C90" s="125" t="s">
        <v>828</v>
      </c>
      <c r="D90" s="80" t="s">
        <v>209</v>
      </c>
      <c r="E90" s="39" t="s">
        <v>21</v>
      </c>
      <c r="F90" s="39" t="s">
        <v>31</v>
      </c>
      <c r="G90" s="92" t="s">
        <v>22</v>
      </c>
      <c r="H90" s="39"/>
      <c r="I90" s="39"/>
      <c r="J90" s="60"/>
      <c r="K90" s="39"/>
      <c r="L90" s="39"/>
      <c r="M90" s="39"/>
      <c r="N90" s="39"/>
      <c r="O90" s="80"/>
      <c r="P90" s="99">
        <f>random_key!A72</f>
        <v>0.8871378581</v>
      </c>
    </row>
    <row r="91">
      <c r="A91" s="80">
        <v>80.0</v>
      </c>
      <c r="B91" s="125" t="s">
        <v>592</v>
      </c>
      <c r="C91" s="125" t="s">
        <v>819</v>
      </c>
      <c r="D91" s="80" t="s">
        <v>593</v>
      </c>
      <c r="E91" s="39" t="s">
        <v>351</v>
      </c>
      <c r="F91" s="39" t="s">
        <v>21</v>
      </c>
      <c r="G91" s="92"/>
      <c r="H91" s="39" t="s">
        <v>22</v>
      </c>
      <c r="I91" s="39"/>
      <c r="J91" s="60"/>
      <c r="K91" s="39"/>
      <c r="L91" s="39"/>
      <c r="M91" s="39"/>
      <c r="N91" s="39"/>
      <c r="O91" s="80"/>
      <c r="P91" s="99">
        <f>random_key!A80</f>
        <v>0.89023684</v>
      </c>
    </row>
    <row r="92">
      <c r="A92" s="80">
        <v>61.0</v>
      </c>
      <c r="B92" s="125" t="s">
        <v>532</v>
      </c>
      <c r="C92" s="125" t="s">
        <v>821</v>
      </c>
      <c r="D92" s="80" t="s">
        <v>534</v>
      </c>
      <c r="E92" s="39" t="s">
        <v>21</v>
      </c>
      <c r="F92" s="39" t="s">
        <v>26</v>
      </c>
      <c r="G92" s="92"/>
      <c r="H92" s="39" t="s">
        <v>22</v>
      </c>
      <c r="I92" s="39"/>
      <c r="J92" s="60"/>
      <c r="K92" s="39"/>
      <c r="L92" s="39"/>
      <c r="M92" s="39"/>
      <c r="N92" s="39"/>
      <c r="O92" s="80"/>
      <c r="P92" s="99">
        <f>random_key!A61</f>
        <v>0.8920769635</v>
      </c>
    </row>
    <row r="93">
      <c r="A93" s="80">
        <v>48.0</v>
      </c>
      <c r="B93" s="125" t="s">
        <v>491</v>
      </c>
      <c r="C93" s="125" t="s">
        <v>767</v>
      </c>
      <c r="D93" s="80" t="s">
        <v>492</v>
      </c>
      <c r="E93" s="39" t="s">
        <v>351</v>
      </c>
      <c r="F93" s="39" t="s">
        <v>21</v>
      </c>
      <c r="G93" s="92"/>
      <c r="H93" s="39" t="s">
        <v>22</v>
      </c>
      <c r="I93" s="39"/>
      <c r="J93" s="60"/>
      <c r="K93" s="39"/>
      <c r="L93" s="39"/>
      <c r="M93" s="39"/>
      <c r="N93" s="39"/>
      <c r="O93" s="80"/>
      <c r="P93" s="99">
        <f>random_key!A48</f>
        <v>0.9080452284</v>
      </c>
    </row>
    <row r="94">
      <c r="A94" s="80">
        <v>77.0</v>
      </c>
      <c r="B94" s="125" t="s">
        <v>581</v>
      </c>
      <c r="C94" s="125" t="s">
        <v>772</v>
      </c>
      <c r="D94" s="80" t="s">
        <v>582</v>
      </c>
      <c r="E94" s="39" t="s">
        <v>21</v>
      </c>
      <c r="F94" s="39" t="s">
        <v>20</v>
      </c>
      <c r="G94" s="92" t="s">
        <v>22</v>
      </c>
      <c r="H94" s="39"/>
      <c r="I94" s="39"/>
      <c r="J94" s="60"/>
      <c r="K94" s="39"/>
      <c r="L94" s="39"/>
      <c r="M94" s="39"/>
      <c r="N94" s="39"/>
      <c r="O94" s="80"/>
      <c r="P94" s="99">
        <f>random_key!A77</f>
        <v>0.9113679883</v>
      </c>
    </row>
    <row r="95">
      <c r="A95" s="80">
        <v>64.0</v>
      </c>
      <c r="B95" s="125" t="s">
        <v>542</v>
      </c>
      <c r="C95" s="125" t="s">
        <v>781</v>
      </c>
      <c r="D95" s="80" t="s">
        <v>543</v>
      </c>
      <c r="E95" s="39" t="s">
        <v>351</v>
      </c>
      <c r="F95" s="39" t="s">
        <v>21</v>
      </c>
      <c r="G95" s="92" t="s">
        <v>22</v>
      </c>
      <c r="H95" s="39"/>
      <c r="I95" s="39"/>
      <c r="J95" s="60" t="s">
        <v>22</v>
      </c>
      <c r="K95" s="39"/>
      <c r="L95" s="39"/>
      <c r="M95" s="39"/>
      <c r="N95" s="39"/>
      <c r="O95" s="80"/>
      <c r="P95" s="99">
        <f>random_key!A64</f>
        <v>0.9147453114</v>
      </c>
    </row>
    <row r="96">
      <c r="A96" s="80">
        <v>97.0</v>
      </c>
      <c r="B96" s="125" t="s">
        <v>650</v>
      </c>
      <c r="C96" s="125" t="s">
        <v>849</v>
      </c>
      <c r="D96" s="80" t="s">
        <v>652</v>
      </c>
      <c r="E96" s="39" t="s">
        <v>351</v>
      </c>
      <c r="F96" s="39" t="s">
        <v>21</v>
      </c>
      <c r="G96" s="92"/>
      <c r="H96" s="39" t="s">
        <v>22</v>
      </c>
      <c r="I96" s="39"/>
      <c r="J96" s="60"/>
      <c r="K96" s="39"/>
      <c r="L96" s="39"/>
      <c r="M96" s="39"/>
      <c r="N96" s="39"/>
      <c r="O96" s="80"/>
      <c r="P96" s="99">
        <f>random_key!A97</f>
        <v>0.9230041158</v>
      </c>
    </row>
    <row r="97">
      <c r="A97" s="80">
        <v>96.0</v>
      </c>
      <c r="B97" s="125" t="s">
        <v>649</v>
      </c>
      <c r="C97" s="125" t="s">
        <v>783</v>
      </c>
      <c r="D97" s="80" t="s">
        <v>127</v>
      </c>
      <c r="E97" s="39" t="s">
        <v>21</v>
      </c>
      <c r="F97" s="39" t="s">
        <v>20</v>
      </c>
      <c r="G97" s="92" t="s">
        <v>22</v>
      </c>
      <c r="H97" s="39"/>
      <c r="I97" s="39"/>
      <c r="J97" s="60"/>
      <c r="K97" s="39"/>
      <c r="L97" s="39"/>
      <c r="M97" s="39"/>
      <c r="N97" s="39"/>
      <c r="O97" s="80"/>
      <c r="P97" s="99">
        <f>random_key!A96</f>
        <v>0.92778417</v>
      </c>
    </row>
    <row r="98">
      <c r="A98" s="80">
        <v>94.0</v>
      </c>
      <c r="B98" s="125" t="s">
        <v>641</v>
      </c>
      <c r="C98" s="125" t="s">
        <v>846</v>
      </c>
      <c r="D98" s="80" t="s">
        <v>643</v>
      </c>
      <c r="E98" s="39" t="s">
        <v>21</v>
      </c>
      <c r="F98" s="39" t="s">
        <v>20</v>
      </c>
      <c r="G98" s="92" t="s">
        <v>22</v>
      </c>
      <c r="H98" s="39"/>
      <c r="I98" s="39"/>
      <c r="J98" s="60"/>
      <c r="K98" s="39"/>
      <c r="L98" s="39"/>
      <c r="M98" s="39"/>
      <c r="N98" s="39"/>
      <c r="O98" s="80"/>
      <c r="P98" s="99">
        <f>random_key!A94</f>
        <v>0.9413106865</v>
      </c>
    </row>
    <row r="99">
      <c r="A99" s="80">
        <v>93.0</v>
      </c>
      <c r="B99" s="125" t="s">
        <v>638</v>
      </c>
      <c r="C99" s="125" t="s">
        <v>845</v>
      </c>
      <c r="D99" s="80" t="s">
        <v>134</v>
      </c>
      <c r="E99" s="39" t="s">
        <v>351</v>
      </c>
      <c r="F99" s="39" t="s">
        <v>21</v>
      </c>
      <c r="G99" s="92"/>
      <c r="H99" s="39" t="s">
        <v>22</v>
      </c>
      <c r="I99" s="39"/>
      <c r="J99" s="60"/>
      <c r="K99" s="39"/>
      <c r="L99" s="39"/>
      <c r="M99" s="39"/>
      <c r="N99" s="39"/>
      <c r="O99" s="80"/>
      <c r="P99" s="99">
        <f>random_key!A93</f>
        <v>0.9602527706</v>
      </c>
    </row>
    <row r="100">
      <c r="A100" s="80">
        <v>46.0</v>
      </c>
      <c r="B100" s="125" t="s">
        <v>485</v>
      </c>
      <c r="C100" s="125" t="s">
        <v>772</v>
      </c>
      <c r="D100" s="80" t="s">
        <v>486</v>
      </c>
      <c r="E100" s="39" t="s">
        <v>21</v>
      </c>
      <c r="F100" s="39" t="s">
        <v>20</v>
      </c>
      <c r="G100" s="92" t="s">
        <v>22</v>
      </c>
      <c r="H100" s="39"/>
      <c r="I100" s="39"/>
      <c r="J100" s="60"/>
      <c r="K100" s="39"/>
      <c r="L100" s="39"/>
      <c r="M100" s="39"/>
      <c r="N100" s="39"/>
      <c r="O100" s="80"/>
      <c r="P100" s="99">
        <f>random_key!A46</f>
        <v>0.9629101769</v>
      </c>
    </row>
    <row r="101">
      <c r="A101" s="80">
        <v>27.0</v>
      </c>
      <c r="B101" s="125" t="s">
        <v>420</v>
      </c>
      <c r="C101" s="125" t="s">
        <v>791</v>
      </c>
      <c r="D101" s="80" t="s">
        <v>422</v>
      </c>
      <c r="E101" s="39" t="s">
        <v>351</v>
      </c>
      <c r="F101" s="39" t="s">
        <v>21</v>
      </c>
      <c r="G101" s="92" t="s">
        <v>22</v>
      </c>
      <c r="H101" s="39"/>
      <c r="I101" s="39"/>
      <c r="J101" s="60"/>
      <c r="K101" s="39"/>
      <c r="L101" s="39"/>
      <c r="M101" s="39"/>
      <c r="N101" s="39"/>
      <c r="O101" s="80"/>
      <c r="P101" s="99">
        <f>random_key!A27</f>
        <v>0.9854616735</v>
      </c>
    </row>
    <row r="102">
      <c r="A102" s="80">
        <v>3.0</v>
      </c>
      <c r="B102" s="125" t="s">
        <v>352</v>
      </c>
      <c r="C102" s="125" t="s">
        <v>769</v>
      </c>
      <c r="D102" s="80" t="s">
        <v>354</v>
      </c>
      <c r="E102" s="39" t="s">
        <v>351</v>
      </c>
      <c r="F102" s="39" t="s">
        <v>21</v>
      </c>
      <c r="G102" s="92" t="s">
        <v>22</v>
      </c>
      <c r="H102" s="39"/>
      <c r="I102" s="39"/>
      <c r="J102" s="60"/>
      <c r="K102" s="39"/>
      <c r="L102" s="39"/>
      <c r="M102" s="39"/>
      <c r="N102" s="39"/>
      <c r="O102" s="80"/>
      <c r="P102" s="99">
        <f>random_key!A3</f>
        <v>0.9970902728</v>
      </c>
    </row>
    <row r="103">
      <c r="A103" s="87">
        <v>54.0</v>
      </c>
      <c r="B103" s="131" t="s">
        <v>511</v>
      </c>
      <c r="C103" s="131" t="s">
        <v>817</v>
      </c>
      <c r="D103" s="87" t="s">
        <v>80</v>
      </c>
      <c r="E103" s="85" t="s">
        <v>351</v>
      </c>
      <c r="F103" s="85" t="s">
        <v>21</v>
      </c>
      <c r="G103" s="109"/>
      <c r="H103" s="85" t="s">
        <v>22</v>
      </c>
      <c r="I103" s="85"/>
      <c r="J103" s="68"/>
      <c r="K103" s="85"/>
      <c r="L103" s="85"/>
      <c r="M103" s="85"/>
      <c r="N103" s="85"/>
      <c r="O103" s="87"/>
      <c r="P103" s="99">
        <f>random_key!A54</f>
        <v>0.9973993648</v>
      </c>
    </row>
    <row r="104">
      <c r="A104" s="39"/>
      <c r="B104" s="39"/>
      <c r="C104" s="39"/>
      <c r="D104" s="39"/>
      <c r="E104" s="39"/>
      <c r="F104" s="39"/>
      <c r="G104" s="97">
        <f t="shared" ref="G104:N104" si="1">COUNTIF(G4:G103,"x")</f>
        <v>48</v>
      </c>
      <c r="H104" s="39">
        <f t="shared" si="1"/>
        <v>48</v>
      </c>
      <c r="I104" s="39">
        <f t="shared" si="1"/>
        <v>4</v>
      </c>
      <c r="J104" s="97">
        <f t="shared" si="1"/>
        <v>2</v>
      </c>
      <c r="K104" s="39">
        <f t="shared" si="1"/>
        <v>0</v>
      </c>
      <c r="L104" s="97">
        <f t="shared" si="1"/>
        <v>6</v>
      </c>
      <c r="M104" s="97">
        <f t="shared" si="1"/>
        <v>0</v>
      </c>
      <c r="N104" s="39">
        <f t="shared" si="1"/>
        <v>1</v>
      </c>
    </row>
  </sheetData>
  <mergeCells count="3">
    <mergeCell ref="E2:F2"/>
    <mergeCell ref="G2:I2"/>
    <mergeCell ref="J2:N2"/>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3">
        <v>0.6058113928</v>
      </c>
    </row>
    <row r="2">
      <c r="A2" s="143">
        <v>0.3018055165</v>
      </c>
    </row>
    <row r="3">
      <c r="A3" s="143">
        <v>0.9970902728</v>
      </c>
    </row>
    <row r="4">
      <c r="A4" s="143">
        <v>0.7622668932</v>
      </c>
    </row>
    <row r="5">
      <c r="A5" s="143">
        <v>0.4200862284</v>
      </c>
    </row>
    <row r="6">
      <c r="A6" s="143">
        <v>0.3538941995</v>
      </c>
    </row>
    <row r="7">
      <c r="A7" s="143">
        <v>0.2005901691</v>
      </c>
    </row>
    <row r="8">
      <c r="A8" s="143">
        <v>0.554984421</v>
      </c>
    </row>
    <row r="9">
      <c r="A9" s="143">
        <v>0.1930796601</v>
      </c>
    </row>
    <row r="10">
      <c r="A10" s="143">
        <v>0.6919815096</v>
      </c>
    </row>
    <row r="11">
      <c r="A11" s="143">
        <v>0.5740921633</v>
      </c>
    </row>
    <row r="12">
      <c r="A12" s="143">
        <v>0.6836740545</v>
      </c>
    </row>
    <row r="13">
      <c r="A13" s="143">
        <v>0.5806079571</v>
      </c>
    </row>
    <row r="14">
      <c r="A14" s="143">
        <v>0.2045792564</v>
      </c>
    </row>
    <row r="15">
      <c r="A15" s="143">
        <v>0.0980610577</v>
      </c>
    </row>
    <row r="16">
      <c r="A16" s="143">
        <v>0.5758198613</v>
      </c>
    </row>
    <row r="17">
      <c r="A17" s="143">
        <v>0.2359531103</v>
      </c>
    </row>
    <row r="18">
      <c r="A18" s="143">
        <v>0.586809022</v>
      </c>
    </row>
    <row r="19">
      <c r="A19" s="143">
        <v>0.2255976227</v>
      </c>
    </row>
    <row r="20">
      <c r="A20" s="143">
        <v>0.2628754448</v>
      </c>
    </row>
    <row r="21">
      <c r="A21" s="143">
        <v>0.4672776255</v>
      </c>
    </row>
    <row r="22">
      <c r="A22" s="143">
        <v>0.7884075586</v>
      </c>
    </row>
    <row r="23">
      <c r="A23" s="143">
        <v>0.7541920884</v>
      </c>
    </row>
    <row r="24">
      <c r="A24" s="143">
        <v>0.0411164938</v>
      </c>
    </row>
    <row r="25">
      <c r="A25" s="143">
        <v>0.3472535053</v>
      </c>
    </row>
    <row r="26">
      <c r="A26" s="143">
        <v>0.6126845745</v>
      </c>
    </row>
    <row r="27">
      <c r="A27" s="143">
        <v>0.9854616735</v>
      </c>
    </row>
    <row r="28">
      <c r="A28" s="143">
        <v>0.6095717857</v>
      </c>
    </row>
    <row r="29">
      <c r="A29" s="143">
        <v>0.2367282546</v>
      </c>
    </row>
    <row r="30">
      <c r="A30" s="143">
        <v>0.723421083</v>
      </c>
    </row>
    <row r="31">
      <c r="A31" s="143">
        <v>0.04729217204</v>
      </c>
    </row>
    <row r="32">
      <c r="A32" s="143">
        <v>0.014775109</v>
      </c>
    </row>
    <row r="33">
      <c r="A33" s="143">
        <v>0.48600759</v>
      </c>
    </row>
    <row r="34">
      <c r="A34" s="143">
        <v>0.00126792185</v>
      </c>
    </row>
    <row r="35">
      <c r="A35" s="143">
        <v>0.6326865327</v>
      </c>
    </row>
    <row r="36">
      <c r="A36" s="143">
        <v>0.1197756392</v>
      </c>
    </row>
    <row r="37">
      <c r="A37" s="143">
        <v>0.2853436585</v>
      </c>
    </row>
    <row r="38">
      <c r="A38" s="143">
        <v>0.5320225834</v>
      </c>
    </row>
    <row r="39">
      <c r="A39" s="143">
        <v>0.695756292</v>
      </c>
    </row>
    <row r="40">
      <c r="A40" s="143">
        <v>0.8587903714</v>
      </c>
    </row>
    <row r="41">
      <c r="A41" s="143">
        <v>0.2504741674</v>
      </c>
    </row>
    <row r="42">
      <c r="A42" s="143">
        <v>0.5062348543</v>
      </c>
    </row>
    <row r="43">
      <c r="A43" s="143">
        <v>0.8376744095</v>
      </c>
    </row>
    <row r="44">
      <c r="A44" s="143">
        <v>0.2390760191</v>
      </c>
    </row>
    <row r="45">
      <c r="A45" s="143">
        <v>0.3495666817</v>
      </c>
    </row>
    <row r="46">
      <c r="A46" s="143">
        <v>0.9629101769</v>
      </c>
    </row>
    <row r="47">
      <c r="A47" s="143">
        <v>0.2140410334</v>
      </c>
    </row>
    <row r="48">
      <c r="A48" s="143">
        <v>0.9080452284</v>
      </c>
    </row>
    <row r="49">
      <c r="A49" s="143">
        <v>0.2046791854</v>
      </c>
    </row>
    <row r="50">
      <c r="A50" s="143">
        <v>0.6196514827</v>
      </c>
    </row>
    <row r="51">
      <c r="A51" s="143">
        <v>0.799996192</v>
      </c>
    </row>
    <row r="52">
      <c r="A52" s="143">
        <v>0.1163449744</v>
      </c>
    </row>
    <row r="53">
      <c r="A53" s="143">
        <v>0.6338566744</v>
      </c>
    </row>
    <row r="54">
      <c r="A54" s="143">
        <v>0.9973993648</v>
      </c>
    </row>
    <row r="55">
      <c r="A55" s="143">
        <v>0.7605468318</v>
      </c>
    </row>
    <row r="56">
      <c r="A56" s="143">
        <v>0.07656247635</v>
      </c>
    </row>
    <row r="57">
      <c r="A57" s="143">
        <v>0.5392406636</v>
      </c>
    </row>
    <row r="58">
      <c r="A58" s="143">
        <v>0.6700016504</v>
      </c>
    </row>
    <row r="59">
      <c r="A59" s="143">
        <v>0.4909575479</v>
      </c>
    </row>
    <row r="60">
      <c r="A60" s="143">
        <v>0.04241728525</v>
      </c>
    </row>
    <row r="61">
      <c r="A61" s="143">
        <v>0.8920769635</v>
      </c>
    </row>
    <row r="62">
      <c r="A62" s="143">
        <v>0.7471633311</v>
      </c>
    </row>
    <row r="63">
      <c r="A63" s="143">
        <v>0.6156882262</v>
      </c>
    </row>
    <row r="64">
      <c r="A64" s="143">
        <v>0.9147453114</v>
      </c>
    </row>
    <row r="65">
      <c r="A65" s="143">
        <v>0.6172641741</v>
      </c>
    </row>
    <row r="66">
      <c r="A66" s="143">
        <v>0.6338980481</v>
      </c>
    </row>
    <row r="67">
      <c r="A67" s="143">
        <v>0.8642436393</v>
      </c>
    </row>
    <row r="68">
      <c r="A68" s="143">
        <v>0.8182745013</v>
      </c>
    </row>
    <row r="69">
      <c r="A69" s="143">
        <v>0.6380938099</v>
      </c>
    </row>
    <row r="70">
      <c r="A70" s="143">
        <v>0.7004230169</v>
      </c>
    </row>
    <row r="71">
      <c r="A71" s="143">
        <v>0.278433439</v>
      </c>
    </row>
    <row r="72">
      <c r="A72" s="143">
        <v>0.8871378581</v>
      </c>
    </row>
    <row r="73">
      <c r="A73" s="143">
        <v>0.2060904439</v>
      </c>
    </row>
    <row r="74">
      <c r="A74" s="143">
        <v>0.7435089948</v>
      </c>
    </row>
    <row r="75">
      <c r="A75" s="143">
        <v>0.647923742</v>
      </c>
    </row>
    <row r="76">
      <c r="A76" s="143">
        <v>0.4472647815</v>
      </c>
    </row>
    <row r="77">
      <c r="A77" s="143">
        <v>0.9113679883</v>
      </c>
    </row>
    <row r="78">
      <c r="A78" s="143">
        <v>0.02361814938</v>
      </c>
    </row>
    <row r="79">
      <c r="A79" s="143">
        <v>0.4195941883</v>
      </c>
    </row>
    <row r="80">
      <c r="A80" s="143">
        <v>0.89023684</v>
      </c>
    </row>
    <row r="81">
      <c r="A81" s="143">
        <v>0.4456763806</v>
      </c>
    </row>
    <row r="82">
      <c r="A82" s="143">
        <v>0.2217316316</v>
      </c>
    </row>
    <row r="83">
      <c r="A83" s="143">
        <v>0.5810969474</v>
      </c>
    </row>
    <row r="84">
      <c r="A84" s="143">
        <v>0.7958894172</v>
      </c>
    </row>
    <row r="85">
      <c r="A85" s="143">
        <v>0.2733204148</v>
      </c>
    </row>
    <row r="86">
      <c r="A86" s="143">
        <v>0.8755905375</v>
      </c>
    </row>
    <row r="87">
      <c r="A87" s="143">
        <v>0.1801476423</v>
      </c>
    </row>
    <row r="88">
      <c r="A88" s="143">
        <v>0.2798860334</v>
      </c>
    </row>
    <row r="89">
      <c r="A89" s="143">
        <v>0.8543904858</v>
      </c>
    </row>
    <row r="90">
      <c r="A90" s="143">
        <v>0.727142934</v>
      </c>
    </row>
    <row r="91">
      <c r="A91" s="143">
        <v>0.208460173</v>
      </c>
    </row>
    <row r="92">
      <c r="A92" s="143">
        <v>0.1176876676</v>
      </c>
    </row>
    <row r="93">
      <c r="A93" s="143">
        <v>0.9602527706</v>
      </c>
    </row>
    <row r="94">
      <c r="A94" s="143">
        <v>0.9413106865</v>
      </c>
    </row>
    <row r="95">
      <c r="A95" s="143">
        <v>0.5528709074</v>
      </c>
    </row>
    <row r="96">
      <c r="A96" s="143">
        <v>0.92778417</v>
      </c>
    </row>
    <row r="97">
      <c r="A97" s="143">
        <v>0.9230041158</v>
      </c>
    </row>
    <row r="98">
      <c r="A98" s="143">
        <v>0.340759892</v>
      </c>
    </row>
    <row r="99">
      <c r="A99" s="143">
        <v>0.5960798585</v>
      </c>
    </row>
    <row r="100">
      <c r="A100" s="143">
        <v>0.5847508866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c r="B1" s="35"/>
      <c r="C1" s="4"/>
      <c r="D1" s="35"/>
      <c r="E1" s="2"/>
      <c r="F1" s="3"/>
      <c r="G1" s="2"/>
      <c r="H1" s="4"/>
      <c r="I1" s="3"/>
      <c r="J1" s="2"/>
      <c r="K1" s="4"/>
      <c r="L1" s="4"/>
      <c r="M1" s="4"/>
      <c r="N1" s="4"/>
      <c r="O1" s="5"/>
      <c r="P1" s="1"/>
      <c r="Q1" s="1"/>
      <c r="R1" s="1"/>
      <c r="S1" s="1"/>
      <c r="T1" s="1"/>
      <c r="U1" s="1"/>
      <c r="V1" s="1"/>
      <c r="W1" s="1"/>
      <c r="X1" s="1"/>
      <c r="Y1" s="1"/>
      <c r="Z1" s="1"/>
    </row>
    <row r="2">
      <c r="A2" s="16"/>
      <c r="B2" s="36" t="s">
        <v>0</v>
      </c>
      <c r="C2" s="6" t="s">
        <v>1</v>
      </c>
      <c r="D2" s="36" t="s">
        <v>2</v>
      </c>
      <c r="E2" s="7" t="s">
        <v>3</v>
      </c>
      <c r="F2" s="8"/>
      <c r="G2" s="7" t="s">
        <v>4</v>
      </c>
      <c r="I2" s="8"/>
      <c r="J2" s="7" t="s">
        <v>5</v>
      </c>
      <c r="O2" s="9"/>
      <c r="P2" s="1"/>
      <c r="Q2" s="1"/>
      <c r="R2" s="1"/>
      <c r="S2" s="1"/>
      <c r="T2" s="1"/>
      <c r="U2" s="1"/>
      <c r="V2" s="1"/>
      <c r="W2" s="1"/>
      <c r="X2" s="1"/>
      <c r="Y2" s="1"/>
      <c r="Z2" s="1"/>
    </row>
    <row r="3">
      <c r="A3" s="37" t="s">
        <v>6</v>
      </c>
      <c r="B3" s="29"/>
      <c r="C3" s="11"/>
      <c r="D3" s="29"/>
      <c r="E3" s="12" t="s">
        <v>7</v>
      </c>
      <c r="F3" s="13" t="s">
        <v>8</v>
      </c>
      <c r="G3" s="12" t="s">
        <v>7</v>
      </c>
      <c r="H3" s="11" t="s">
        <v>8</v>
      </c>
      <c r="I3" s="13" t="s">
        <v>9</v>
      </c>
      <c r="J3" s="12" t="s">
        <v>340</v>
      </c>
      <c r="K3" s="11" t="s">
        <v>341</v>
      </c>
      <c r="L3" s="11" t="s">
        <v>342</v>
      </c>
      <c r="M3" s="11" t="s">
        <v>343</v>
      </c>
      <c r="N3" s="11" t="s">
        <v>344</v>
      </c>
      <c r="O3" s="14" t="s">
        <v>16</v>
      </c>
      <c r="P3" s="1"/>
      <c r="Q3" s="1"/>
      <c r="R3" s="1"/>
      <c r="S3" s="1"/>
      <c r="T3" s="1"/>
      <c r="U3" s="1"/>
      <c r="V3" s="1"/>
      <c r="W3" s="1"/>
      <c r="X3" s="1"/>
      <c r="Y3" s="1"/>
      <c r="Z3" s="1"/>
    </row>
    <row r="4">
      <c r="A4" s="1">
        <v>1.0</v>
      </c>
      <c r="B4" s="24" t="s">
        <v>345</v>
      </c>
      <c r="C4" s="1" t="s">
        <v>346</v>
      </c>
      <c r="D4" s="24" t="s">
        <v>347</v>
      </c>
      <c r="E4" s="16" t="s">
        <v>21</v>
      </c>
      <c r="F4" s="17" t="s">
        <v>31</v>
      </c>
      <c r="G4" s="18" t="s">
        <v>22</v>
      </c>
      <c r="H4" s="1"/>
      <c r="I4" s="17"/>
      <c r="J4" s="18" t="s">
        <v>22</v>
      </c>
      <c r="K4" s="1"/>
      <c r="L4" s="1"/>
      <c r="M4" s="1"/>
      <c r="N4" s="1"/>
      <c r="O4" s="9"/>
      <c r="P4" s="1"/>
      <c r="Q4" s="1"/>
      <c r="R4" s="1"/>
      <c r="S4" s="1"/>
      <c r="T4" s="1"/>
      <c r="U4" s="1"/>
      <c r="V4" s="1"/>
      <c r="W4" s="1"/>
      <c r="X4" s="1"/>
      <c r="Y4" s="1"/>
      <c r="Z4" s="1"/>
    </row>
    <row r="5">
      <c r="A5" s="1">
        <v>2.0</v>
      </c>
      <c r="B5" s="24" t="s">
        <v>348</v>
      </c>
      <c r="C5" s="1" t="s">
        <v>349</v>
      </c>
      <c r="D5" s="24" t="s">
        <v>350</v>
      </c>
      <c r="E5" s="16" t="s">
        <v>351</v>
      </c>
      <c r="F5" s="17" t="s">
        <v>21</v>
      </c>
      <c r="G5" s="18"/>
      <c r="H5" s="1" t="s">
        <v>22</v>
      </c>
      <c r="I5" s="17"/>
      <c r="J5" s="18"/>
      <c r="K5" s="1"/>
      <c r="L5" s="1" t="s">
        <v>22</v>
      </c>
      <c r="M5" s="1"/>
      <c r="N5" s="1"/>
      <c r="O5" s="9"/>
      <c r="P5" s="1"/>
      <c r="Q5" s="1"/>
      <c r="R5" s="1"/>
      <c r="S5" s="1"/>
      <c r="T5" s="1"/>
      <c r="U5" s="1"/>
      <c r="V5" s="1"/>
      <c r="W5" s="1"/>
      <c r="X5" s="1"/>
      <c r="Y5" s="1"/>
      <c r="Z5" s="1"/>
    </row>
    <row r="6">
      <c r="A6" s="1">
        <v>3.0</v>
      </c>
      <c r="B6" s="24" t="s">
        <v>352</v>
      </c>
      <c r="C6" s="1" t="s">
        <v>353</v>
      </c>
      <c r="D6" s="24" t="s">
        <v>354</v>
      </c>
      <c r="E6" s="16" t="s">
        <v>351</v>
      </c>
      <c r="F6" s="17" t="s">
        <v>21</v>
      </c>
      <c r="G6" s="18"/>
      <c r="H6" s="1" t="s">
        <v>22</v>
      </c>
      <c r="I6" s="17"/>
      <c r="J6" s="18"/>
      <c r="K6" s="1"/>
      <c r="L6" s="1"/>
      <c r="M6" s="1"/>
      <c r="N6" s="1"/>
      <c r="O6" s="9" t="s">
        <v>355</v>
      </c>
      <c r="P6" s="1"/>
      <c r="Q6" s="1"/>
      <c r="R6" s="1"/>
      <c r="S6" s="1"/>
      <c r="T6" s="1"/>
      <c r="U6" s="1"/>
      <c r="V6" s="1"/>
      <c r="W6" s="1"/>
      <c r="X6" s="1"/>
      <c r="Y6" s="1"/>
      <c r="Z6" s="1"/>
    </row>
    <row r="7">
      <c r="A7" s="1">
        <v>4.0</v>
      </c>
      <c r="B7" s="24" t="s">
        <v>356</v>
      </c>
      <c r="C7" s="1" t="s">
        <v>357</v>
      </c>
      <c r="D7" s="24" t="s">
        <v>358</v>
      </c>
      <c r="E7" s="16" t="s">
        <v>351</v>
      </c>
      <c r="F7" s="17" t="s">
        <v>21</v>
      </c>
      <c r="G7" s="18"/>
      <c r="H7" s="1" t="s">
        <v>22</v>
      </c>
      <c r="I7" s="17"/>
      <c r="J7" s="18"/>
      <c r="K7" s="1"/>
      <c r="L7" s="1"/>
      <c r="M7" s="1"/>
      <c r="N7" s="1" t="s">
        <v>22</v>
      </c>
      <c r="O7" s="9"/>
      <c r="P7" s="1"/>
      <c r="Q7" s="1"/>
      <c r="R7" s="1"/>
      <c r="S7" s="1"/>
      <c r="T7" s="1"/>
      <c r="U7" s="1"/>
      <c r="V7" s="1"/>
      <c r="W7" s="1"/>
      <c r="X7" s="1"/>
      <c r="Y7" s="1"/>
      <c r="Z7" s="1"/>
    </row>
    <row r="8">
      <c r="A8" s="1">
        <v>5.0</v>
      </c>
      <c r="B8" s="24" t="s">
        <v>359</v>
      </c>
      <c r="C8" s="1" t="s">
        <v>360</v>
      </c>
      <c r="D8" s="24" t="s">
        <v>57</v>
      </c>
      <c r="E8" s="16" t="s">
        <v>351</v>
      </c>
      <c r="F8" s="17" t="s">
        <v>21</v>
      </c>
      <c r="G8" s="18"/>
      <c r="H8" s="1" t="s">
        <v>22</v>
      </c>
      <c r="I8" s="17"/>
      <c r="J8" s="18"/>
      <c r="K8" s="1"/>
      <c r="L8" s="1"/>
      <c r="M8" s="1"/>
      <c r="N8" s="1" t="s">
        <v>22</v>
      </c>
      <c r="O8" s="9"/>
      <c r="P8" s="1"/>
      <c r="Q8" s="1"/>
      <c r="R8" s="1"/>
      <c r="S8" s="1"/>
      <c r="T8" s="1"/>
      <c r="U8" s="1"/>
      <c r="V8" s="1"/>
      <c r="W8" s="1"/>
      <c r="X8" s="1"/>
      <c r="Y8" s="1"/>
      <c r="Z8" s="1"/>
    </row>
    <row r="9">
      <c r="A9" s="1">
        <v>6.0</v>
      </c>
      <c r="B9" s="24" t="s">
        <v>361</v>
      </c>
      <c r="C9" s="1" t="s">
        <v>362</v>
      </c>
      <c r="D9" s="24" t="s">
        <v>347</v>
      </c>
      <c r="E9" s="16" t="s">
        <v>21</v>
      </c>
      <c r="F9" s="17" t="s">
        <v>20</v>
      </c>
      <c r="G9" s="18"/>
      <c r="H9" s="1" t="s">
        <v>22</v>
      </c>
      <c r="I9" s="17"/>
      <c r="J9" s="18"/>
      <c r="K9" s="1"/>
      <c r="L9" s="1"/>
      <c r="M9" s="1" t="s">
        <v>22</v>
      </c>
      <c r="N9" s="1"/>
      <c r="O9" s="9"/>
      <c r="P9" s="1"/>
      <c r="Q9" s="1"/>
      <c r="R9" s="1"/>
      <c r="S9" s="1"/>
      <c r="T9" s="1"/>
      <c r="U9" s="1"/>
      <c r="V9" s="1"/>
      <c r="W9" s="1"/>
      <c r="X9" s="1"/>
      <c r="Y9" s="1"/>
      <c r="Z9" s="1"/>
    </row>
    <row r="10">
      <c r="A10" s="1">
        <v>7.0</v>
      </c>
      <c r="B10" s="24" t="s">
        <v>363</v>
      </c>
      <c r="C10" s="1" t="s">
        <v>346</v>
      </c>
      <c r="D10" s="24" t="s">
        <v>364</v>
      </c>
      <c r="E10" s="16" t="s">
        <v>21</v>
      </c>
      <c r="F10" s="17" t="s">
        <v>31</v>
      </c>
      <c r="G10" s="18" t="s">
        <v>22</v>
      </c>
      <c r="H10" s="1"/>
      <c r="I10" s="17"/>
      <c r="J10" s="18" t="s">
        <v>22</v>
      </c>
      <c r="K10" s="1"/>
      <c r="L10" s="1"/>
      <c r="M10" s="1"/>
      <c r="N10" s="1"/>
      <c r="O10" s="9"/>
      <c r="P10" s="1"/>
      <c r="Q10" s="1"/>
      <c r="R10" s="1"/>
      <c r="S10" s="1"/>
      <c r="T10" s="1"/>
      <c r="U10" s="1"/>
      <c r="V10" s="1"/>
      <c r="W10" s="1"/>
      <c r="X10" s="1"/>
      <c r="Y10" s="1"/>
      <c r="Z10" s="1"/>
    </row>
    <row r="11">
      <c r="A11" s="1">
        <v>8.0</v>
      </c>
      <c r="B11" s="24" t="s">
        <v>365</v>
      </c>
      <c r="C11" s="1" t="s">
        <v>366</v>
      </c>
      <c r="D11" s="24" t="s">
        <v>367</v>
      </c>
      <c r="E11" s="16" t="s">
        <v>351</v>
      </c>
      <c r="F11" s="17" t="s">
        <v>21</v>
      </c>
      <c r="G11" s="18"/>
      <c r="H11" s="1" t="s">
        <v>22</v>
      </c>
      <c r="I11" s="17"/>
      <c r="J11" s="18"/>
      <c r="K11" s="1"/>
      <c r="L11" s="1"/>
      <c r="M11" s="1"/>
      <c r="N11" s="1" t="s">
        <v>22</v>
      </c>
      <c r="O11" s="9"/>
      <c r="P11" s="1"/>
      <c r="Q11" s="1"/>
      <c r="R11" s="1"/>
      <c r="S11" s="1"/>
      <c r="T11" s="1"/>
      <c r="U11" s="1"/>
      <c r="V11" s="1"/>
      <c r="W11" s="1"/>
      <c r="X11" s="1"/>
      <c r="Y11" s="1"/>
      <c r="Z11" s="1"/>
    </row>
    <row r="12">
      <c r="A12" s="1">
        <v>9.0</v>
      </c>
      <c r="B12" s="24" t="s">
        <v>368</v>
      </c>
      <c r="C12" s="1" t="s">
        <v>369</v>
      </c>
      <c r="D12" s="24" t="s">
        <v>370</v>
      </c>
      <c r="E12" s="16" t="s">
        <v>351</v>
      </c>
      <c r="F12" s="17" t="s">
        <v>21</v>
      </c>
      <c r="G12" s="18"/>
      <c r="H12" s="1" t="s">
        <v>22</v>
      </c>
      <c r="I12" s="17"/>
      <c r="J12" s="18"/>
      <c r="K12" s="1"/>
      <c r="L12" s="1"/>
      <c r="M12" s="1"/>
      <c r="N12" s="1" t="s">
        <v>22</v>
      </c>
      <c r="O12" s="9"/>
      <c r="P12" s="1"/>
      <c r="Q12" s="1"/>
      <c r="R12" s="1"/>
      <c r="S12" s="1"/>
      <c r="T12" s="1"/>
      <c r="U12" s="1"/>
      <c r="V12" s="1"/>
      <c r="W12" s="1"/>
      <c r="X12" s="1"/>
      <c r="Y12" s="1"/>
      <c r="Z12" s="1"/>
    </row>
    <row r="13">
      <c r="A13" s="1">
        <v>10.0</v>
      </c>
      <c r="B13" s="24" t="s">
        <v>371</v>
      </c>
      <c r="C13" s="1" t="s">
        <v>372</v>
      </c>
      <c r="D13" s="24" t="s">
        <v>373</v>
      </c>
      <c r="E13" s="16" t="s">
        <v>351</v>
      </c>
      <c r="F13" s="17" t="s">
        <v>21</v>
      </c>
      <c r="G13" s="18"/>
      <c r="H13" s="1" t="s">
        <v>22</v>
      </c>
      <c r="I13" s="17"/>
      <c r="J13" s="18"/>
      <c r="K13" s="1"/>
      <c r="L13" s="1"/>
      <c r="M13" s="1"/>
      <c r="N13" s="1" t="s">
        <v>22</v>
      </c>
      <c r="O13" s="9"/>
      <c r="P13" s="1"/>
      <c r="Q13" s="1"/>
      <c r="R13" s="1"/>
      <c r="S13" s="1"/>
      <c r="T13" s="1"/>
      <c r="U13" s="1"/>
      <c r="V13" s="1"/>
      <c r="W13" s="1"/>
      <c r="X13" s="1"/>
      <c r="Y13" s="1"/>
      <c r="Z13" s="1"/>
    </row>
    <row r="14">
      <c r="A14" s="1">
        <v>11.0</v>
      </c>
      <c r="B14" s="24" t="s">
        <v>374</v>
      </c>
      <c r="C14" s="1" t="s">
        <v>375</v>
      </c>
      <c r="D14" s="24" t="s">
        <v>232</v>
      </c>
      <c r="E14" s="16" t="s">
        <v>21</v>
      </c>
      <c r="F14" s="17" t="s">
        <v>26</v>
      </c>
      <c r="G14" s="18"/>
      <c r="H14" s="1" t="s">
        <v>22</v>
      </c>
      <c r="I14" s="17"/>
      <c r="J14" s="18"/>
      <c r="K14" s="1"/>
      <c r="L14" s="1"/>
      <c r="M14" s="1" t="s">
        <v>22</v>
      </c>
      <c r="N14" s="1"/>
      <c r="O14" s="9" t="s">
        <v>376</v>
      </c>
      <c r="P14" s="1"/>
      <c r="Q14" s="1"/>
      <c r="R14" s="1"/>
      <c r="S14" s="1"/>
      <c r="T14" s="1"/>
      <c r="U14" s="1"/>
      <c r="V14" s="1"/>
      <c r="W14" s="1"/>
      <c r="X14" s="1"/>
      <c r="Y14" s="1"/>
      <c r="Z14" s="1"/>
    </row>
    <row r="15">
      <c r="A15" s="1">
        <v>12.0</v>
      </c>
      <c r="B15" s="24" t="s">
        <v>368</v>
      </c>
      <c r="C15" s="1" t="s">
        <v>369</v>
      </c>
      <c r="D15" s="24" t="s">
        <v>370</v>
      </c>
      <c r="E15" s="16" t="s">
        <v>351</v>
      </c>
      <c r="F15" s="17" t="s">
        <v>21</v>
      </c>
      <c r="G15" s="18"/>
      <c r="H15" s="1" t="s">
        <v>22</v>
      </c>
      <c r="I15" s="17"/>
      <c r="J15" s="18"/>
      <c r="K15" s="1"/>
      <c r="L15" s="1"/>
      <c r="M15" s="1"/>
      <c r="N15" s="1" t="s">
        <v>22</v>
      </c>
      <c r="O15" s="9"/>
      <c r="P15" s="1"/>
      <c r="Q15" s="1"/>
      <c r="R15" s="1"/>
      <c r="S15" s="1"/>
      <c r="T15" s="1"/>
      <c r="U15" s="1"/>
      <c r="V15" s="1"/>
      <c r="W15" s="1"/>
      <c r="X15" s="1"/>
      <c r="Y15" s="1"/>
      <c r="Z15" s="1"/>
    </row>
    <row r="16">
      <c r="A16" s="1">
        <v>13.0</v>
      </c>
      <c r="B16" s="24" t="s">
        <v>377</v>
      </c>
      <c r="C16" s="1" t="s">
        <v>378</v>
      </c>
      <c r="D16" s="24" t="s">
        <v>379</v>
      </c>
      <c r="E16" s="16" t="s">
        <v>351</v>
      </c>
      <c r="F16" s="17" t="s">
        <v>21</v>
      </c>
      <c r="G16" s="18"/>
      <c r="H16" s="1"/>
      <c r="I16" s="17" t="s">
        <v>22</v>
      </c>
      <c r="J16" s="18" t="s">
        <v>22</v>
      </c>
      <c r="K16" s="1"/>
      <c r="L16" s="1"/>
      <c r="M16" s="1"/>
      <c r="N16" s="1"/>
      <c r="O16" s="9" t="s">
        <v>380</v>
      </c>
      <c r="P16" s="1"/>
      <c r="Q16" s="1"/>
      <c r="R16" s="1"/>
      <c r="S16" s="1"/>
      <c r="T16" s="1"/>
      <c r="U16" s="1"/>
      <c r="V16" s="1"/>
      <c r="W16" s="1"/>
      <c r="X16" s="1"/>
      <c r="Y16" s="1"/>
      <c r="Z16" s="1"/>
    </row>
    <row r="17">
      <c r="A17" s="1">
        <v>14.0</v>
      </c>
      <c r="B17" s="24" t="s">
        <v>381</v>
      </c>
      <c r="C17" s="1" t="s">
        <v>382</v>
      </c>
      <c r="D17" s="24" t="s">
        <v>383</v>
      </c>
      <c r="E17" s="16" t="s">
        <v>351</v>
      </c>
      <c r="F17" s="17" t="s">
        <v>21</v>
      </c>
      <c r="G17" s="18"/>
      <c r="H17" s="1" t="s">
        <v>22</v>
      </c>
      <c r="I17" s="17"/>
      <c r="J17" s="18"/>
      <c r="K17" s="1"/>
      <c r="L17" s="1" t="s">
        <v>22</v>
      </c>
      <c r="M17" s="1"/>
      <c r="N17" s="1"/>
      <c r="O17" s="9"/>
      <c r="P17" s="1"/>
      <c r="Q17" s="1"/>
      <c r="R17" s="1"/>
      <c r="S17" s="1"/>
      <c r="T17" s="1"/>
      <c r="U17" s="1"/>
      <c r="V17" s="1"/>
      <c r="W17" s="1"/>
      <c r="X17" s="1"/>
      <c r="Y17" s="1"/>
      <c r="Z17" s="1"/>
    </row>
    <row r="18">
      <c r="A18" s="1">
        <v>15.0</v>
      </c>
      <c r="B18" s="24" t="s">
        <v>384</v>
      </c>
      <c r="C18" s="1" t="s">
        <v>385</v>
      </c>
      <c r="D18" s="24" t="s">
        <v>216</v>
      </c>
      <c r="E18" s="16" t="s">
        <v>21</v>
      </c>
      <c r="F18" s="17" t="s">
        <v>20</v>
      </c>
      <c r="G18" s="18"/>
      <c r="H18" s="1" t="s">
        <v>22</v>
      </c>
      <c r="I18" s="17"/>
      <c r="J18" s="18"/>
      <c r="K18" s="1"/>
      <c r="L18" s="1"/>
      <c r="M18" s="1"/>
      <c r="N18" s="1"/>
      <c r="O18" s="9" t="s">
        <v>386</v>
      </c>
      <c r="P18" s="1"/>
      <c r="Q18" s="1"/>
      <c r="R18" s="1"/>
      <c r="S18" s="1"/>
      <c r="T18" s="1"/>
      <c r="U18" s="1"/>
      <c r="V18" s="1"/>
      <c r="W18" s="1"/>
      <c r="X18" s="1"/>
      <c r="Y18" s="1"/>
      <c r="Z18" s="1"/>
    </row>
    <row r="19">
      <c r="A19" s="1">
        <v>16.0</v>
      </c>
      <c r="B19" s="24" t="s">
        <v>387</v>
      </c>
      <c r="C19" s="1" t="s">
        <v>388</v>
      </c>
      <c r="D19" s="24" t="s">
        <v>389</v>
      </c>
      <c r="E19" s="16" t="s">
        <v>21</v>
      </c>
      <c r="F19" s="17" t="s">
        <v>20</v>
      </c>
      <c r="G19" s="16" t="s">
        <v>22</v>
      </c>
      <c r="H19" s="1"/>
      <c r="I19" s="17"/>
      <c r="J19" s="18" t="s">
        <v>22</v>
      </c>
      <c r="K19" s="1"/>
      <c r="L19" s="1"/>
      <c r="M19" s="1"/>
      <c r="N19" s="1"/>
      <c r="O19" s="9"/>
      <c r="P19" s="1"/>
      <c r="Q19" s="1"/>
      <c r="R19" s="1"/>
      <c r="S19" s="1"/>
      <c r="T19" s="1"/>
      <c r="U19" s="1"/>
      <c r="V19" s="1"/>
      <c r="W19" s="1"/>
      <c r="X19" s="1"/>
      <c r="Y19" s="1"/>
      <c r="Z19" s="1"/>
    </row>
    <row r="20">
      <c r="A20" s="1">
        <v>17.0</v>
      </c>
      <c r="B20" s="24" t="s">
        <v>390</v>
      </c>
      <c r="C20" s="1" t="s">
        <v>391</v>
      </c>
      <c r="D20" s="24" t="s">
        <v>392</v>
      </c>
      <c r="E20" s="16" t="s">
        <v>351</v>
      </c>
      <c r="F20" s="17" t="s">
        <v>21</v>
      </c>
      <c r="G20" s="18"/>
      <c r="H20" s="1"/>
      <c r="I20" s="17" t="s">
        <v>22</v>
      </c>
      <c r="J20" s="18" t="s">
        <v>22</v>
      </c>
      <c r="K20" s="1"/>
      <c r="L20" s="1"/>
      <c r="M20" s="1"/>
      <c r="N20" s="1"/>
      <c r="O20" s="9" t="s">
        <v>393</v>
      </c>
      <c r="P20" s="1"/>
      <c r="Q20" s="1"/>
      <c r="R20" s="1"/>
      <c r="S20" s="1"/>
      <c r="T20" s="1"/>
      <c r="U20" s="1"/>
      <c r="V20" s="1"/>
      <c r="W20" s="1"/>
      <c r="X20" s="1"/>
      <c r="Y20" s="1"/>
      <c r="Z20" s="1"/>
    </row>
    <row r="21">
      <c r="A21" s="1">
        <v>18.0</v>
      </c>
      <c r="B21" s="24" t="s">
        <v>394</v>
      </c>
      <c r="C21" s="1" t="s">
        <v>395</v>
      </c>
      <c r="D21" s="24" t="s">
        <v>396</v>
      </c>
      <c r="E21" s="16" t="s">
        <v>21</v>
      </c>
      <c r="F21" s="17" t="s">
        <v>20</v>
      </c>
      <c r="G21" s="18" t="s">
        <v>22</v>
      </c>
      <c r="H21" s="1"/>
      <c r="I21" s="17"/>
      <c r="J21" s="18"/>
      <c r="K21" s="1" t="s">
        <v>22</v>
      </c>
      <c r="L21" s="1"/>
      <c r="M21" s="1"/>
      <c r="N21" s="1"/>
      <c r="O21" s="9" t="s">
        <v>397</v>
      </c>
      <c r="P21" s="1"/>
      <c r="Q21" s="1"/>
      <c r="R21" s="1"/>
      <c r="S21" s="1"/>
      <c r="T21" s="1"/>
      <c r="U21" s="1"/>
      <c r="V21" s="1"/>
      <c r="W21" s="1"/>
      <c r="X21" s="1"/>
      <c r="Y21" s="1"/>
      <c r="Z21" s="1"/>
    </row>
    <row r="22">
      <c r="A22" s="1">
        <v>19.0</v>
      </c>
      <c r="B22" s="24" t="s">
        <v>398</v>
      </c>
      <c r="C22" s="1" t="s">
        <v>399</v>
      </c>
      <c r="D22" s="24" t="s">
        <v>400</v>
      </c>
      <c r="E22" s="16" t="s">
        <v>21</v>
      </c>
      <c r="F22" s="17" t="s">
        <v>20</v>
      </c>
      <c r="G22" s="18" t="s">
        <v>22</v>
      </c>
      <c r="H22" s="1"/>
      <c r="I22" s="17"/>
      <c r="J22" s="18" t="s">
        <v>22</v>
      </c>
      <c r="K22" s="1"/>
      <c r="L22" s="1"/>
      <c r="M22" s="1"/>
      <c r="N22" s="1"/>
      <c r="O22" s="9" t="s">
        <v>401</v>
      </c>
      <c r="P22" s="1"/>
      <c r="Q22" s="1"/>
      <c r="R22" s="1"/>
      <c r="S22" s="1"/>
      <c r="T22" s="1"/>
      <c r="U22" s="1"/>
      <c r="V22" s="1"/>
      <c r="W22" s="1"/>
      <c r="X22" s="1"/>
      <c r="Y22" s="1"/>
      <c r="Z22" s="1"/>
    </row>
    <row r="23">
      <c r="A23" s="1">
        <v>20.0</v>
      </c>
      <c r="B23" s="24" t="s">
        <v>402</v>
      </c>
      <c r="C23" s="1" t="s">
        <v>366</v>
      </c>
      <c r="D23" s="24" t="s">
        <v>403</v>
      </c>
      <c r="E23" s="16" t="s">
        <v>351</v>
      </c>
      <c r="F23" s="17" t="s">
        <v>21</v>
      </c>
      <c r="G23" s="18"/>
      <c r="H23" s="1" t="s">
        <v>22</v>
      </c>
      <c r="I23" s="17"/>
      <c r="J23" s="18"/>
      <c r="K23" s="1"/>
      <c r="L23" s="1" t="s">
        <v>22</v>
      </c>
      <c r="M23" s="1"/>
      <c r="N23" s="1"/>
      <c r="O23" s="9"/>
      <c r="P23" s="1"/>
      <c r="Q23" s="1"/>
      <c r="R23" s="1"/>
      <c r="S23" s="1"/>
      <c r="T23" s="1"/>
      <c r="U23" s="1"/>
      <c r="V23" s="1"/>
      <c r="W23" s="1"/>
      <c r="X23" s="1"/>
      <c r="Y23" s="1"/>
      <c r="Z23" s="1"/>
    </row>
    <row r="24">
      <c r="A24" s="1">
        <v>21.0</v>
      </c>
      <c r="B24" s="24" t="s">
        <v>404</v>
      </c>
      <c r="C24" s="1" t="s">
        <v>405</v>
      </c>
      <c r="D24" s="24" t="s">
        <v>25</v>
      </c>
      <c r="E24" s="16" t="s">
        <v>21</v>
      </c>
      <c r="F24" s="17" t="s">
        <v>26</v>
      </c>
      <c r="G24" s="18" t="s">
        <v>22</v>
      </c>
      <c r="H24" s="1"/>
      <c r="I24" s="17"/>
      <c r="J24" s="18"/>
      <c r="K24" s="1" t="s">
        <v>22</v>
      </c>
      <c r="L24" s="1"/>
      <c r="M24" s="1"/>
      <c r="N24" s="1"/>
      <c r="O24" s="9"/>
      <c r="P24" s="1"/>
      <c r="Q24" s="1"/>
      <c r="R24" s="1"/>
      <c r="S24" s="1"/>
      <c r="T24" s="1"/>
      <c r="U24" s="1"/>
      <c r="V24" s="1"/>
      <c r="W24" s="1"/>
      <c r="X24" s="1"/>
      <c r="Y24" s="1"/>
      <c r="Z24" s="1"/>
    </row>
    <row r="25">
      <c r="A25" s="1">
        <v>22.0</v>
      </c>
      <c r="B25" s="24" t="s">
        <v>406</v>
      </c>
      <c r="C25" s="1" t="s">
        <v>407</v>
      </c>
      <c r="D25" s="24" t="s">
        <v>114</v>
      </c>
      <c r="E25" s="16" t="s">
        <v>21</v>
      </c>
      <c r="F25" s="17" t="s">
        <v>31</v>
      </c>
      <c r="G25" s="18" t="s">
        <v>22</v>
      </c>
      <c r="H25" s="1"/>
      <c r="I25" s="17"/>
      <c r="J25" s="18" t="s">
        <v>22</v>
      </c>
      <c r="K25" s="1"/>
      <c r="L25" s="1"/>
      <c r="M25" s="1"/>
      <c r="N25" s="1"/>
      <c r="O25" s="9"/>
      <c r="P25" s="1"/>
      <c r="Q25" s="1"/>
      <c r="R25" s="1"/>
      <c r="S25" s="1"/>
      <c r="T25" s="1"/>
      <c r="U25" s="1"/>
      <c r="V25" s="1"/>
      <c r="W25" s="1"/>
      <c r="X25" s="1"/>
      <c r="Y25" s="1"/>
      <c r="Z25" s="1"/>
    </row>
    <row r="26">
      <c r="A26" s="1">
        <v>23.0</v>
      </c>
      <c r="B26" s="24" t="s">
        <v>408</v>
      </c>
      <c r="C26" s="1" t="s">
        <v>409</v>
      </c>
      <c r="D26" s="24" t="s">
        <v>410</v>
      </c>
      <c r="E26" s="16" t="s">
        <v>21</v>
      </c>
      <c r="F26" s="17" t="s">
        <v>31</v>
      </c>
      <c r="G26" s="18" t="s">
        <v>22</v>
      </c>
      <c r="H26" s="1"/>
      <c r="I26" s="17"/>
      <c r="J26" s="18" t="s">
        <v>22</v>
      </c>
      <c r="K26" s="1"/>
      <c r="L26" s="1"/>
      <c r="M26" s="1"/>
      <c r="N26" s="1"/>
      <c r="O26" s="9"/>
      <c r="P26" s="1"/>
      <c r="Q26" s="1"/>
      <c r="R26" s="1"/>
      <c r="S26" s="1"/>
      <c r="T26" s="1"/>
      <c r="U26" s="1"/>
      <c r="V26" s="1"/>
      <c r="W26" s="1"/>
      <c r="X26" s="1"/>
      <c r="Y26" s="1"/>
      <c r="Z26" s="1"/>
    </row>
    <row r="27">
      <c r="A27" s="1">
        <v>24.0</v>
      </c>
      <c r="B27" s="24" t="s">
        <v>411</v>
      </c>
      <c r="C27" s="1" t="s">
        <v>412</v>
      </c>
      <c r="D27" s="24" t="s">
        <v>413</v>
      </c>
      <c r="E27" s="16" t="s">
        <v>351</v>
      </c>
      <c r="F27" s="17" t="s">
        <v>21</v>
      </c>
      <c r="G27" s="18"/>
      <c r="H27" s="1" t="s">
        <v>22</v>
      </c>
      <c r="I27" s="17"/>
      <c r="J27" s="18"/>
      <c r="K27" s="1"/>
      <c r="L27" s="1" t="s">
        <v>22</v>
      </c>
      <c r="M27" s="1"/>
      <c r="N27" s="1"/>
      <c r="O27" s="9"/>
      <c r="P27" s="1"/>
      <c r="Q27" s="1"/>
      <c r="R27" s="1"/>
      <c r="S27" s="1"/>
      <c r="T27" s="1"/>
      <c r="U27" s="1"/>
      <c r="V27" s="1"/>
      <c r="W27" s="1"/>
      <c r="X27" s="1"/>
      <c r="Y27" s="1"/>
      <c r="Z27" s="1"/>
    </row>
    <row r="28">
      <c r="A28" s="1">
        <v>25.0</v>
      </c>
      <c r="B28" s="24" t="s">
        <v>414</v>
      </c>
      <c r="C28" s="1" t="s">
        <v>415</v>
      </c>
      <c r="D28" s="24" t="s">
        <v>416</v>
      </c>
      <c r="E28" s="16" t="s">
        <v>21</v>
      </c>
      <c r="F28" s="17" t="s">
        <v>20</v>
      </c>
      <c r="G28" s="18" t="s">
        <v>22</v>
      </c>
      <c r="H28" s="1"/>
      <c r="I28" s="17"/>
      <c r="J28" s="18" t="s">
        <v>22</v>
      </c>
      <c r="K28" s="1"/>
      <c r="L28" s="1"/>
      <c r="M28" s="1"/>
      <c r="N28" s="1"/>
      <c r="O28" s="9"/>
      <c r="P28" s="1"/>
      <c r="Q28" s="1"/>
      <c r="R28" s="1"/>
      <c r="S28" s="1"/>
      <c r="T28" s="1"/>
      <c r="U28" s="1"/>
      <c r="V28" s="1"/>
      <c r="W28" s="1"/>
      <c r="X28" s="1"/>
      <c r="Y28" s="1"/>
      <c r="Z28" s="1"/>
    </row>
    <row r="29">
      <c r="A29" s="1">
        <v>26.0</v>
      </c>
      <c r="B29" s="24" t="s">
        <v>417</v>
      </c>
      <c r="C29" s="1" t="s">
        <v>412</v>
      </c>
      <c r="D29" s="24" t="s">
        <v>418</v>
      </c>
      <c r="E29" s="16" t="s">
        <v>21</v>
      </c>
      <c r="F29" s="17" t="s">
        <v>20</v>
      </c>
      <c r="G29" s="18" t="s">
        <v>22</v>
      </c>
      <c r="H29" s="1"/>
      <c r="I29" s="17"/>
      <c r="J29" s="18" t="s">
        <v>22</v>
      </c>
      <c r="K29" s="1"/>
      <c r="L29" s="1"/>
      <c r="M29" s="1"/>
      <c r="N29" s="1"/>
      <c r="O29" s="9" t="s">
        <v>419</v>
      </c>
      <c r="P29" s="1"/>
      <c r="Q29" s="1"/>
      <c r="R29" s="1"/>
      <c r="S29" s="1"/>
      <c r="T29" s="1"/>
      <c r="U29" s="1"/>
      <c r="V29" s="1"/>
      <c r="W29" s="1"/>
      <c r="X29" s="1"/>
      <c r="Y29" s="1"/>
      <c r="Z29" s="1"/>
    </row>
    <row r="30">
      <c r="A30" s="1">
        <v>27.0</v>
      </c>
      <c r="B30" s="24" t="s">
        <v>420</v>
      </c>
      <c r="C30" s="1" t="s">
        <v>421</v>
      </c>
      <c r="D30" s="24" t="s">
        <v>422</v>
      </c>
      <c r="E30" s="16" t="s">
        <v>351</v>
      </c>
      <c r="F30" s="17" t="s">
        <v>21</v>
      </c>
      <c r="G30" s="18"/>
      <c r="H30" s="1"/>
      <c r="I30" s="17" t="s">
        <v>22</v>
      </c>
      <c r="J30" s="18"/>
      <c r="K30" s="1"/>
      <c r="L30" s="1" t="s">
        <v>22</v>
      </c>
      <c r="M30" s="1"/>
      <c r="N30" s="1"/>
      <c r="O30" s="9" t="s">
        <v>423</v>
      </c>
      <c r="P30" s="1"/>
      <c r="Q30" s="1"/>
      <c r="R30" s="1"/>
      <c r="S30" s="1"/>
      <c r="T30" s="1"/>
      <c r="U30" s="1"/>
      <c r="V30" s="1"/>
      <c r="W30" s="1"/>
      <c r="X30" s="1"/>
      <c r="Y30" s="1"/>
      <c r="Z30" s="1"/>
    </row>
    <row r="31">
      <c r="A31" s="1">
        <v>28.0</v>
      </c>
      <c r="B31" s="24" t="s">
        <v>424</v>
      </c>
      <c r="C31" s="1" t="s">
        <v>425</v>
      </c>
      <c r="D31" s="24" t="s">
        <v>426</v>
      </c>
      <c r="E31" s="16" t="s">
        <v>21</v>
      </c>
      <c r="F31" s="17" t="s">
        <v>31</v>
      </c>
      <c r="G31" s="18"/>
      <c r="H31" s="1"/>
      <c r="I31" s="17" t="s">
        <v>22</v>
      </c>
      <c r="J31" s="18"/>
      <c r="K31" s="1"/>
      <c r="L31" s="1"/>
      <c r="M31" s="1"/>
      <c r="N31" s="1"/>
      <c r="O31" s="9" t="s">
        <v>427</v>
      </c>
      <c r="P31" s="1"/>
      <c r="Q31" s="1"/>
      <c r="R31" s="1"/>
      <c r="S31" s="1"/>
      <c r="T31" s="1"/>
      <c r="U31" s="1"/>
      <c r="V31" s="1"/>
      <c r="W31" s="1"/>
      <c r="X31" s="1"/>
      <c r="Y31" s="1"/>
      <c r="Z31" s="1"/>
    </row>
    <row r="32">
      <c r="A32" s="1">
        <v>29.0</v>
      </c>
      <c r="B32" s="24" t="s">
        <v>428</v>
      </c>
      <c r="C32" s="1" t="s">
        <v>429</v>
      </c>
      <c r="D32" s="24" t="s">
        <v>430</v>
      </c>
      <c r="E32" s="16" t="s">
        <v>351</v>
      </c>
      <c r="F32" s="17" t="s">
        <v>21</v>
      </c>
      <c r="G32" s="18" t="s">
        <v>22</v>
      </c>
      <c r="H32" s="1"/>
      <c r="I32" s="17"/>
      <c r="J32" s="18"/>
      <c r="K32" s="1"/>
      <c r="L32" s="1" t="s">
        <v>22</v>
      </c>
      <c r="M32" s="1"/>
      <c r="N32" s="1"/>
      <c r="O32" s="9"/>
      <c r="P32" s="1"/>
      <c r="Q32" s="1"/>
      <c r="R32" s="1"/>
      <c r="S32" s="1"/>
      <c r="T32" s="1"/>
      <c r="U32" s="1"/>
      <c r="V32" s="1"/>
      <c r="W32" s="1"/>
      <c r="X32" s="1"/>
      <c r="Y32" s="1"/>
      <c r="Z32" s="1"/>
    </row>
    <row r="33">
      <c r="A33" s="1">
        <v>30.0</v>
      </c>
      <c r="B33" s="24" t="s">
        <v>431</v>
      </c>
      <c r="C33" s="1" t="s">
        <v>432</v>
      </c>
      <c r="D33" s="24" t="s">
        <v>95</v>
      </c>
      <c r="E33" s="16" t="s">
        <v>21</v>
      </c>
      <c r="F33" s="17" t="s">
        <v>20</v>
      </c>
      <c r="G33" s="18"/>
      <c r="H33" s="1" t="s">
        <v>22</v>
      </c>
      <c r="I33" s="17"/>
      <c r="J33" s="18"/>
      <c r="K33" s="1"/>
      <c r="L33" s="1"/>
      <c r="M33" s="1" t="s">
        <v>22</v>
      </c>
      <c r="N33" s="1"/>
      <c r="O33" s="9"/>
      <c r="P33" s="1"/>
      <c r="Q33" s="1"/>
      <c r="R33" s="1"/>
      <c r="S33" s="1"/>
      <c r="T33" s="1"/>
      <c r="U33" s="1"/>
      <c r="V33" s="1"/>
      <c r="W33" s="1"/>
      <c r="X33" s="1"/>
      <c r="Y33" s="1"/>
      <c r="Z33" s="1"/>
    </row>
    <row r="34">
      <c r="A34" s="1">
        <v>31.0</v>
      </c>
      <c r="B34" s="24" t="s">
        <v>433</v>
      </c>
      <c r="C34" s="1" t="s">
        <v>434</v>
      </c>
      <c r="D34" s="24" t="s">
        <v>435</v>
      </c>
      <c r="E34" s="16" t="s">
        <v>351</v>
      </c>
      <c r="F34" s="17" t="s">
        <v>21</v>
      </c>
      <c r="G34" s="18"/>
      <c r="H34" s="1" t="s">
        <v>22</v>
      </c>
      <c r="I34" s="17"/>
      <c r="J34" s="18"/>
      <c r="K34" s="1"/>
      <c r="L34" s="1"/>
      <c r="M34" s="1"/>
      <c r="N34" s="1" t="s">
        <v>22</v>
      </c>
      <c r="O34" s="9"/>
      <c r="P34" s="1"/>
      <c r="Q34" s="1"/>
      <c r="R34" s="1"/>
      <c r="S34" s="1"/>
      <c r="T34" s="1"/>
      <c r="U34" s="1"/>
      <c r="V34" s="1"/>
      <c r="W34" s="1"/>
      <c r="X34" s="1"/>
      <c r="Y34" s="1"/>
      <c r="Z34" s="1"/>
    </row>
    <row r="35">
      <c r="A35" s="1">
        <v>32.0</v>
      </c>
      <c r="B35" s="24" t="s">
        <v>436</v>
      </c>
      <c r="C35" s="1" t="s">
        <v>437</v>
      </c>
      <c r="D35" s="24" t="s">
        <v>95</v>
      </c>
      <c r="E35" s="16" t="s">
        <v>21</v>
      </c>
      <c r="F35" s="17" t="s">
        <v>20</v>
      </c>
      <c r="G35" s="18"/>
      <c r="H35" s="1" t="s">
        <v>22</v>
      </c>
      <c r="I35" s="17"/>
      <c r="J35" s="18"/>
      <c r="K35" s="1"/>
      <c r="L35" s="1"/>
      <c r="M35" s="1"/>
      <c r="N35" s="1"/>
      <c r="O35" s="9" t="s">
        <v>438</v>
      </c>
      <c r="P35" s="1"/>
      <c r="Q35" s="1"/>
      <c r="R35" s="1"/>
      <c r="S35" s="1"/>
      <c r="T35" s="1"/>
      <c r="U35" s="1"/>
      <c r="V35" s="1"/>
      <c r="W35" s="1"/>
      <c r="X35" s="1"/>
      <c r="Y35" s="1"/>
      <c r="Z35" s="1"/>
    </row>
    <row r="36">
      <c r="A36" s="1">
        <v>33.0</v>
      </c>
      <c r="B36" s="24" t="s">
        <v>439</v>
      </c>
      <c r="C36" s="1" t="s">
        <v>440</v>
      </c>
      <c r="D36" s="24" t="s">
        <v>42</v>
      </c>
      <c r="E36" s="16" t="s">
        <v>21</v>
      </c>
      <c r="F36" s="17" t="s">
        <v>20</v>
      </c>
      <c r="G36" s="18"/>
      <c r="H36" s="1" t="s">
        <v>22</v>
      </c>
      <c r="I36" s="17"/>
      <c r="J36" s="18"/>
      <c r="K36" s="1"/>
      <c r="L36" s="1"/>
      <c r="M36" s="1"/>
      <c r="N36" s="1"/>
      <c r="O36" s="9" t="s">
        <v>441</v>
      </c>
      <c r="P36" s="1"/>
      <c r="Q36" s="1"/>
      <c r="R36" s="1"/>
      <c r="S36" s="1"/>
      <c r="T36" s="1"/>
      <c r="U36" s="1"/>
      <c r="V36" s="1"/>
      <c r="W36" s="1"/>
      <c r="X36" s="1"/>
      <c r="Y36" s="1"/>
      <c r="Z36" s="1"/>
    </row>
    <row r="37">
      <c r="A37" s="1">
        <v>34.0</v>
      </c>
      <c r="B37" s="24" t="s">
        <v>442</v>
      </c>
      <c r="C37" s="1" t="s">
        <v>443</v>
      </c>
      <c r="D37" s="24" t="s">
        <v>25</v>
      </c>
      <c r="E37" s="16" t="s">
        <v>21</v>
      </c>
      <c r="F37" s="17" t="s">
        <v>20</v>
      </c>
      <c r="G37" s="18" t="s">
        <v>22</v>
      </c>
      <c r="H37" s="1"/>
      <c r="I37" s="17"/>
      <c r="J37" s="18" t="s">
        <v>22</v>
      </c>
      <c r="K37" s="1"/>
      <c r="L37" s="1"/>
      <c r="M37" s="1"/>
      <c r="N37" s="1"/>
      <c r="O37" s="9" t="s">
        <v>444</v>
      </c>
      <c r="P37" s="1"/>
      <c r="Q37" s="1"/>
      <c r="R37" s="1"/>
      <c r="S37" s="1"/>
      <c r="T37" s="1"/>
      <c r="U37" s="1"/>
      <c r="V37" s="1"/>
      <c r="W37" s="1"/>
      <c r="X37" s="1"/>
      <c r="Y37" s="1"/>
      <c r="Z37" s="1"/>
    </row>
    <row r="38">
      <c r="A38" s="1">
        <v>35.0</v>
      </c>
      <c r="B38" s="24" t="s">
        <v>445</v>
      </c>
      <c r="C38" s="1" t="s">
        <v>446</v>
      </c>
      <c r="D38" s="24" t="s">
        <v>447</v>
      </c>
      <c r="E38" s="16" t="s">
        <v>21</v>
      </c>
      <c r="F38" s="17" t="s">
        <v>20</v>
      </c>
      <c r="G38" s="18"/>
      <c r="H38" s="1" t="s">
        <v>22</v>
      </c>
      <c r="I38" s="17"/>
      <c r="J38" s="18"/>
      <c r="K38" s="1"/>
      <c r="L38" s="1"/>
      <c r="M38" s="1" t="s">
        <v>22</v>
      </c>
      <c r="N38" s="1"/>
      <c r="O38" s="9"/>
      <c r="P38" s="1"/>
      <c r="Q38" s="1"/>
      <c r="R38" s="1"/>
      <c r="S38" s="1"/>
      <c r="T38" s="1"/>
      <c r="U38" s="1"/>
      <c r="V38" s="1"/>
      <c r="W38" s="1"/>
      <c r="X38" s="1"/>
      <c r="Y38" s="1"/>
      <c r="Z38" s="1"/>
    </row>
    <row r="39">
      <c r="A39" s="1">
        <v>36.0</v>
      </c>
      <c r="B39" s="24" t="s">
        <v>448</v>
      </c>
      <c r="C39" s="1" t="s">
        <v>449</v>
      </c>
      <c r="D39" s="24" t="s">
        <v>450</v>
      </c>
      <c r="E39" s="16" t="s">
        <v>21</v>
      </c>
      <c r="F39" s="17" t="s">
        <v>20</v>
      </c>
      <c r="G39" s="18" t="s">
        <v>22</v>
      </c>
      <c r="H39" s="1"/>
      <c r="I39" s="17"/>
      <c r="J39" s="18"/>
      <c r="K39" s="1"/>
      <c r="L39" s="1" t="s">
        <v>22</v>
      </c>
      <c r="M39" s="1"/>
      <c r="N39" s="1"/>
      <c r="O39" s="9" t="s">
        <v>451</v>
      </c>
      <c r="P39" s="1"/>
      <c r="Q39" s="1"/>
      <c r="R39" s="1"/>
      <c r="S39" s="1"/>
      <c r="T39" s="1"/>
      <c r="U39" s="1"/>
      <c r="V39" s="1"/>
      <c r="W39" s="1"/>
      <c r="X39" s="1"/>
      <c r="Y39" s="1"/>
      <c r="Z39" s="1"/>
    </row>
    <row r="40">
      <c r="A40" s="1">
        <v>37.0</v>
      </c>
      <c r="B40" s="24" t="s">
        <v>452</v>
      </c>
      <c r="C40" s="1" t="s">
        <v>453</v>
      </c>
      <c r="D40" s="24" t="s">
        <v>454</v>
      </c>
      <c r="E40" s="16" t="s">
        <v>21</v>
      </c>
      <c r="F40" s="17" t="s">
        <v>20</v>
      </c>
      <c r="G40" s="18" t="s">
        <v>22</v>
      </c>
      <c r="H40" s="1"/>
      <c r="I40" s="17"/>
      <c r="J40" s="18"/>
      <c r="K40" s="1"/>
      <c r="L40" s="1"/>
      <c r="M40" s="1"/>
      <c r="N40" s="1"/>
      <c r="O40" s="9" t="s">
        <v>455</v>
      </c>
      <c r="P40" s="1"/>
      <c r="Q40" s="1"/>
      <c r="R40" s="1"/>
      <c r="S40" s="1"/>
      <c r="T40" s="1"/>
      <c r="U40" s="1"/>
      <c r="V40" s="1"/>
      <c r="W40" s="1"/>
      <c r="X40" s="1"/>
      <c r="Y40" s="1"/>
      <c r="Z40" s="1"/>
    </row>
    <row r="41">
      <c r="A41" s="1">
        <v>38.0</v>
      </c>
      <c r="B41" s="24" t="s">
        <v>456</v>
      </c>
      <c r="C41" s="1" t="s">
        <v>457</v>
      </c>
      <c r="D41" s="24" t="s">
        <v>458</v>
      </c>
      <c r="E41" s="16" t="s">
        <v>21</v>
      </c>
      <c r="F41" s="17" t="s">
        <v>20</v>
      </c>
      <c r="G41" s="18" t="s">
        <v>22</v>
      </c>
      <c r="H41" s="1"/>
      <c r="I41" s="17"/>
      <c r="J41" s="18" t="s">
        <v>22</v>
      </c>
      <c r="K41" s="1"/>
      <c r="L41" s="1"/>
      <c r="M41" s="1"/>
      <c r="N41" s="1"/>
      <c r="O41" s="9" t="s">
        <v>459</v>
      </c>
      <c r="P41" s="1"/>
      <c r="Q41" s="1"/>
      <c r="R41" s="1"/>
      <c r="S41" s="1"/>
      <c r="T41" s="1"/>
      <c r="U41" s="1"/>
      <c r="V41" s="1"/>
      <c r="W41" s="1"/>
      <c r="X41" s="1"/>
      <c r="Y41" s="1"/>
      <c r="Z41" s="1"/>
    </row>
    <row r="42">
      <c r="A42" s="1">
        <v>39.0</v>
      </c>
      <c r="B42" s="24" t="s">
        <v>460</v>
      </c>
      <c r="C42" s="1" t="s">
        <v>461</v>
      </c>
      <c r="D42" s="24" t="s">
        <v>462</v>
      </c>
      <c r="E42" s="16" t="s">
        <v>351</v>
      </c>
      <c r="F42" s="17" t="s">
        <v>21</v>
      </c>
      <c r="G42" s="18" t="s">
        <v>22</v>
      </c>
      <c r="H42" s="1"/>
      <c r="I42" s="17"/>
      <c r="J42" s="18"/>
      <c r="K42" s="1"/>
      <c r="L42" s="1"/>
      <c r="M42" s="1"/>
      <c r="N42" s="1"/>
      <c r="O42" s="9" t="s">
        <v>463</v>
      </c>
      <c r="P42" s="1"/>
      <c r="Q42" s="1"/>
      <c r="R42" s="1"/>
      <c r="S42" s="1"/>
      <c r="T42" s="1"/>
      <c r="U42" s="1"/>
      <c r="V42" s="1"/>
      <c r="W42" s="1"/>
      <c r="X42" s="1"/>
      <c r="Y42" s="1"/>
      <c r="Z42" s="1"/>
    </row>
    <row r="43">
      <c r="A43" s="1">
        <v>40.0</v>
      </c>
      <c r="B43" s="24" t="s">
        <v>464</v>
      </c>
      <c r="C43" s="1" t="s">
        <v>465</v>
      </c>
      <c r="D43" s="24" t="s">
        <v>466</v>
      </c>
      <c r="E43" s="16" t="s">
        <v>21</v>
      </c>
      <c r="F43" s="17" t="s">
        <v>31</v>
      </c>
      <c r="G43" s="18" t="s">
        <v>22</v>
      </c>
      <c r="H43" s="1"/>
      <c r="I43" s="17"/>
      <c r="J43" s="18"/>
      <c r="K43" s="1" t="s">
        <v>22</v>
      </c>
      <c r="L43" s="1"/>
      <c r="M43" s="1"/>
      <c r="N43" s="1"/>
      <c r="O43" s="9"/>
      <c r="P43" s="1"/>
      <c r="Q43" s="1"/>
      <c r="R43" s="1"/>
      <c r="S43" s="1"/>
      <c r="T43" s="1"/>
      <c r="U43" s="1"/>
      <c r="V43" s="1"/>
      <c r="W43" s="1"/>
      <c r="X43" s="1"/>
      <c r="Y43" s="1"/>
      <c r="Z43" s="1"/>
    </row>
    <row r="44">
      <c r="A44" s="1">
        <v>41.0</v>
      </c>
      <c r="B44" s="24" t="s">
        <v>467</v>
      </c>
      <c r="C44" s="1" t="s">
        <v>468</v>
      </c>
      <c r="D44" s="24" t="s">
        <v>469</v>
      </c>
      <c r="E44" s="16" t="s">
        <v>351</v>
      </c>
      <c r="F44" s="17" t="s">
        <v>21</v>
      </c>
      <c r="G44" s="18" t="s">
        <v>22</v>
      </c>
      <c r="H44" s="1"/>
      <c r="I44" s="17"/>
      <c r="J44" s="18"/>
      <c r="K44" s="1"/>
      <c r="L44" s="1" t="s">
        <v>22</v>
      </c>
      <c r="M44" s="1"/>
      <c r="N44" s="1"/>
      <c r="O44" s="9"/>
      <c r="P44" s="1"/>
      <c r="Q44" s="1"/>
      <c r="R44" s="1"/>
      <c r="S44" s="1"/>
      <c r="T44" s="1"/>
      <c r="U44" s="1"/>
      <c r="V44" s="1"/>
      <c r="W44" s="1"/>
      <c r="X44" s="1"/>
      <c r="Y44" s="1"/>
      <c r="Z44" s="1"/>
    </row>
    <row r="45">
      <c r="A45" s="1">
        <v>42.0</v>
      </c>
      <c r="B45" s="24" t="s">
        <v>470</v>
      </c>
      <c r="C45" s="1" t="s">
        <v>471</v>
      </c>
      <c r="D45" s="24" t="s">
        <v>212</v>
      </c>
      <c r="E45" s="16" t="s">
        <v>351</v>
      </c>
      <c r="F45" s="17" t="s">
        <v>21</v>
      </c>
      <c r="G45" s="18"/>
      <c r="H45" s="1" t="s">
        <v>22</v>
      </c>
      <c r="I45" s="17"/>
      <c r="J45" s="18"/>
      <c r="K45" s="1"/>
      <c r="L45" s="1"/>
      <c r="M45" s="1"/>
      <c r="N45" s="1"/>
      <c r="O45" s="9" t="s">
        <v>472</v>
      </c>
      <c r="P45" s="1"/>
      <c r="Q45" s="1"/>
      <c r="R45" s="1"/>
      <c r="S45" s="1"/>
      <c r="T45" s="1"/>
      <c r="U45" s="1"/>
      <c r="V45" s="1"/>
      <c r="W45" s="1"/>
      <c r="X45" s="1"/>
      <c r="Y45" s="1"/>
      <c r="Z45" s="1"/>
    </row>
    <row r="46">
      <c r="A46" s="1">
        <v>43.0</v>
      </c>
      <c r="B46" s="24" t="s">
        <v>473</v>
      </c>
      <c r="C46" s="1" t="s">
        <v>474</v>
      </c>
      <c r="D46" s="24" t="s">
        <v>475</v>
      </c>
      <c r="E46" s="16" t="s">
        <v>21</v>
      </c>
      <c r="F46" s="17" t="s">
        <v>20</v>
      </c>
      <c r="G46" s="18"/>
      <c r="H46" s="1" t="s">
        <v>22</v>
      </c>
      <c r="I46" s="17"/>
      <c r="J46" s="18"/>
      <c r="K46" s="1"/>
      <c r="L46" s="1"/>
      <c r="M46" s="1"/>
      <c r="N46" s="1"/>
      <c r="O46" s="9" t="s">
        <v>476</v>
      </c>
      <c r="P46" s="1"/>
      <c r="Q46" s="1"/>
      <c r="R46" s="1"/>
      <c r="S46" s="1"/>
      <c r="T46" s="1"/>
      <c r="U46" s="1"/>
      <c r="V46" s="1"/>
      <c r="W46" s="1"/>
      <c r="X46" s="1"/>
      <c r="Y46" s="1"/>
      <c r="Z46" s="1"/>
    </row>
    <row r="47">
      <c r="A47" s="1">
        <v>44.0</v>
      </c>
      <c r="B47" s="24" t="s">
        <v>477</v>
      </c>
      <c r="C47" s="1" t="s">
        <v>478</v>
      </c>
      <c r="D47" s="24" t="s">
        <v>479</v>
      </c>
      <c r="E47" s="16" t="s">
        <v>351</v>
      </c>
      <c r="F47" s="17" t="s">
        <v>21</v>
      </c>
      <c r="G47" s="18" t="s">
        <v>22</v>
      </c>
      <c r="H47" s="1"/>
      <c r="I47" s="17"/>
      <c r="J47" s="18"/>
      <c r="K47" s="1"/>
      <c r="L47" s="1"/>
      <c r="M47" s="1"/>
      <c r="N47" s="1"/>
      <c r="O47" s="9" t="s">
        <v>480</v>
      </c>
      <c r="P47" s="1"/>
      <c r="Q47" s="1"/>
      <c r="R47" s="1"/>
      <c r="S47" s="1"/>
      <c r="T47" s="1"/>
      <c r="U47" s="1"/>
      <c r="V47" s="1"/>
      <c r="W47" s="1"/>
      <c r="X47" s="1"/>
      <c r="Y47" s="1"/>
      <c r="Z47" s="1"/>
    </row>
    <row r="48">
      <c r="A48" s="1">
        <v>45.0</v>
      </c>
      <c r="B48" s="24" t="s">
        <v>481</v>
      </c>
      <c r="C48" s="1" t="s">
        <v>482</v>
      </c>
      <c r="D48" s="24" t="s">
        <v>483</v>
      </c>
      <c r="E48" s="16" t="s">
        <v>351</v>
      </c>
      <c r="F48" s="17" t="s">
        <v>21</v>
      </c>
      <c r="G48" s="18"/>
      <c r="H48" s="1" t="s">
        <v>22</v>
      </c>
      <c r="I48" s="17"/>
      <c r="J48" s="18"/>
      <c r="K48" s="1"/>
      <c r="L48" s="1"/>
      <c r="M48" s="1"/>
      <c r="N48" s="1"/>
      <c r="O48" s="9" t="s">
        <v>484</v>
      </c>
      <c r="P48" s="1"/>
      <c r="Q48" s="1"/>
      <c r="R48" s="1"/>
      <c r="S48" s="1"/>
      <c r="T48" s="1"/>
      <c r="U48" s="1"/>
      <c r="V48" s="1"/>
      <c r="W48" s="1"/>
      <c r="X48" s="1"/>
      <c r="Y48" s="1"/>
      <c r="Z48" s="1"/>
    </row>
    <row r="49">
      <c r="A49" s="1">
        <v>46.0</v>
      </c>
      <c r="B49" s="24" t="s">
        <v>485</v>
      </c>
      <c r="C49" s="1" t="s">
        <v>362</v>
      </c>
      <c r="D49" s="24" t="s">
        <v>486</v>
      </c>
      <c r="E49" s="16" t="s">
        <v>21</v>
      </c>
      <c r="F49" s="17" t="s">
        <v>20</v>
      </c>
      <c r="G49" s="18" t="s">
        <v>22</v>
      </c>
      <c r="H49" s="1"/>
      <c r="I49" s="17"/>
      <c r="J49" s="18" t="s">
        <v>22</v>
      </c>
      <c r="K49" s="1"/>
      <c r="L49" s="1"/>
      <c r="M49" s="1"/>
      <c r="N49" s="1"/>
      <c r="O49" s="9" t="s">
        <v>487</v>
      </c>
      <c r="P49" s="1"/>
      <c r="Q49" s="1"/>
      <c r="R49" s="1"/>
      <c r="S49" s="1"/>
      <c r="T49" s="1"/>
      <c r="U49" s="1"/>
      <c r="V49" s="1"/>
      <c r="W49" s="1"/>
      <c r="X49" s="1"/>
      <c r="Y49" s="1"/>
      <c r="Z49" s="1"/>
    </row>
    <row r="50">
      <c r="A50" s="1">
        <v>47.0</v>
      </c>
      <c r="B50" s="24" t="s">
        <v>488</v>
      </c>
      <c r="C50" s="1" t="s">
        <v>366</v>
      </c>
      <c r="D50" s="24" t="s">
        <v>489</v>
      </c>
      <c r="E50" s="16" t="s">
        <v>351</v>
      </c>
      <c r="F50" s="17" t="s">
        <v>21</v>
      </c>
      <c r="G50" s="18"/>
      <c r="H50" s="1" t="s">
        <v>22</v>
      </c>
      <c r="I50" s="17"/>
      <c r="J50" s="18"/>
      <c r="K50" s="1"/>
      <c r="L50" s="1"/>
      <c r="M50" s="1"/>
      <c r="N50" s="1"/>
      <c r="O50" s="9" t="s">
        <v>490</v>
      </c>
      <c r="P50" s="1"/>
      <c r="Q50" s="1"/>
      <c r="R50" s="1"/>
      <c r="S50" s="1"/>
      <c r="T50" s="1"/>
      <c r="U50" s="1"/>
      <c r="V50" s="1"/>
      <c r="W50" s="1"/>
      <c r="X50" s="1"/>
      <c r="Y50" s="1"/>
      <c r="Z50" s="1"/>
    </row>
    <row r="51">
      <c r="A51" s="1">
        <v>48.0</v>
      </c>
      <c r="B51" s="24" t="s">
        <v>491</v>
      </c>
      <c r="C51" s="1" t="s">
        <v>346</v>
      </c>
      <c r="D51" s="24" t="s">
        <v>492</v>
      </c>
      <c r="E51" s="16" t="s">
        <v>351</v>
      </c>
      <c r="F51" s="17" t="s">
        <v>21</v>
      </c>
      <c r="G51" s="18"/>
      <c r="H51" s="1" t="s">
        <v>22</v>
      </c>
      <c r="I51" s="17"/>
      <c r="J51" s="18"/>
      <c r="K51" s="1"/>
      <c r="L51" s="1"/>
      <c r="M51" s="1"/>
      <c r="N51" s="1" t="s">
        <v>22</v>
      </c>
      <c r="O51" s="9"/>
      <c r="P51" s="1"/>
      <c r="Q51" s="1"/>
      <c r="R51" s="1"/>
      <c r="S51" s="1"/>
      <c r="T51" s="1"/>
      <c r="U51" s="1"/>
      <c r="V51" s="1"/>
      <c r="W51" s="1"/>
      <c r="X51" s="1"/>
      <c r="Y51" s="1"/>
      <c r="Z51" s="1"/>
    </row>
    <row r="52">
      <c r="A52" s="1">
        <v>49.0</v>
      </c>
      <c r="B52" s="24" t="s">
        <v>493</v>
      </c>
      <c r="C52" s="1" t="s">
        <v>494</v>
      </c>
      <c r="D52" s="24" t="s">
        <v>495</v>
      </c>
      <c r="E52" s="16" t="s">
        <v>351</v>
      </c>
      <c r="F52" s="17" t="s">
        <v>21</v>
      </c>
      <c r="G52" s="18" t="s">
        <v>22</v>
      </c>
      <c r="H52" s="1"/>
      <c r="I52" s="17"/>
      <c r="J52" s="18"/>
      <c r="K52" s="1"/>
      <c r="L52" s="1"/>
      <c r="M52" s="1"/>
      <c r="N52" s="1"/>
      <c r="O52" s="9" t="s">
        <v>496</v>
      </c>
      <c r="P52" s="1"/>
      <c r="Q52" s="1"/>
      <c r="R52" s="1"/>
      <c r="S52" s="1"/>
      <c r="T52" s="1"/>
      <c r="U52" s="1"/>
      <c r="V52" s="1"/>
      <c r="W52" s="1"/>
      <c r="X52" s="1"/>
      <c r="Y52" s="1"/>
      <c r="Z52" s="1"/>
    </row>
    <row r="53">
      <c r="A53" s="1">
        <v>50.0</v>
      </c>
      <c r="B53" s="24" t="s">
        <v>497</v>
      </c>
      <c r="C53" s="1" t="s">
        <v>498</v>
      </c>
      <c r="D53" s="24" t="s">
        <v>499</v>
      </c>
      <c r="E53" s="16" t="s">
        <v>21</v>
      </c>
      <c r="F53" s="17" t="s">
        <v>20</v>
      </c>
      <c r="G53" s="18" t="s">
        <v>22</v>
      </c>
      <c r="H53" s="1"/>
      <c r="I53" s="17"/>
      <c r="J53" s="18"/>
      <c r="K53" s="1"/>
      <c r="L53" s="1"/>
      <c r="M53" s="1"/>
      <c r="N53" s="1"/>
      <c r="O53" s="9" t="s">
        <v>500</v>
      </c>
      <c r="P53" s="1"/>
      <c r="Q53" s="1"/>
      <c r="R53" s="1"/>
      <c r="S53" s="1"/>
      <c r="T53" s="1"/>
      <c r="U53" s="1"/>
      <c r="V53" s="1"/>
      <c r="W53" s="1"/>
      <c r="X53" s="1"/>
      <c r="Y53" s="1"/>
      <c r="Z53" s="1"/>
    </row>
    <row r="54">
      <c r="A54" s="1">
        <v>51.0</v>
      </c>
      <c r="B54" s="24" t="s">
        <v>501</v>
      </c>
      <c r="C54" s="1" t="s">
        <v>502</v>
      </c>
      <c r="D54" s="24" t="s">
        <v>503</v>
      </c>
      <c r="E54" s="16" t="s">
        <v>21</v>
      </c>
      <c r="F54" s="17" t="s">
        <v>31</v>
      </c>
      <c r="G54" s="18" t="s">
        <v>22</v>
      </c>
      <c r="H54" s="1"/>
      <c r="I54" s="17"/>
      <c r="J54" s="18"/>
      <c r="K54" s="1"/>
      <c r="L54" s="1"/>
      <c r="M54" s="1"/>
      <c r="N54" s="1"/>
      <c r="O54" s="9" t="s">
        <v>504</v>
      </c>
      <c r="P54" s="1"/>
      <c r="Q54" s="1"/>
      <c r="R54" s="1"/>
      <c r="S54" s="1"/>
      <c r="T54" s="1"/>
      <c r="U54" s="1"/>
      <c r="V54" s="1"/>
      <c r="W54" s="1"/>
      <c r="X54" s="1"/>
      <c r="Y54" s="1"/>
      <c r="Z54" s="1"/>
    </row>
    <row r="55">
      <c r="A55" s="1">
        <v>52.0</v>
      </c>
      <c r="B55" s="24" t="s">
        <v>505</v>
      </c>
      <c r="C55" s="1" t="s">
        <v>409</v>
      </c>
      <c r="D55" s="24" t="s">
        <v>506</v>
      </c>
      <c r="E55" s="16" t="s">
        <v>21</v>
      </c>
      <c r="F55" s="17" t="s">
        <v>31</v>
      </c>
      <c r="G55" s="18" t="s">
        <v>22</v>
      </c>
      <c r="H55" s="1"/>
      <c r="I55" s="17"/>
      <c r="J55" s="18"/>
      <c r="K55" s="1"/>
      <c r="L55" s="1"/>
      <c r="M55" s="1"/>
      <c r="N55" s="1"/>
      <c r="O55" s="9" t="s">
        <v>507</v>
      </c>
      <c r="P55" s="1"/>
      <c r="Q55" s="1"/>
      <c r="R55" s="1"/>
      <c r="S55" s="1"/>
      <c r="T55" s="1"/>
      <c r="U55" s="1"/>
      <c r="V55" s="1"/>
      <c r="W55" s="1"/>
      <c r="X55" s="1"/>
      <c r="Y55" s="1"/>
      <c r="Z55" s="1"/>
    </row>
    <row r="56">
      <c r="A56" s="1">
        <v>53.0</v>
      </c>
      <c r="B56" s="24" t="s">
        <v>508</v>
      </c>
      <c r="C56" s="1" t="s">
        <v>509</v>
      </c>
      <c r="D56" s="24" t="s">
        <v>510</v>
      </c>
      <c r="E56" s="16" t="s">
        <v>21</v>
      </c>
      <c r="F56" s="17" t="s">
        <v>20</v>
      </c>
      <c r="G56" s="18" t="s">
        <v>22</v>
      </c>
      <c r="H56" s="1"/>
      <c r="I56" s="17"/>
      <c r="J56" s="18"/>
      <c r="K56" s="1" t="s">
        <v>22</v>
      </c>
      <c r="L56" s="1"/>
      <c r="M56" s="1"/>
      <c r="N56" s="1"/>
      <c r="O56" s="9"/>
      <c r="P56" s="1"/>
      <c r="Q56" s="1"/>
      <c r="R56" s="1"/>
      <c r="S56" s="1"/>
      <c r="T56" s="1"/>
      <c r="U56" s="1"/>
      <c r="V56" s="1"/>
      <c r="W56" s="1"/>
      <c r="X56" s="1"/>
      <c r="Y56" s="1"/>
      <c r="Z56" s="1"/>
    </row>
    <row r="57">
      <c r="A57" s="1">
        <v>54.0</v>
      </c>
      <c r="B57" s="24" t="s">
        <v>511</v>
      </c>
      <c r="C57" s="1" t="s">
        <v>512</v>
      </c>
      <c r="D57" s="24" t="s">
        <v>80</v>
      </c>
      <c r="E57" s="16" t="s">
        <v>351</v>
      </c>
      <c r="F57" s="17" t="s">
        <v>21</v>
      </c>
      <c r="G57" s="18"/>
      <c r="H57" s="1"/>
      <c r="I57" s="17" t="s">
        <v>22</v>
      </c>
      <c r="J57" s="18"/>
      <c r="K57" s="1"/>
      <c r="L57" s="1" t="s">
        <v>22</v>
      </c>
      <c r="M57" s="1"/>
      <c r="N57" s="1"/>
      <c r="O57" s="9"/>
      <c r="P57" s="1"/>
      <c r="Q57" s="1"/>
      <c r="R57" s="1"/>
      <c r="S57" s="1"/>
      <c r="T57" s="1"/>
      <c r="U57" s="1"/>
      <c r="V57" s="1"/>
      <c r="W57" s="1"/>
      <c r="X57" s="1"/>
      <c r="Y57" s="1"/>
      <c r="Z57" s="1"/>
    </row>
    <row r="58">
      <c r="A58" s="1">
        <v>55.0</v>
      </c>
      <c r="B58" s="24" t="s">
        <v>513</v>
      </c>
      <c r="C58" s="1" t="s">
        <v>514</v>
      </c>
      <c r="D58" s="24" t="s">
        <v>515</v>
      </c>
      <c r="E58" s="16" t="s">
        <v>351</v>
      </c>
      <c r="F58" s="17" t="s">
        <v>21</v>
      </c>
      <c r="G58" s="18"/>
      <c r="H58" s="1" t="s">
        <v>22</v>
      </c>
      <c r="I58" s="17"/>
      <c r="J58" s="18"/>
      <c r="K58" s="1"/>
      <c r="L58" s="1"/>
      <c r="M58" s="1"/>
      <c r="N58" s="1"/>
      <c r="O58" s="9" t="s">
        <v>516</v>
      </c>
      <c r="P58" s="1"/>
      <c r="Q58" s="1"/>
      <c r="R58" s="1"/>
      <c r="S58" s="1"/>
      <c r="T58" s="1"/>
      <c r="U58" s="1"/>
      <c r="V58" s="1"/>
      <c r="W58" s="1"/>
      <c r="X58" s="1"/>
      <c r="Y58" s="1"/>
      <c r="Z58" s="1"/>
    </row>
    <row r="59">
      <c r="A59" s="1">
        <v>56.0</v>
      </c>
      <c r="B59" s="24" t="s">
        <v>517</v>
      </c>
      <c r="C59" s="1" t="s">
        <v>518</v>
      </c>
      <c r="D59" s="24" t="s">
        <v>519</v>
      </c>
      <c r="E59" s="16" t="s">
        <v>351</v>
      </c>
      <c r="F59" s="17" t="s">
        <v>21</v>
      </c>
      <c r="G59" s="18" t="s">
        <v>22</v>
      </c>
      <c r="H59" s="1"/>
      <c r="I59" s="17"/>
      <c r="J59" s="18"/>
      <c r="K59" s="1"/>
      <c r="L59" s="1"/>
      <c r="M59" s="1"/>
      <c r="N59" s="1"/>
      <c r="O59" s="9" t="s">
        <v>520</v>
      </c>
      <c r="P59" s="1"/>
      <c r="Q59" s="1"/>
      <c r="R59" s="1"/>
      <c r="S59" s="1"/>
      <c r="T59" s="1"/>
      <c r="U59" s="1"/>
      <c r="V59" s="1"/>
      <c r="W59" s="1"/>
      <c r="X59" s="1"/>
      <c r="Y59" s="1"/>
      <c r="Z59" s="1"/>
    </row>
    <row r="60">
      <c r="A60" s="1">
        <v>57.0</v>
      </c>
      <c r="B60" s="24" t="s">
        <v>521</v>
      </c>
      <c r="C60" s="1" t="s">
        <v>522</v>
      </c>
      <c r="D60" s="24" t="s">
        <v>523</v>
      </c>
      <c r="E60" s="16" t="s">
        <v>351</v>
      </c>
      <c r="F60" s="17" t="s">
        <v>21</v>
      </c>
      <c r="G60" s="18" t="s">
        <v>22</v>
      </c>
      <c r="H60" s="1"/>
      <c r="I60" s="17"/>
      <c r="J60" s="18"/>
      <c r="K60" s="1"/>
      <c r="L60" s="1"/>
      <c r="M60" s="1"/>
      <c r="N60" s="1"/>
      <c r="O60" s="9" t="s">
        <v>524</v>
      </c>
      <c r="P60" s="1"/>
      <c r="Q60" s="1"/>
      <c r="R60" s="1"/>
      <c r="S60" s="1"/>
      <c r="T60" s="1"/>
      <c r="U60" s="1"/>
      <c r="V60" s="1"/>
      <c r="W60" s="1"/>
      <c r="X60" s="1"/>
      <c r="Y60" s="1"/>
      <c r="Z60" s="1"/>
    </row>
    <row r="61">
      <c r="A61" s="1">
        <v>58.0</v>
      </c>
      <c r="B61" s="24" t="s">
        <v>525</v>
      </c>
      <c r="C61" s="1" t="s">
        <v>375</v>
      </c>
      <c r="D61" s="24" t="s">
        <v>370</v>
      </c>
      <c r="E61" s="16" t="s">
        <v>351</v>
      </c>
      <c r="F61" s="17" t="s">
        <v>21</v>
      </c>
      <c r="G61" s="18"/>
      <c r="H61" s="1" t="s">
        <v>22</v>
      </c>
      <c r="I61" s="17"/>
      <c r="J61" s="18"/>
      <c r="K61" s="1"/>
      <c r="L61" s="1" t="s">
        <v>22</v>
      </c>
      <c r="M61" s="1"/>
      <c r="N61" s="1"/>
      <c r="O61" s="9"/>
      <c r="P61" s="1"/>
      <c r="Q61" s="1"/>
      <c r="R61" s="1"/>
      <c r="S61" s="1"/>
      <c r="T61" s="1"/>
      <c r="U61" s="1"/>
      <c r="V61" s="1"/>
      <c r="W61" s="1"/>
      <c r="X61" s="1"/>
      <c r="Y61" s="1"/>
      <c r="Z61" s="1"/>
    </row>
    <row r="62">
      <c r="A62" s="1">
        <v>59.0</v>
      </c>
      <c r="B62" s="24" t="s">
        <v>526</v>
      </c>
      <c r="C62" s="1" t="s">
        <v>471</v>
      </c>
      <c r="D62" s="24" t="s">
        <v>527</v>
      </c>
      <c r="E62" s="16" t="s">
        <v>351</v>
      </c>
      <c r="F62" s="17" t="s">
        <v>21</v>
      </c>
      <c r="G62" s="18" t="s">
        <v>22</v>
      </c>
      <c r="H62" s="1"/>
      <c r="I62" s="17"/>
      <c r="J62" s="18"/>
      <c r="K62" s="1"/>
      <c r="L62" s="1"/>
      <c r="M62" s="1"/>
      <c r="N62" s="1"/>
      <c r="O62" s="9" t="s">
        <v>528</v>
      </c>
      <c r="P62" s="1"/>
      <c r="Q62" s="1"/>
      <c r="R62" s="1"/>
      <c r="S62" s="1"/>
      <c r="T62" s="1"/>
      <c r="U62" s="1"/>
      <c r="V62" s="1"/>
      <c r="W62" s="1"/>
      <c r="X62" s="1"/>
      <c r="Y62" s="1"/>
      <c r="Z62" s="1"/>
    </row>
    <row r="63">
      <c r="A63" s="1">
        <v>60.0</v>
      </c>
      <c r="B63" s="24" t="s">
        <v>529</v>
      </c>
      <c r="C63" s="1" t="s">
        <v>530</v>
      </c>
      <c r="D63" s="24" t="s">
        <v>531</v>
      </c>
      <c r="E63" s="16" t="s">
        <v>351</v>
      </c>
      <c r="F63" s="17" t="s">
        <v>21</v>
      </c>
      <c r="G63" s="18"/>
      <c r="H63" s="1" t="s">
        <v>22</v>
      </c>
      <c r="I63" s="17"/>
      <c r="J63" s="18"/>
      <c r="K63" s="1"/>
      <c r="L63" s="1"/>
      <c r="M63" s="1"/>
      <c r="N63" s="1" t="s">
        <v>22</v>
      </c>
      <c r="O63" s="9"/>
      <c r="P63" s="1"/>
      <c r="Q63" s="1"/>
      <c r="R63" s="1"/>
      <c r="S63" s="1"/>
      <c r="T63" s="1"/>
      <c r="U63" s="1"/>
      <c r="V63" s="1"/>
      <c r="W63" s="1"/>
      <c r="X63" s="1"/>
      <c r="Y63" s="1"/>
      <c r="Z63" s="1"/>
    </row>
    <row r="64">
      <c r="A64" s="1">
        <v>61.0</v>
      </c>
      <c r="B64" s="24" t="s">
        <v>532</v>
      </c>
      <c r="C64" s="1" t="s">
        <v>533</v>
      </c>
      <c r="D64" s="24" t="s">
        <v>534</v>
      </c>
      <c r="E64" s="16" t="s">
        <v>21</v>
      </c>
      <c r="F64" s="17" t="s">
        <v>26</v>
      </c>
      <c r="G64" s="18"/>
      <c r="H64" s="1"/>
      <c r="I64" s="17" t="s">
        <v>22</v>
      </c>
      <c r="J64" s="18"/>
      <c r="K64" s="1"/>
      <c r="L64" s="1"/>
      <c r="M64" s="1"/>
      <c r="N64" s="1"/>
      <c r="O64" s="38" t="s">
        <v>535</v>
      </c>
      <c r="P64" s="1"/>
      <c r="Q64" s="1"/>
      <c r="R64" s="1"/>
      <c r="S64" s="1"/>
      <c r="T64" s="1"/>
      <c r="U64" s="1"/>
      <c r="V64" s="1"/>
      <c r="W64" s="1"/>
      <c r="X64" s="1"/>
      <c r="Y64" s="1"/>
      <c r="Z64" s="1"/>
    </row>
    <row r="65">
      <c r="A65" s="1">
        <v>62.0</v>
      </c>
      <c r="B65" s="24" t="s">
        <v>536</v>
      </c>
      <c r="C65" s="1" t="s">
        <v>537</v>
      </c>
      <c r="D65" s="24" t="s">
        <v>538</v>
      </c>
      <c r="E65" s="16" t="s">
        <v>351</v>
      </c>
      <c r="F65" s="17" t="s">
        <v>21</v>
      </c>
      <c r="G65" s="18"/>
      <c r="H65" s="1" t="s">
        <v>22</v>
      </c>
      <c r="I65" s="17"/>
      <c r="J65" s="18"/>
      <c r="K65" s="1"/>
      <c r="L65" s="1" t="s">
        <v>22</v>
      </c>
      <c r="M65" s="1"/>
      <c r="N65" s="1"/>
      <c r="O65" s="9"/>
      <c r="P65" s="1"/>
      <c r="Q65" s="1"/>
      <c r="R65" s="1"/>
      <c r="S65" s="1"/>
      <c r="T65" s="1"/>
      <c r="U65" s="1"/>
      <c r="V65" s="1"/>
      <c r="W65" s="1"/>
      <c r="X65" s="1"/>
      <c r="Y65" s="1"/>
      <c r="Z65" s="1"/>
    </row>
    <row r="66">
      <c r="A66" s="1">
        <v>63.0</v>
      </c>
      <c r="B66" s="24" t="s">
        <v>539</v>
      </c>
      <c r="C66" s="1" t="s">
        <v>540</v>
      </c>
      <c r="D66" s="24" t="s">
        <v>541</v>
      </c>
      <c r="E66" s="16" t="s">
        <v>21</v>
      </c>
      <c r="F66" s="17" t="s">
        <v>31</v>
      </c>
      <c r="G66" s="18" t="s">
        <v>22</v>
      </c>
      <c r="H66" s="1"/>
      <c r="I66" s="17"/>
      <c r="J66" s="18" t="s">
        <v>22</v>
      </c>
      <c r="K66" s="1"/>
      <c r="L66" s="1"/>
      <c r="M66" s="1"/>
      <c r="N66" s="1"/>
      <c r="O66" s="9"/>
      <c r="P66" s="1"/>
      <c r="Q66" s="1"/>
      <c r="R66" s="1"/>
      <c r="S66" s="1"/>
      <c r="T66" s="1"/>
      <c r="U66" s="1"/>
      <c r="V66" s="1"/>
      <c r="W66" s="1"/>
      <c r="X66" s="1"/>
      <c r="Y66" s="1"/>
      <c r="Z66" s="1"/>
    </row>
    <row r="67">
      <c r="A67" s="1">
        <v>64.0</v>
      </c>
      <c r="B67" s="24" t="s">
        <v>542</v>
      </c>
      <c r="C67" s="1" t="s">
        <v>391</v>
      </c>
      <c r="D67" s="24" t="s">
        <v>543</v>
      </c>
      <c r="E67" s="16" t="s">
        <v>351</v>
      </c>
      <c r="F67" s="17" t="s">
        <v>21</v>
      </c>
      <c r="G67" s="18" t="s">
        <v>22</v>
      </c>
      <c r="H67" s="1"/>
      <c r="I67" s="17"/>
      <c r="J67" s="18"/>
      <c r="K67" s="1"/>
      <c r="L67" s="1"/>
      <c r="M67" s="1"/>
      <c r="N67" s="1"/>
      <c r="O67" s="9" t="s">
        <v>544</v>
      </c>
      <c r="P67" s="1"/>
      <c r="Q67" s="1"/>
      <c r="R67" s="1"/>
      <c r="S67" s="1"/>
      <c r="T67" s="1"/>
      <c r="U67" s="1"/>
      <c r="V67" s="1"/>
      <c r="W67" s="1"/>
      <c r="X67" s="1"/>
      <c r="Y67" s="1"/>
      <c r="Z67" s="1"/>
    </row>
    <row r="68">
      <c r="A68" s="1">
        <v>65.0</v>
      </c>
      <c r="B68" s="24" t="s">
        <v>545</v>
      </c>
      <c r="C68" s="1" t="s">
        <v>546</v>
      </c>
      <c r="D68" s="24" t="s">
        <v>64</v>
      </c>
      <c r="E68" s="16" t="s">
        <v>21</v>
      </c>
      <c r="F68" s="17" t="s">
        <v>26</v>
      </c>
      <c r="G68" s="18" t="s">
        <v>22</v>
      </c>
      <c r="H68" s="1"/>
      <c r="I68" s="17"/>
      <c r="J68" s="18" t="s">
        <v>22</v>
      </c>
      <c r="K68" s="1"/>
      <c r="L68" s="1"/>
      <c r="M68" s="1"/>
      <c r="N68" s="1"/>
      <c r="O68" s="9"/>
      <c r="P68" s="1"/>
      <c r="Q68" s="1"/>
      <c r="R68" s="1"/>
      <c r="S68" s="1"/>
      <c r="T68" s="1"/>
      <c r="U68" s="1"/>
      <c r="V68" s="1"/>
      <c r="W68" s="1"/>
      <c r="X68" s="1"/>
      <c r="Y68" s="1"/>
      <c r="Z68" s="1"/>
    </row>
    <row r="69">
      <c r="A69" s="1">
        <v>66.0</v>
      </c>
      <c r="B69" s="24" t="s">
        <v>547</v>
      </c>
      <c r="C69" s="1" t="s">
        <v>415</v>
      </c>
      <c r="D69" s="24" t="s">
        <v>548</v>
      </c>
      <c r="E69" s="16" t="s">
        <v>21</v>
      </c>
      <c r="F69" s="17" t="s">
        <v>20</v>
      </c>
      <c r="G69" s="18" t="s">
        <v>22</v>
      </c>
      <c r="H69" s="1"/>
      <c r="I69" s="17"/>
      <c r="J69" s="18"/>
      <c r="K69" s="1"/>
      <c r="L69" s="1"/>
      <c r="M69" s="1"/>
      <c r="N69" s="1"/>
      <c r="O69" s="9" t="s">
        <v>549</v>
      </c>
      <c r="P69" s="1"/>
      <c r="Q69" s="1"/>
      <c r="R69" s="1"/>
      <c r="S69" s="1"/>
      <c r="T69" s="1"/>
      <c r="U69" s="1"/>
      <c r="V69" s="1"/>
      <c r="W69" s="1"/>
      <c r="X69" s="1"/>
      <c r="Y69" s="1"/>
      <c r="Z69" s="1"/>
    </row>
    <row r="70">
      <c r="A70" s="1">
        <v>67.0</v>
      </c>
      <c r="B70" s="24" t="s">
        <v>550</v>
      </c>
      <c r="C70" s="1" t="s">
        <v>551</v>
      </c>
      <c r="D70" s="24" t="s">
        <v>552</v>
      </c>
      <c r="E70" s="16" t="s">
        <v>351</v>
      </c>
      <c r="F70" s="17" t="s">
        <v>21</v>
      </c>
      <c r="G70" s="18"/>
      <c r="H70" s="1" t="s">
        <v>22</v>
      </c>
      <c r="I70" s="17"/>
      <c r="J70" s="18"/>
      <c r="K70" s="1"/>
      <c r="L70" s="1"/>
      <c r="M70" s="1"/>
      <c r="N70" s="1"/>
      <c r="O70" s="9" t="s">
        <v>553</v>
      </c>
      <c r="P70" s="1"/>
      <c r="Q70" s="1"/>
      <c r="R70" s="1"/>
      <c r="S70" s="1"/>
      <c r="T70" s="1"/>
      <c r="U70" s="1"/>
      <c r="V70" s="1"/>
      <c r="W70" s="1"/>
      <c r="X70" s="1"/>
      <c r="Y70" s="1"/>
      <c r="Z70" s="1"/>
    </row>
    <row r="71">
      <c r="A71" s="1">
        <v>68.0</v>
      </c>
      <c r="B71" s="24" t="s">
        <v>554</v>
      </c>
      <c r="C71" s="1" t="s">
        <v>555</v>
      </c>
      <c r="D71" s="24" t="s">
        <v>556</v>
      </c>
      <c r="E71" s="16" t="s">
        <v>351</v>
      </c>
      <c r="F71" s="17" t="s">
        <v>21</v>
      </c>
      <c r="G71" s="18"/>
      <c r="H71" s="1" t="s">
        <v>22</v>
      </c>
      <c r="I71" s="17"/>
      <c r="J71" s="18"/>
      <c r="K71" s="1"/>
      <c r="L71" s="1"/>
      <c r="M71" s="1"/>
      <c r="N71" s="1" t="s">
        <v>22</v>
      </c>
      <c r="O71" s="9"/>
      <c r="P71" s="1"/>
      <c r="Q71" s="1"/>
      <c r="R71" s="1"/>
      <c r="S71" s="1"/>
      <c r="T71" s="1"/>
      <c r="U71" s="1"/>
      <c r="V71" s="1"/>
      <c r="W71" s="1"/>
      <c r="X71" s="1"/>
      <c r="Y71" s="1"/>
      <c r="Z71" s="1"/>
    </row>
    <row r="72">
      <c r="A72" s="1">
        <v>69.0</v>
      </c>
      <c r="B72" s="24" t="s">
        <v>557</v>
      </c>
      <c r="C72" s="1" t="s">
        <v>498</v>
      </c>
      <c r="D72" s="24" t="s">
        <v>558</v>
      </c>
      <c r="E72" s="16" t="s">
        <v>21</v>
      </c>
      <c r="F72" s="17" t="s">
        <v>31</v>
      </c>
      <c r="G72" s="18" t="s">
        <v>22</v>
      </c>
      <c r="H72" s="1"/>
      <c r="I72" s="17"/>
      <c r="J72" s="18"/>
      <c r="K72" s="1"/>
      <c r="L72" s="1"/>
      <c r="M72" s="1"/>
      <c r="N72" s="1"/>
      <c r="O72" s="9" t="s">
        <v>559</v>
      </c>
      <c r="P72" s="1"/>
      <c r="Q72" s="1"/>
      <c r="R72" s="1"/>
      <c r="S72" s="1"/>
      <c r="T72" s="1"/>
      <c r="U72" s="1"/>
      <c r="V72" s="1"/>
      <c r="W72" s="1"/>
      <c r="X72" s="1"/>
      <c r="Y72" s="1"/>
      <c r="Z72" s="1"/>
    </row>
    <row r="73">
      <c r="A73" s="1">
        <v>70.0</v>
      </c>
      <c r="B73" s="24" t="s">
        <v>560</v>
      </c>
      <c r="C73" s="1" t="s">
        <v>407</v>
      </c>
      <c r="D73" s="24" t="s">
        <v>561</v>
      </c>
      <c r="E73" s="16" t="s">
        <v>21</v>
      </c>
      <c r="F73" s="17" t="s">
        <v>31</v>
      </c>
      <c r="G73" s="18" t="s">
        <v>22</v>
      </c>
      <c r="H73" s="1"/>
      <c r="I73" s="17"/>
      <c r="J73" s="18"/>
      <c r="K73" s="1"/>
      <c r="L73" s="1"/>
      <c r="M73" s="1"/>
      <c r="N73" s="1"/>
      <c r="O73" s="9" t="s">
        <v>559</v>
      </c>
      <c r="P73" s="1"/>
      <c r="Q73" s="1"/>
      <c r="R73" s="1"/>
      <c r="S73" s="1"/>
      <c r="T73" s="1"/>
      <c r="U73" s="1"/>
      <c r="V73" s="1"/>
      <c r="W73" s="1"/>
      <c r="X73" s="1"/>
      <c r="Y73" s="1"/>
      <c r="Z73" s="1"/>
    </row>
    <row r="74">
      <c r="A74" s="1">
        <v>71.0</v>
      </c>
      <c r="B74" s="24" t="s">
        <v>562</v>
      </c>
      <c r="C74" s="1" t="s">
        <v>563</v>
      </c>
      <c r="D74" s="24" t="s">
        <v>145</v>
      </c>
      <c r="E74" s="16" t="s">
        <v>351</v>
      </c>
      <c r="F74" s="17" t="s">
        <v>21</v>
      </c>
      <c r="G74" s="18" t="s">
        <v>22</v>
      </c>
      <c r="H74" s="1"/>
      <c r="I74" s="17"/>
      <c r="J74" s="18"/>
      <c r="K74" s="1"/>
      <c r="L74" s="1"/>
      <c r="M74" s="1"/>
      <c r="N74" s="1"/>
      <c r="O74" s="9" t="s">
        <v>564</v>
      </c>
      <c r="P74" s="1"/>
      <c r="Q74" s="1"/>
      <c r="R74" s="1"/>
      <c r="S74" s="1"/>
      <c r="T74" s="1"/>
      <c r="U74" s="1"/>
      <c r="V74" s="1"/>
      <c r="W74" s="1"/>
      <c r="X74" s="1"/>
      <c r="Y74" s="1"/>
      <c r="Z74" s="1"/>
    </row>
    <row r="75">
      <c r="A75" s="1">
        <v>72.0</v>
      </c>
      <c r="B75" s="24" t="s">
        <v>565</v>
      </c>
      <c r="C75" s="1" t="s">
        <v>566</v>
      </c>
      <c r="D75" s="24" t="s">
        <v>209</v>
      </c>
      <c r="E75" s="16" t="s">
        <v>21</v>
      </c>
      <c r="F75" s="17" t="s">
        <v>31</v>
      </c>
      <c r="G75" s="18" t="s">
        <v>22</v>
      </c>
      <c r="H75" s="1"/>
      <c r="I75" s="17"/>
      <c r="J75" s="18"/>
      <c r="K75" s="1"/>
      <c r="L75" s="1"/>
      <c r="M75" s="1"/>
      <c r="N75" s="1"/>
      <c r="O75" s="9" t="s">
        <v>567</v>
      </c>
      <c r="P75" s="1"/>
      <c r="Q75" s="1"/>
      <c r="R75" s="1"/>
      <c r="S75" s="1"/>
      <c r="T75" s="1"/>
      <c r="U75" s="1"/>
      <c r="V75" s="1"/>
      <c r="W75" s="1"/>
      <c r="X75" s="1"/>
      <c r="Y75" s="1"/>
      <c r="Z75" s="1"/>
    </row>
    <row r="76">
      <c r="A76" s="1">
        <v>73.0</v>
      </c>
      <c r="B76" s="24" t="s">
        <v>568</v>
      </c>
      <c r="C76" s="1" t="s">
        <v>569</v>
      </c>
      <c r="D76" s="24" t="s">
        <v>570</v>
      </c>
      <c r="E76" s="16" t="s">
        <v>351</v>
      </c>
      <c r="F76" s="17" t="s">
        <v>21</v>
      </c>
      <c r="G76" s="18"/>
      <c r="H76" s="1" t="s">
        <v>22</v>
      </c>
      <c r="I76" s="17"/>
      <c r="J76" s="18"/>
      <c r="K76" s="1"/>
      <c r="L76" s="1"/>
      <c r="M76" s="1"/>
      <c r="N76" s="1" t="s">
        <v>22</v>
      </c>
      <c r="O76" s="9"/>
      <c r="P76" s="1"/>
      <c r="Q76" s="1"/>
      <c r="R76" s="1"/>
      <c r="S76" s="1"/>
      <c r="T76" s="1"/>
      <c r="U76" s="1"/>
      <c r="V76" s="1"/>
      <c r="W76" s="1"/>
      <c r="X76" s="1"/>
      <c r="Y76" s="1"/>
      <c r="Z76" s="1"/>
    </row>
    <row r="77">
      <c r="A77" s="1">
        <v>74.0</v>
      </c>
      <c r="B77" s="24" t="s">
        <v>571</v>
      </c>
      <c r="C77" s="1" t="s">
        <v>572</v>
      </c>
      <c r="D77" s="24" t="s">
        <v>573</v>
      </c>
      <c r="E77" s="16" t="s">
        <v>351</v>
      </c>
      <c r="F77" s="17" t="s">
        <v>21</v>
      </c>
      <c r="G77" s="18" t="s">
        <v>22</v>
      </c>
      <c r="H77" s="1"/>
      <c r="I77" s="17"/>
      <c r="J77" s="18"/>
      <c r="K77" s="1"/>
      <c r="L77" s="1"/>
      <c r="M77" s="1"/>
      <c r="N77" s="1"/>
      <c r="O77" s="9" t="s">
        <v>574</v>
      </c>
      <c r="P77" s="1"/>
      <c r="Q77" s="1"/>
      <c r="R77" s="1"/>
      <c r="S77" s="1"/>
      <c r="T77" s="1"/>
      <c r="U77" s="1"/>
      <c r="V77" s="1"/>
      <c r="W77" s="1"/>
      <c r="X77" s="1"/>
      <c r="Y77" s="1"/>
      <c r="Z77" s="1"/>
    </row>
    <row r="78">
      <c r="A78" s="1">
        <v>75.0</v>
      </c>
      <c r="B78" s="24" t="s">
        <v>575</v>
      </c>
      <c r="C78" s="1" t="s">
        <v>576</v>
      </c>
      <c r="D78" s="24" t="s">
        <v>577</v>
      </c>
      <c r="E78" s="16" t="s">
        <v>351</v>
      </c>
      <c r="F78" s="17" t="s">
        <v>21</v>
      </c>
      <c r="G78" s="18" t="s">
        <v>22</v>
      </c>
      <c r="H78" s="1"/>
      <c r="I78" s="17"/>
      <c r="J78" s="18"/>
      <c r="K78" s="1"/>
      <c r="L78" s="1"/>
      <c r="M78" s="1"/>
      <c r="N78" s="1"/>
      <c r="O78" s="9" t="s">
        <v>578</v>
      </c>
      <c r="P78" s="1"/>
      <c r="Q78" s="1"/>
      <c r="R78" s="1"/>
      <c r="S78" s="1"/>
      <c r="T78" s="1"/>
      <c r="U78" s="1"/>
      <c r="V78" s="1"/>
      <c r="W78" s="1"/>
      <c r="X78" s="1"/>
      <c r="Y78" s="1"/>
      <c r="Z78" s="1"/>
    </row>
    <row r="79">
      <c r="A79" s="1">
        <v>76.0</v>
      </c>
      <c r="B79" s="24" t="s">
        <v>579</v>
      </c>
      <c r="C79" s="1" t="s">
        <v>580</v>
      </c>
      <c r="D79" s="24" t="s">
        <v>110</v>
      </c>
      <c r="E79" s="16" t="s">
        <v>21</v>
      </c>
      <c r="F79" s="17" t="s">
        <v>20</v>
      </c>
      <c r="G79" s="18"/>
      <c r="H79" s="1" t="s">
        <v>22</v>
      </c>
      <c r="I79" s="17"/>
      <c r="J79" s="18"/>
      <c r="K79" s="1"/>
      <c r="L79" s="1"/>
      <c r="M79" s="1" t="s">
        <v>22</v>
      </c>
      <c r="N79" s="1"/>
      <c r="O79" s="9"/>
      <c r="P79" s="1"/>
      <c r="Q79" s="1"/>
      <c r="R79" s="1"/>
      <c r="S79" s="1"/>
      <c r="T79" s="1"/>
      <c r="U79" s="1"/>
      <c r="V79" s="1"/>
      <c r="W79" s="1"/>
      <c r="X79" s="1"/>
      <c r="Y79" s="1"/>
      <c r="Z79" s="1"/>
    </row>
    <row r="80">
      <c r="A80" s="1">
        <v>77.0</v>
      </c>
      <c r="B80" s="24" t="s">
        <v>581</v>
      </c>
      <c r="C80" s="1" t="s">
        <v>362</v>
      </c>
      <c r="D80" s="24" t="s">
        <v>582</v>
      </c>
      <c r="E80" s="16" t="s">
        <v>21</v>
      </c>
      <c r="F80" s="17" t="s">
        <v>20</v>
      </c>
      <c r="G80" s="18" t="s">
        <v>22</v>
      </c>
      <c r="H80" s="1"/>
      <c r="I80" s="17"/>
      <c r="J80" s="18" t="s">
        <v>22</v>
      </c>
      <c r="K80" s="1"/>
      <c r="L80" s="1"/>
      <c r="M80" s="1"/>
      <c r="N80" s="1"/>
      <c r="O80" s="9" t="s">
        <v>583</v>
      </c>
      <c r="P80" s="1"/>
      <c r="Q80" s="1"/>
      <c r="R80" s="1"/>
      <c r="S80" s="1"/>
      <c r="T80" s="1"/>
      <c r="U80" s="1"/>
      <c r="V80" s="1"/>
      <c r="W80" s="1"/>
      <c r="X80" s="1"/>
      <c r="Y80" s="1"/>
      <c r="Z80" s="1"/>
    </row>
    <row r="81">
      <c r="A81" s="1">
        <v>78.0</v>
      </c>
      <c r="B81" s="24" t="s">
        <v>584</v>
      </c>
      <c r="C81" s="1" t="s">
        <v>585</v>
      </c>
      <c r="D81" s="24" t="s">
        <v>586</v>
      </c>
      <c r="E81" s="16" t="s">
        <v>351</v>
      </c>
      <c r="F81" s="17" t="s">
        <v>21</v>
      </c>
      <c r="G81" s="18" t="s">
        <v>22</v>
      </c>
      <c r="H81" s="1"/>
      <c r="I81" s="17"/>
      <c r="J81" s="18" t="s">
        <v>22</v>
      </c>
      <c r="K81" s="1"/>
      <c r="L81" s="1"/>
      <c r="M81" s="1"/>
      <c r="N81" s="1"/>
      <c r="O81" s="9" t="s">
        <v>587</v>
      </c>
      <c r="P81" s="1"/>
      <c r="Q81" s="1"/>
      <c r="R81" s="1"/>
      <c r="S81" s="1"/>
      <c r="T81" s="1"/>
      <c r="U81" s="1"/>
      <c r="V81" s="1"/>
      <c r="W81" s="1"/>
      <c r="X81" s="1"/>
      <c r="Y81" s="1"/>
      <c r="Z81" s="1"/>
    </row>
    <row r="82">
      <c r="A82" s="1">
        <v>79.0</v>
      </c>
      <c r="B82" s="24" t="s">
        <v>588</v>
      </c>
      <c r="C82" s="1" t="s">
        <v>589</v>
      </c>
      <c r="D82" s="24" t="s">
        <v>590</v>
      </c>
      <c r="E82" s="16" t="s">
        <v>21</v>
      </c>
      <c r="F82" s="17" t="s">
        <v>20</v>
      </c>
      <c r="G82" s="18" t="s">
        <v>22</v>
      </c>
      <c r="H82" s="1"/>
      <c r="I82" s="17"/>
      <c r="J82" s="18"/>
      <c r="K82" s="1" t="s">
        <v>22</v>
      </c>
      <c r="L82" s="1"/>
      <c r="M82" s="1"/>
      <c r="N82" s="1"/>
      <c r="O82" s="9" t="s">
        <v>591</v>
      </c>
      <c r="P82" s="1"/>
      <c r="Q82" s="1"/>
      <c r="R82" s="1"/>
      <c r="S82" s="1"/>
      <c r="T82" s="1"/>
      <c r="U82" s="1"/>
      <c r="V82" s="1"/>
      <c r="W82" s="1"/>
      <c r="X82" s="1"/>
      <c r="Y82" s="1"/>
      <c r="Z82" s="1"/>
    </row>
    <row r="83">
      <c r="A83" s="1">
        <v>80.0</v>
      </c>
      <c r="B83" s="24" t="s">
        <v>592</v>
      </c>
      <c r="C83" s="1" t="s">
        <v>522</v>
      </c>
      <c r="D83" s="24" t="s">
        <v>593</v>
      </c>
      <c r="E83" s="16" t="s">
        <v>351</v>
      </c>
      <c r="F83" s="17" t="s">
        <v>21</v>
      </c>
      <c r="G83" s="18"/>
      <c r="H83" s="1" t="s">
        <v>22</v>
      </c>
      <c r="I83" s="17"/>
      <c r="J83" s="18"/>
      <c r="K83" s="1"/>
      <c r="L83" s="1"/>
      <c r="M83" s="1"/>
      <c r="N83" s="1" t="s">
        <v>22</v>
      </c>
      <c r="O83" s="9" t="s">
        <v>594</v>
      </c>
      <c r="P83" s="1"/>
      <c r="Q83" s="1"/>
      <c r="R83" s="1"/>
      <c r="S83" s="1"/>
      <c r="T83" s="1"/>
      <c r="U83" s="1"/>
      <c r="V83" s="1"/>
      <c r="W83" s="1"/>
      <c r="X83" s="1"/>
      <c r="Y83" s="1"/>
      <c r="Z83" s="1"/>
    </row>
    <row r="84">
      <c r="A84" s="1">
        <v>81.0</v>
      </c>
      <c r="B84" s="24" t="s">
        <v>595</v>
      </c>
      <c r="C84" s="1" t="s">
        <v>432</v>
      </c>
      <c r="D84" s="24" t="s">
        <v>596</v>
      </c>
      <c r="E84" s="16" t="s">
        <v>351</v>
      </c>
      <c r="F84" s="17" t="s">
        <v>21</v>
      </c>
      <c r="G84" s="18"/>
      <c r="H84" s="1" t="s">
        <v>22</v>
      </c>
      <c r="I84" s="17"/>
      <c r="J84" s="18"/>
      <c r="K84" s="1"/>
      <c r="L84" s="1" t="s">
        <v>22</v>
      </c>
      <c r="M84" s="1"/>
      <c r="N84" s="1"/>
      <c r="O84" s="9" t="s">
        <v>597</v>
      </c>
      <c r="P84" s="1"/>
      <c r="Q84" s="1"/>
      <c r="R84" s="1"/>
      <c r="S84" s="1"/>
      <c r="T84" s="1"/>
      <c r="U84" s="1"/>
      <c r="V84" s="1"/>
      <c r="W84" s="1"/>
      <c r="X84" s="1"/>
      <c r="Y84" s="1"/>
      <c r="Z84" s="1"/>
    </row>
    <row r="85">
      <c r="A85" s="1">
        <v>82.0</v>
      </c>
      <c r="B85" s="24" t="s">
        <v>598</v>
      </c>
      <c r="C85" s="1" t="s">
        <v>599</v>
      </c>
      <c r="D85" s="24" t="s">
        <v>600</v>
      </c>
      <c r="E85" s="16" t="s">
        <v>21</v>
      </c>
      <c r="F85" s="17" t="s">
        <v>20</v>
      </c>
      <c r="G85" s="18" t="s">
        <v>22</v>
      </c>
      <c r="H85" s="1"/>
      <c r="I85" s="17"/>
      <c r="J85" s="18" t="s">
        <v>22</v>
      </c>
      <c r="K85" s="1"/>
      <c r="L85" s="1"/>
      <c r="M85" s="1"/>
      <c r="N85" s="1"/>
      <c r="O85" s="9" t="s">
        <v>601</v>
      </c>
      <c r="P85" s="1"/>
      <c r="Q85" s="1"/>
      <c r="R85" s="1"/>
      <c r="S85" s="1"/>
      <c r="T85" s="1"/>
      <c r="U85" s="1"/>
      <c r="V85" s="1"/>
      <c r="W85" s="1"/>
      <c r="X85" s="1"/>
      <c r="Y85" s="1"/>
      <c r="Z85" s="1"/>
    </row>
    <row r="86">
      <c r="A86" s="1">
        <v>83.0</v>
      </c>
      <c r="B86" s="24" t="s">
        <v>602</v>
      </c>
      <c r="C86" s="1" t="s">
        <v>395</v>
      </c>
      <c r="D86" s="24" t="s">
        <v>603</v>
      </c>
      <c r="E86" s="16" t="s">
        <v>351</v>
      </c>
      <c r="F86" s="17" t="s">
        <v>20</v>
      </c>
      <c r="G86" s="18" t="s">
        <v>22</v>
      </c>
      <c r="H86" s="1"/>
      <c r="I86" s="17"/>
      <c r="J86" s="18"/>
      <c r="K86" s="1" t="s">
        <v>22</v>
      </c>
      <c r="L86" s="1"/>
      <c r="M86" s="1"/>
      <c r="N86" s="1"/>
      <c r="O86" s="9" t="s">
        <v>604</v>
      </c>
      <c r="P86" s="1"/>
      <c r="Q86" s="1"/>
      <c r="R86" s="1"/>
      <c r="S86" s="1"/>
      <c r="T86" s="1"/>
      <c r="U86" s="1"/>
      <c r="V86" s="1"/>
      <c r="W86" s="1"/>
      <c r="X86" s="1"/>
      <c r="Y86" s="1"/>
      <c r="Z86" s="1"/>
    </row>
    <row r="87">
      <c r="A87" s="1">
        <v>84.0</v>
      </c>
      <c r="B87" s="24" t="s">
        <v>605</v>
      </c>
      <c r="C87" s="1" t="s">
        <v>606</v>
      </c>
      <c r="D87" s="24" t="s">
        <v>607</v>
      </c>
      <c r="E87" s="16" t="s">
        <v>351</v>
      </c>
      <c r="F87" s="17" t="s">
        <v>21</v>
      </c>
      <c r="G87" s="18"/>
      <c r="H87" s="1" t="s">
        <v>22</v>
      </c>
      <c r="I87" s="17"/>
      <c r="J87" s="18"/>
      <c r="K87" s="1"/>
      <c r="L87" s="1" t="s">
        <v>22</v>
      </c>
      <c r="M87" s="1"/>
      <c r="N87" s="1"/>
      <c r="O87" s="9" t="s">
        <v>608</v>
      </c>
      <c r="P87" s="1"/>
      <c r="Q87" s="1"/>
      <c r="R87" s="1"/>
      <c r="S87" s="1"/>
      <c r="T87" s="1"/>
      <c r="U87" s="1"/>
      <c r="V87" s="1"/>
      <c r="W87" s="1"/>
      <c r="X87" s="1"/>
      <c r="Y87" s="1"/>
      <c r="Z87" s="1"/>
    </row>
    <row r="88">
      <c r="A88" s="1">
        <v>85.0</v>
      </c>
      <c r="B88" s="24" t="s">
        <v>609</v>
      </c>
      <c r="C88" s="1" t="s">
        <v>610</v>
      </c>
      <c r="D88" s="24" t="s">
        <v>611</v>
      </c>
      <c r="E88" s="16" t="s">
        <v>351</v>
      </c>
      <c r="F88" s="17" t="s">
        <v>21</v>
      </c>
      <c r="G88" s="18"/>
      <c r="H88" s="1" t="s">
        <v>22</v>
      </c>
      <c r="I88" s="17"/>
      <c r="J88" s="18"/>
      <c r="K88" s="1"/>
      <c r="L88" s="1"/>
      <c r="M88" s="1"/>
      <c r="N88" s="1"/>
      <c r="O88" s="9" t="s">
        <v>612</v>
      </c>
      <c r="P88" s="1"/>
      <c r="Q88" s="1"/>
      <c r="R88" s="1"/>
      <c r="S88" s="1"/>
      <c r="T88" s="1"/>
      <c r="U88" s="1"/>
      <c r="V88" s="1"/>
      <c r="W88" s="1"/>
      <c r="X88" s="1"/>
      <c r="Y88" s="1"/>
      <c r="Z88" s="1"/>
    </row>
    <row r="89">
      <c r="A89" s="1">
        <v>86.0</v>
      </c>
      <c r="B89" s="24" t="s">
        <v>613</v>
      </c>
      <c r="C89" s="1" t="s">
        <v>614</v>
      </c>
      <c r="D89" s="24" t="s">
        <v>615</v>
      </c>
      <c r="E89" s="16" t="s">
        <v>351</v>
      </c>
      <c r="F89" s="17" t="s">
        <v>21</v>
      </c>
      <c r="G89" s="18" t="s">
        <v>22</v>
      </c>
      <c r="H89" s="1"/>
      <c r="I89" s="17"/>
      <c r="J89" s="18"/>
      <c r="K89" s="1"/>
      <c r="L89" s="1" t="s">
        <v>22</v>
      </c>
      <c r="M89" s="1"/>
      <c r="N89" s="1"/>
      <c r="O89" s="9" t="s">
        <v>616</v>
      </c>
      <c r="P89" s="1"/>
      <c r="Q89" s="1"/>
      <c r="R89" s="1"/>
      <c r="S89" s="1"/>
      <c r="T89" s="1"/>
      <c r="U89" s="1"/>
      <c r="V89" s="1"/>
      <c r="W89" s="1"/>
      <c r="X89" s="1"/>
      <c r="Y89" s="1"/>
      <c r="Z89" s="1"/>
    </row>
    <row r="90">
      <c r="A90" s="1">
        <v>87.0</v>
      </c>
      <c r="B90" s="24" t="s">
        <v>617</v>
      </c>
      <c r="C90" s="1" t="s">
        <v>618</v>
      </c>
      <c r="D90" s="24" t="s">
        <v>619</v>
      </c>
      <c r="E90" s="16" t="s">
        <v>351</v>
      </c>
      <c r="F90" s="17" t="s">
        <v>21</v>
      </c>
      <c r="G90" s="18" t="s">
        <v>22</v>
      </c>
      <c r="H90" s="1"/>
      <c r="I90" s="17"/>
      <c r="J90" s="18" t="s">
        <v>22</v>
      </c>
      <c r="K90" s="1"/>
      <c r="L90" s="1"/>
      <c r="M90" s="1"/>
      <c r="N90" s="1"/>
      <c r="O90" s="9" t="s">
        <v>620</v>
      </c>
      <c r="P90" s="1"/>
      <c r="Q90" s="1"/>
      <c r="R90" s="1"/>
      <c r="S90" s="1"/>
      <c r="T90" s="1"/>
      <c r="U90" s="1"/>
      <c r="V90" s="1"/>
      <c r="W90" s="1"/>
      <c r="X90" s="1"/>
      <c r="Y90" s="1"/>
      <c r="Z90" s="1"/>
    </row>
    <row r="91">
      <c r="A91" s="1">
        <v>88.0</v>
      </c>
      <c r="B91" s="24" t="s">
        <v>621</v>
      </c>
      <c r="C91" s="1" t="s">
        <v>622</v>
      </c>
      <c r="D91" s="24" t="s">
        <v>623</v>
      </c>
      <c r="E91" s="16" t="s">
        <v>351</v>
      </c>
      <c r="F91" s="17" t="s">
        <v>21</v>
      </c>
      <c r="G91" s="18" t="s">
        <v>22</v>
      </c>
      <c r="H91" s="1"/>
      <c r="I91" s="17"/>
      <c r="J91" s="18"/>
      <c r="K91" s="1"/>
      <c r="L91" s="1"/>
      <c r="M91" s="1"/>
      <c r="N91" s="1"/>
      <c r="O91" s="9" t="s">
        <v>624</v>
      </c>
      <c r="P91" s="1"/>
      <c r="Q91" s="1"/>
      <c r="R91" s="1"/>
      <c r="S91" s="1"/>
      <c r="T91" s="1"/>
      <c r="U91" s="1"/>
      <c r="V91" s="1"/>
      <c r="W91" s="1"/>
      <c r="X91" s="1"/>
      <c r="Y91" s="1"/>
      <c r="Z91" s="1"/>
    </row>
    <row r="92">
      <c r="A92" s="1">
        <v>89.0</v>
      </c>
      <c r="B92" s="24" t="s">
        <v>625</v>
      </c>
      <c r="C92" s="1" t="s">
        <v>626</v>
      </c>
      <c r="D92" s="24" t="s">
        <v>627</v>
      </c>
      <c r="E92" s="16" t="s">
        <v>351</v>
      </c>
      <c r="F92" s="17" t="s">
        <v>21</v>
      </c>
      <c r="G92" s="18" t="s">
        <v>22</v>
      </c>
      <c r="H92" s="1"/>
      <c r="I92" s="17"/>
      <c r="J92" s="18" t="s">
        <v>22</v>
      </c>
      <c r="K92" s="1"/>
      <c r="L92" s="1"/>
      <c r="M92" s="1"/>
      <c r="N92" s="1"/>
      <c r="O92" s="9" t="s">
        <v>628</v>
      </c>
      <c r="P92" s="1"/>
      <c r="Q92" s="1"/>
      <c r="R92" s="1"/>
      <c r="S92" s="1"/>
      <c r="T92" s="1"/>
      <c r="U92" s="1"/>
      <c r="V92" s="1"/>
      <c r="W92" s="1"/>
      <c r="X92" s="1"/>
      <c r="Y92" s="1"/>
      <c r="Z92" s="1"/>
    </row>
    <row r="93">
      <c r="A93" s="1">
        <v>90.0</v>
      </c>
      <c r="B93" s="24" t="s">
        <v>629</v>
      </c>
      <c r="C93" s="1" t="s">
        <v>630</v>
      </c>
      <c r="D93" s="24" t="s">
        <v>631</v>
      </c>
      <c r="E93" s="16" t="s">
        <v>351</v>
      </c>
      <c r="F93" s="17" t="s">
        <v>21</v>
      </c>
      <c r="G93" s="18"/>
      <c r="H93" s="1"/>
      <c r="I93" s="17" t="s">
        <v>22</v>
      </c>
      <c r="J93" s="18"/>
      <c r="K93" s="1"/>
      <c r="L93" s="1"/>
      <c r="M93" s="1"/>
      <c r="N93" s="1"/>
      <c r="O93" s="9" t="s">
        <v>632</v>
      </c>
      <c r="P93" s="1"/>
      <c r="Q93" s="1"/>
      <c r="R93" s="1"/>
      <c r="S93" s="1"/>
      <c r="T93" s="1"/>
      <c r="U93" s="1"/>
      <c r="V93" s="1"/>
      <c r="W93" s="1"/>
      <c r="X93" s="1"/>
      <c r="Y93" s="1"/>
      <c r="Z93" s="1"/>
    </row>
    <row r="94">
      <c r="A94" s="1">
        <v>91.0</v>
      </c>
      <c r="B94" s="24" t="s">
        <v>633</v>
      </c>
      <c r="C94" s="1" t="s">
        <v>626</v>
      </c>
      <c r="D94" s="24" t="s">
        <v>634</v>
      </c>
      <c r="E94" s="16" t="s">
        <v>351</v>
      </c>
      <c r="F94" s="17" t="s">
        <v>21</v>
      </c>
      <c r="G94" s="18" t="s">
        <v>22</v>
      </c>
      <c r="H94" s="1"/>
      <c r="I94" s="17"/>
      <c r="J94" s="18" t="s">
        <v>22</v>
      </c>
      <c r="K94" s="1"/>
      <c r="L94" s="1"/>
      <c r="M94" s="1"/>
      <c r="N94" s="1"/>
      <c r="O94" s="9" t="s">
        <v>635</v>
      </c>
      <c r="P94" s="1"/>
      <c r="Q94" s="1"/>
      <c r="R94" s="1"/>
      <c r="S94" s="1"/>
      <c r="T94" s="1"/>
      <c r="U94" s="1"/>
      <c r="V94" s="1"/>
      <c r="W94" s="1"/>
      <c r="X94" s="1"/>
      <c r="Y94" s="1"/>
      <c r="Z94" s="1"/>
    </row>
    <row r="95">
      <c r="A95" s="1">
        <v>92.0</v>
      </c>
      <c r="B95" s="24" t="s">
        <v>636</v>
      </c>
      <c r="C95" s="1" t="s">
        <v>360</v>
      </c>
      <c r="D95" s="24" t="s">
        <v>80</v>
      </c>
      <c r="E95" s="16" t="s">
        <v>351</v>
      </c>
      <c r="F95" s="17" t="s">
        <v>21</v>
      </c>
      <c r="G95" s="18"/>
      <c r="H95" s="1" t="s">
        <v>22</v>
      </c>
      <c r="I95" s="17"/>
      <c r="J95" s="18"/>
      <c r="K95" s="1"/>
      <c r="L95" s="1"/>
      <c r="M95" s="1"/>
      <c r="N95" s="1" t="s">
        <v>22</v>
      </c>
      <c r="O95" s="9" t="s">
        <v>637</v>
      </c>
      <c r="P95" s="1"/>
      <c r="Q95" s="1"/>
      <c r="R95" s="1"/>
      <c r="S95" s="1"/>
      <c r="T95" s="1"/>
      <c r="U95" s="1"/>
      <c r="V95" s="1"/>
      <c r="W95" s="1"/>
      <c r="X95" s="1"/>
      <c r="Y95" s="1"/>
      <c r="Z95" s="1"/>
    </row>
    <row r="96">
      <c r="A96" s="1">
        <v>93.0</v>
      </c>
      <c r="B96" s="24" t="s">
        <v>638</v>
      </c>
      <c r="C96" s="1" t="s">
        <v>639</v>
      </c>
      <c r="D96" s="24" t="s">
        <v>134</v>
      </c>
      <c r="E96" s="16" t="s">
        <v>351</v>
      </c>
      <c r="F96" s="17" t="s">
        <v>21</v>
      </c>
      <c r="G96" s="18"/>
      <c r="H96" s="1" t="s">
        <v>22</v>
      </c>
      <c r="I96" s="17"/>
      <c r="J96" s="18"/>
      <c r="K96" s="1"/>
      <c r="L96" s="1"/>
      <c r="M96" s="1"/>
      <c r="N96" s="1" t="s">
        <v>22</v>
      </c>
      <c r="O96" s="9" t="s">
        <v>640</v>
      </c>
      <c r="P96" s="1"/>
      <c r="Q96" s="1"/>
      <c r="R96" s="1"/>
      <c r="S96" s="1"/>
      <c r="T96" s="1"/>
      <c r="U96" s="1"/>
      <c r="V96" s="1"/>
      <c r="W96" s="1"/>
      <c r="X96" s="1"/>
      <c r="Y96" s="1"/>
      <c r="Z96" s="1"/>
    </row>
    <row r="97">
      <c r="A97" s="1">
        <v>94.0</v>
      </c>
      <c r="B97" s="24" t="s">
        <v>641</v>
      </c>
      <c r="C97" s="1" t="s">
        <v>642</v>
      </c>
      <c r="D97" s="24" t="s">
        <v>643</v>
      </c>
      <c r="E97" s="16" t="s">
        <v>21</v>
      </c>
      <c r="F97" s="17" t="s">
        <v>20</v>
      </c>
      <c r="G97" s="18"/>
      <c r="H97" s="1" t="s">
        <v>22</v>
      </c>
      <c r="I97" s="17"/>
      <c r="J97" s="18"/>
      <c r="K97" s="1"/>
      <c r="L97" s="1"/>
      <c r="M97" s="1" t="s">
        <v>22</v>
      </c>
      <c r="N97" s="1"/>
      <c r="O97" s="9" t="s">
        <v>644</v>
      </c>
      <c r="P97" s="1"/>
      <c r="Q97" s="1"/>
      <c r="R97" s="1"/>
      <c r="S97" s="1"/>
      <c r="T97" s="1"/>
      <c r="U97" s="1"/>
      <c r="V97" s="1"/>
      <c r="W97" s="1"/>
      <c r="X97" s="1"/>
      <c r="Y97" s="1"/>
      <c r="Z97" s="1"/>
    </row>
    <row r="98">
      <c r="A98" s="1">
        <v>95.0</v>
      </c>
      <c r="B98" s="24" t="s">
        <v>645</v>
      </c>
      <c r="C98" s="1" t="s">
        <v>646</v>
      </c>
      <c r="D98" s="24" t="s">
        <v>647</v>
      </c>
      <c r="E98" s="16" t="s">
        <v>21</v>
      </c>
      <c r="F98" s="17" t="s">
        <v>31</v>
      </c>
      <c r="G98" s="18" t="s">
        <v>22</v>
      </c>
      <c r="H98" s="1"/>
      <c r="I98" s="17"/>
      <c r="J98" s="18" t="s">
        <v>22</v>
      </c>
      <c r="K98" s="1"/>
      <c r="L98" s="1"/>
      <c r="M98" s="1"/>
      <c r="N98" s="1"/>
      <c r="O98" s="9" t="s">
        <v>648</v>
      </c>
      <c r="P98" s="1"/>
      <c r="Q98" s="1"/>
      <c r="R98" s="1"/>
      <c r="S98" s="1"/>
      <c r="T98" s="1"/>
      <c r="U98" s="1"/>
      <c r="V98" s="1"/>
      <c r="W98" s="1"/>
      <c r="X98" s="1"/>
      <c r="Y98" s="1"/>
      <c r="Z98" s="1"/>
    </row>
    <row r="99">
      <c r="A99" s="1">
        <v>96.0</v>
      </c>
      <c r="B99" s="24" t="s">
        <v>649</v>
      </c>
      <c r="C99" s="1" t="s">
        <v>395</v>
      </c>
      <c r="D99" s="24" t="s">
        <v>127</v>
      </c>
      <c r="E99" s="16" t="s">
        <v>21</v>
      </c>
      <c r="F99" s="17" t="s">
        <v>20</v>
      </c>
      <c r="G99" s="18" t="s">
        <v>22</v>
      </c>
      <c r="H99" s="1"/>
      <c r="I99" s="17"/>
      <c r="J99" s="18"/>
      <c r="K99" s="1" t="s">
        <v>22</v>
      </c>
      <c r="L99" s="1"/>
      <c r="M99" s="1"/>
      <c r="N99" s="1"/>
      <c r="O99" s="9" t="s">
        <v>604</v>
      </c>
      <c r="P99" s="1"/>
      <c r="Q99" s="1"/>
      <c r="R99" s="1"/>
      <c r="S99" s="1"/>
      <c r="T99" s="1"/>
      <c r="U99" s="1"/>
      <c r="V99" s="1"/>
      <c r="W99" s="1"/>
      <c r="X99" s="1"/>
      <c r="Y99" s="1"/>
      <c r="Z99" s="1"/>
    </row>
    <row r="100">
      <c r="A100" s="1">
        <v>97.0</v>
      </c>
      <c r="B100" s="24" t="s">
        <v>650</v>
      </c>
      <c r="C100" s="1" t="s">
        <v>651</v>
      </c>
      <c r="D100" s="24" t="s">
        <v>652</v>
      </c>
      <c r="E100" s="16" t="s">
        <v>351</v>
      </c>
      <c r="F100" s="17" t="s">
        <v>21</v>
      </c>
      <c r="G100" s="18"/>
      <c r="H100" s="1" t="s">
        <v>22</v>
      </c>
      <c r="I100" s="17"/>
      <c r="J100" s="18"/>
      <c r="K100" s="1"/>
      <c r="L100" s="1"/>
      <c r="M100" s="1"/>
      <c r="N100" s="1" t="s">
        <v>22</v>
      </c>
      <c r="O100" s="9" t="s">
        <v>594</v>
      </c>
      <c r="P100" s="1"/>
      <c r="Q100" s="1"/>
      <c r="R100" s="1"/>
      <c r="S100" s="1"/>
      <c r="T100" s="1"/>
      <c r="U100" s="1"/>
      <c r="V100" s="1"/>
      <c r="W100" s="1"/>
      <c r="X100" s="1"/>
      <c r="Y100" s="1"/>
      <c r="Z100" s="1"/>
    </row>
    <row r="101">
      <c r="A101" s="1">
        <v>98.0</v>
      </c>
      <c r="B101" s="26" t="s">
        <v>653</v>
      </c>
      <c r="C101" s="1" t="s">
        <v>537</v>
      </c>
      <c r="D101" s="24" t="s">
        <v>654</v>
      </c>
      <c r="E101" s="16" t="s">
        <v>21</v>
      </c>
      <c r="F101" s="17" t="s">
        <v>20</v>
      </c>
      <c r="G101" s="18"/>
      <c r="H101" s="1" t="s">
        <v>22</v>
      </c>
      <c r="I101" s="17"/>
      <c r="J101" s="18"/>
      <c r="K101" s="1"/>
      <c r="L101" s="1"/>
      <c r="M101" s="1" t="s">
        <v>22</v>
      </c>
      <c r="N101" s="1"/>
      <c r="O101" s="9" t="s">
        <v>655</v>
      </c>
      <c r="P101" s="1"/>
      <c r="Q101" s="1"/>
      <c r="R101" s="1"/>
      <c r="S101" s="1"/>
      <c r="T101" s="1"/>
      <c r="U101" s="1"/>
      <c r="V101" s="1"/>
      <c r="W101" s="1"/>
      <c r="X101" s="1"/>
      <c r="Y101" s="1"/>
      <c r="Z101" s="1"/>
    </row>
    <row r="102">
      <c r="A102" s="1">
        <v>99.0</v>
      </c>
      <c r="B102" s="24" t="s">
        <v>656</v>
      </c>
      <c r="C102" s="1" t="s">
        <v>657</v>
      </c>
      <c r="D102" s="24" t="s">
        <v>658</v>
      </c>
      <c r="E102" s="16" t="s">
        <v>21</v>
      </c>
      <c r="F102" s="17" t="s">
        <v>20</v>
      </c>
      <c r="G102" s="18"/>
      <c r="H102" s="1" t="s">
        <v>22</v>
      </c>
      <c r="I102" s="17"/>
      <c r="J102" s="18"/>
      <c r="K102" s="1"/>
      <c r="L102" s="1"/>
      <c r="M102" s="1" t="s">
        <v>22</v>
      </c>
      <c r="N102" s="1"/>
      <c r="O102" s="9" t="s">
        <v>659</v>
      </c>
      <c r="P102" s="1"/>
      <c r="Q102" s="1"/>
      <c r="R102" s="1"/>
      <c r="S102" s="1"/>
      <c r="T102" s="1"/>
      <c r="U102" s="1"/>
      <c r="V102" s="1"/>
      <c r="W102" s="1"/>
      <c r="X102" s="1"/>
      <c r="Y102" s="1"/>
      <c r="Z102" s="1"/>
    </row>
    <row r="103">
      <c r="A103" s="11">
        <v>100.0</v>
      </c>
      <c r="B103" s="29" t="s">
        <v>660</v>
      </c>
      <c r="C103" s="11" t="s">
        <v>494</v>
      </c>
      <c r="D103" s="29" t="s">
        <v>661</v>
      </c>
      <c r="E103" s="12" t="s">
        <v>351</v>
      </c>
      <c r="F103" s="13" t="s">
        <v>21</v>
      </c>
      <c r="G103" s="33" t="s">
        <v>22</v>
      </c>
      <c r="H103" s="11"/>
      <c r="I103" s="13"/>
      <c r="J103" s="33"/>
      <c r="K103" s="11"/>
      <c r="L103" s="11"/>
      <c r="M103" s="11"/>
      <c r="N103" s="11"/>
      <c r="O103" s="14" t="s">
        <v>620</v>
      </c>
      <c r="P103" s="1"/>
      <c r="Q103" s="1"/>
      <c r="R103" s="1"/>
      <c r="S103" s="1"/>
      <c r="T103" s="1"/>
      <c r="U103" s="1"/>
      <c r="V103" s="1"/>
      <c r="W103" s="1"/>
      <c r="X103" s="1"/>
      <c r="Y103" s="1"/>
      <c r="Z103" s="1"/>
    </row>
    <row r="104">
      <c r="A104" s="1"/>
      <c r="B104" s="1"/>
      <c r="C104" s="1"/>
      <c r="D104" s="1"/>
      <c r="E104" s="1"/>
      <c r="F104" s="1"/>
      <c r="G104" s="1">
        <f t="shared" ref="G104:N104" si="1">COUNTIF(G4:G103,"x")</f>
        <v>51</v>
      </c>
      <c r="H104" s="1">
        <f t="shared" si="1"/>
        <v>42</v>
      </c>
      <c r="I104" s="1">
        <f t="shared" si="1"/>
        <v>7</v>
      </c>
      <c r="J104" s="1">
        <f t="shared" si="1"/>
        <v>22</v>
      </c>
      <c r="K104" s="1">
        <f t="shared" si="1"/>
        <v>7</v>
      </c>
      <c r="L104" s="1">
        <f t="shared" si="1"/>
        <v>14</v>
      </c>
      <c r="M104" s="1">
        <f t="shared" si="1"/>
        <v>8</v>
      </c>
      <c r="N104" s="1">
        <f t="shared" si="1"/>
        <v>15</v>
      </c>
      <c r="O104" s="34"/>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34"/>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34"/>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34"/>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34"/>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34"/>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34"/>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34"/>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34"/>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34"/>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34"/>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34"/>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34"/>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34"/>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34"/>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34"/>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34"/>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34"/>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34"/>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34"/>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34"/>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34"/>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34"/>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34"/>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34"/>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34"/>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34"/>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34"/>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34"/>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34"/>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34"/>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34"/>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34"/>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34"/>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34"/>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34"/>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34"/>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34"/>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34"/>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34"/>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34"/>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34"/>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34"/>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34"/>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34"/>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34"/>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34"/>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34"/>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34"/>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34"/>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34"/>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34"/>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34"/>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34"/>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34"/>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34"/>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34"/>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34"/>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34"/>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34"/>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34"/>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34"/>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34"/>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34"/>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34"/>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34"/>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34"/>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34"/>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34"/>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34"/>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34"/>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34"/>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34"/>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34"/>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34"/>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34"/>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34"/>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34"/>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34"/>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34"/>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34"/>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34"/>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34"/>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34"/>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34"/>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34"/>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34"/>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34"/>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34"/>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34"/>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34"/>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34"/>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34"/>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34"/>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34"/>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34"/>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34"/>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34"/>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34"/>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34"/>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34"/>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34"/>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34"/>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34"/>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34"/>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34"/>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34"/>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34"/>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34"/>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34"/>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34"/>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34"/>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34"/>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34"/>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34"/>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34"/>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34"/>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34"/>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34"/>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34"/>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34"/>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34"/>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34"/>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34"/>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34"/>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34"/>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34"/>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34"/>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34"/>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34"/>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34"/>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34"/>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34"/>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34"/>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34"/>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34"/>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34"/>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34"/>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34"/>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34"/>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34"/>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34"/>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34"/>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34"/>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34"/>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34"/>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34"/>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34"/>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34"/>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34"/>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34"/>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34"/>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34"/>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34"/>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34"/>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34"/>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34"/>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34"/>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34"/>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34"/>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34"/>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34"/>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34"/>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34"/>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34"/>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34"/>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34"/>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34"/>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34"/>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34"/>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34"/>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34"/>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34"/>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34"/>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34"/>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34"/>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34"/>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34"/>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34"/>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34"/>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34"/>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34"/>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34"/>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34"/>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34"/>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34"/>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34"/>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34"/>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34"/>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34"/>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34"/>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34"/>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34"/>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34"/>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34"/>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34"/>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34"/>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34"/>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34"/>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34"/>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34"/>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34"/>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34"/>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34"/>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34"/>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34"/>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34"/>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34"/>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34"/>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34"/>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34"/>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34"/>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34"/>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34"/>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34"/>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34"/>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34"/>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34"/>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34"/>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34"/>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34"/>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34"/>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34"/>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34"/>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34"/>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34"/>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34"/>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34"/>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34"/>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34"/>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34"/>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34"/>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34"/>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34"/>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34"/>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34"/>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34"/>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34"/>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34"/>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34"/>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34"/>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34"/>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34"/>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34"/>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34"/>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34"/>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34"/>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34"/>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34"/>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34"/>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34"/>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34"/>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34"/>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34"/>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34"/>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34"/>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34"/>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34"/>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34"/>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34"/>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34"/>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34"/>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34"/>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34"/>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34"/>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34"/>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34"/>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34"/>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34"/>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34"/>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34"/>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34"/>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34"/>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34"/>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34"/>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34"/>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34"/>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34"/>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34"/>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34"/>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34"/>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34"/>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34"/>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34"/>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34"/>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34"/>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34"/>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34"/>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34"/>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34"/>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34"/>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34"/>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34"/>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34"/>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34"/>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34"/>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34"/>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34"/>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34"/>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34"/>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34"/>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34"/>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34"/>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34"/>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34"/>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34"/>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34"/>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34"/>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34"/>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34"/>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34"/>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34"/>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34"/>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34"/>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34"/>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34"/>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34"/>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34"/>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34"/>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34"/>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34"/>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34"/>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34"/>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34"/>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34"/>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34"/>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34"/>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34"/>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34"/>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34"/>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34"/>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34"/>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34"/>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34"/>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34"/>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34"/>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34"/>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34"/>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34"/>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34"/>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34"/>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34"/>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34"/>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34"/>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34"/>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34"/>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34"/>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34"/>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34"/>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34"/>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34"/>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34"/>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34"/>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34"/>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34"/>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34"/>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34"/>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34"/>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34"/>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34"/>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34"/>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34"/>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34"/>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34"/>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34"/>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34"/>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34"/>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34"/>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34"/>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34"/>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34"/>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34"/>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34"/>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34"/>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34"/>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34"/>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34"/>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34"/>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34"/>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34"/>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34"/>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34"/>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34"/>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34"/>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34"/>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34"/>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34"/>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34"/>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34"/>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34"/>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34"/>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34"/>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34"/>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34"/>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34"/>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34"/>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34"/>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34"/>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34"/>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34"/>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34"/>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34"/>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34"/>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34"/>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34"/>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34"/>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34"/>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34"/>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34"/>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34"/>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34"/>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34"/>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34"/>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34"/>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34"/>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34"/>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34"/>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34"/>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34"/>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34"/>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34"/>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34"/>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34"/>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34"/>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34"/>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34"/>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34"/>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34"/>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34"/>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34"/>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34"/>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34"/>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34"/>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34"/>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34"/>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34"/>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34"/>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34"/>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34"/>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34"/>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34"/>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34"/>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34"/>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34"/>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34"/>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34"/>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34"/>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34"/>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34"/>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34"/>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34"/>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34"/>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34"/>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34"/>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34"/>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34"/>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34"/>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34"/>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34"/>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34"/>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34"/>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34"/>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34"/>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34"/>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34"/>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34"/>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34"/>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34"/>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34"/>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34"/>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34"/>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34"/>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34"/>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34"/>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34"/>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34"/>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34"/>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34"/>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34"/>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34"/>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34"/>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34"/>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34"/>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34"/>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34"/>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34"/>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34"/>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34"/>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34"/>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34"/>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34"/>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34"/>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34"/>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34"/>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34"/>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34"/>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34"/>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34"/>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34"/>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34"/>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34"/>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34"/>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34"/>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34"/>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34"/>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34"/>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34"/>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34"/>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34"/>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34"/>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34"/>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34"/>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34"/>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34"/>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34"/>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34"/>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34"/>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34"/>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34"/>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34"/>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34"/>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34"/>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34"/>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34"/>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34"/>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34"/>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34"/>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34"/>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34"/>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34"/>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34"/>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34"/>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34"/>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34"/>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34"/>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34"/>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34"/>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34"/>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34"/>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34"/>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34"/>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34"/>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34"/>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34"/>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34"/>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34"/>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34"/>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34"/>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34"/>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34"/>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34"/>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34"/>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34"/>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34"/>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34"/>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34"/>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34"/>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34"/>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34"/>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34"/>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34"/>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34"/>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34"/>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34"/>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34"/>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34"/>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34"/>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34"/>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34"/>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34"/>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34"/>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34"/>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34"/>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34"/>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34"/>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34"/>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34"/>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34"/>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34"/>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34"/>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34"/>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34"/>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34"/>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34"/>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34"/>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34"/>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34"/>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34"/>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34"/>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34"/>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34"/>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34"/>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34"/>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34"/>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34"/>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34"/>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34"/>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34"/>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34"/>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34"/>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34"/>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34"/>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34"/>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34"/>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34"/>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34"/>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34"/>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34"/>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34"/>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34"/>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34"/>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34"/>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34"/>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34"/>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34"/>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34"/>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34"/>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34"/>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34"/>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34"/>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34"/>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34"/>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34"/>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34"/>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34"/>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34"/>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34"/>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34"/>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34"/>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34"/>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34"/>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34"/>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34"/>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34"/>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34"/>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34"/>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34"/>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34"/>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34"/>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34"/>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34"/>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34"/>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34"/>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34"/>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34"/>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34"/>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34"/>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34"/>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34"/>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34"/>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34"/>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34"/>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34"/>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34"/>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34"/>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34"/>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34"/>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34"/>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34"/>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34"/>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34"/>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34"/>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34"/>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34"/>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34"/>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34"/>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34"/>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34"/>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34"/>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34"/>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34"/>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34"/>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34"/>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34"/>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34"/>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34"/>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34"/>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34"/>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34"/>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34"/>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34"/>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34"/>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34"/>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34"/>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34"/>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34"/>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34"/>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34"/>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34"/>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34"/>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34"/>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34"/>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34"/>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34"/>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34"/>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34"/>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34"/>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34"/>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34"/>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34"/>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34"/>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34"/>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34"/>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34"/>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34"/>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34"/>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34"/>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34"/>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34"/>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34"/>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34"/>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34"/>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34"/>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34"/>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34"/>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34"/>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34"/>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34"/>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34"/>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34"/>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34"/>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34"/>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34"/>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34"/>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34"/>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34"/>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34"/>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34"/>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34"/>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34"/>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34"/>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34"/>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34"/>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34"/>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34"/>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34"/>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34"/>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34"/>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34"/>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34"/>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34"/>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34"/>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34"/>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34"/>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34"/>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34"/>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34"/>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34"/>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34"/>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34"/>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34"/>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34"/>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34"/>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34"/>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34"/>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34"/>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34"/>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34"/>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34"/>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34"/>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34"/>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34"/>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34"/>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34"/>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34"/>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34"/>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34"/>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34"/>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34"/>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34"/>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34"/>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34"/>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34"/>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34"/>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34"/>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34"/>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34"/>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34"/>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34"/>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34"/>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34"/>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34"/>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34"/>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34"/>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34"/>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34"/>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34"/>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34"/>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34"/>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34"/>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34"/>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34"/>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34"/>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34"/>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34"/>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34"/>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34"/>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34"/>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34"/>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34"/>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34"/>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34"/>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34"/>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34"/>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34"/>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34"/>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34"/>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34"/>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34"/>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34"/>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34"/>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34"/>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34"/>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34"/>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34"/>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34"/>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34"/>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34"/>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34"/>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34"/>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34"/>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34"/>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34"/>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34"/>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34"/>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34"/>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34"/>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34"/>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34"/>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34"/>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34"/>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34"/>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34"/>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34"/>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34"/>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34"/>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34"/>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34"/>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34"/>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34"/>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34"/>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34"/>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34"/>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34"/>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34"/>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34"/>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34"/>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34"/>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34"/>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34"/>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34"/>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34"/>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34"/>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34"/>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34"/>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34"/>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34"/>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34"/>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34"/>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34"/>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34"/>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34"/>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34"/>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34"/>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34"/>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34"/>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34"/>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34"/>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34"/>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34"/>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34"/>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34"/>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34"/>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34"/>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34"/>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34"/>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34"/>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34"/>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34"/>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34"/>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34"/>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34"/>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34"/>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34"/>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34"/>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34"/>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34"/>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34"/>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34"/>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34"/>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34"/>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34"/>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34"/>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34"/>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34"/>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34"/>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34"/>
      <c r="P1000" s="1"/>
      <c r="Q1000" s="1"/>
      <c r="R1000" s="1"/>
      <c r="S1000" s="1"/>
      <c r="T1000" s="1"/>
      <c r="U1000" s="1"/>
      <c r="V1000" s="1"/>
      <c r="W1000" s="1"/>
      <c r="X1000" s="1"/>
      <c r="Y1000" s="1"/>
      <c r="Z1000" s="1"/>
    </row>
  </sheetData>
  <mergeCells count="3">
    <mergeCell ref="E2:F2"/>
    <mergeCell ref="G2:I2"/>
    <mergeCell ref="J2:N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0">
        <f>IFERROR(__xludf.DUMMYFUNCTION("{ QUERY({ 'Copy of OD-E2E'!A4:P54 }, ""SELECT * LIMIT 50"",0)}"),38.0)</f>
        <v>38</v>
      </c>
      <c r="B1" s="72" t="str">
        <f>IFERROR(__xludf.DUMMYFUNCTION("""COMPUTED_VALUE"""),"The Mill, which serves fast food, is a low-priced pub. It has a low customer rating. Non-kid-friendly The Mill is located in the city centre near Café Sicilia.")</f>
        <v>The Mill, which serves fast food, is a low-priced pub. It has a low customer rating. Non-kid-friendly The Mill is located in the city centre near Café Sicilia.</v>
      </c>
      <c r="C1" s="72" t="str">
        <f>IFERROR(__xludf.DUMMYFUNCTION("""COMPUTED_VALUE"""),"The Mill|eat_type|pub ++ The Mill|food|Fast food ++ The Mill|price_range|less than £20 ++ The Mill|rating|low ++ The Mill|area|city centre ++ The Mill|family_friendly|no ++ The Mill|near|Café Sicilia")</f>
        <v>The Mill|eat_type|pub ++ The Mill|food|Fast food ++ The Mill|price_range|less than £20 ++ The Mill|rating|low ++ The Mill|area|city centre ++ The Mill|family_friendly|no ++ The Mill|near|Café Sicilia</v>
      </c>
      <c r="D1" s="72">
        <f>IFERROR(__xludf.DUMMYFUNCTION("""COMPUTED_VALUE"""),0.121)</f>
        <v>0.121</v>
      </c>
      <c r="E1" s="72" t="str">
        <f>IFERROR(__xludf.DUMMYFUNCTION("""COMPUTED_VALUE"""),"OK")</f>
        <v>OK</v>
      </c>
      <c r="F1" s="72" t="str">
        <f>IFERROR(__xludf.DUMMYFUNCTION("""COMPUTED_VALUE"""),"omission")</f>
        <v>omission</v>
      </c>
      <c r="G1" s="72" t="str">
        <f>IFERROR(__xludf.DUMMYFUNCTION("""COMPUTED_VALUE"""),"x")</f>
        <v>x</v>
      </c>
      <c r="H1" s="72"/>
      <c r="I1" s="72"/>
      <c r="J1" s="72"/>
      <c r="K1" s="72" t="str">
        <f>IFERROR(__xludf.DUMMYFUNCTION("""COMPUTED_VALUE"""),"x")</f>
        <v>x</v>
      </c>
      <c r="L1" s="72"/>
      <c r="M1" s="72"/>
      <c r="N1" s="72"/>
      <c r="O1" s="72"/>
      <c r="P1" s="72"/>
    </row>
    <row r="2">
      <c r="A2" s="72">
        <f>IFERROR(__xludf.DUMMYFUNCTION("""COMPUTED_VALUE"""),36.0)</f>
        <v>36</v>
      </c>
      <c r="B2" s="72" t="str">
        <f>IFERROR(__xludf.DUMMYFUNCTION("""COMPUTED_VALUE"""),"Family-friendly The Mill is a low-priced pub serving English cuisine. It is located in the city centre area and can be found near Raja Indian Cuisine.")</f>
        <v>Family-friendly The Mill is a low-priced pub serving English cuisine. It is located in the city centre area and can be found near Raja Indian Cuisine.</v>
      </c>
      <c r="C2" s="72" t="str">
        <f>IFERROR(__xludf.DUMMYFUNCTION("""COMPUTED_VALUE"""),"The Mill|eat_type|pub ++ The Mill|food|English ++ The Mill|price_range|less than £20 ++ The Mill|area|city centre ++ The Mill|family_friendly|yes ++ The Mill|near|Raja Indian Cuisine")</f>
        <v>The Mill|eat_type|pub ++ The Mill|food|English ++ The Mill|price_range|less than £20 ++ The Mill|area|city centre ++ The Mill|family_friendly|yes ++ The Mill|near|Raja Indian Cuisine</v>
      </c>
      <c r="D2" s="72">
        <f>IFERROR(__xludf.DUMMYFUNCTION("""COMPUTED_VALUE"""),0.137)</f>
        <v>0.137</v>
      </c>
      <c r="E2" s="72" t="str">
        <f>IFERROR(__xludf.DUMMYFUNCTION("""COMPUTED_VALUE"""),"OK")</f>
        <v>OK</v>
      </c>
      <c r="F2" s="72" t="str">
        <f>IFERROR(__xludf.DUMMYFUNCTION("""COMPUTED_VALUE"""),"omission")</f>
        <v>omission</v>
      </c>
      <c r="G2" s="72" t="str">
        <f>IFERROR(__xludf.DUMMYFUNCTION("""COMPUTED_VALUE"""),"x")</f>
        <v>x</v>
      </c>
      <c r="H2" s="72"/>
      <c r="I2" s="72"/>
      <c r="J2" s="72"/>
      <c r="K2" s="72" t="str">
        <f>IFERROR(__xludf.DUMMYFUNCTION("""COMPUTED_VALUE"""),"x")</f>
        <v>x</v>
      </c>
      <c r="L2" s="72"/>
      <c r="M2" s="72"/>
      <c r="N2" s="72"/>
      <c r="O2" s="72"/>
      <c r="P2" s="72"/>
    </row>
    <row r="3">
      <c r="A3" s="72">
        <f>IFERROR(__xludf.DUMMYFUNCTION("""COMPUTED_VALUE"""),92.0)</f>
        <v>92</v>
      </c>
      <c r="B3" s="72" t="str">
        <f>IFERROR(__xludf.DUMMYFUNCTION("""COMPUTED_VALUE"""),"The Mill is a Fast food pub. It is located in city centre, near Café Sicilia. It has 1 out of 5 customer rating since it is not family-friendly, but offer dishes for moderate.")</f>
        <v>The Mill is a Fast food pub. It is located in city centre, near Café Sicilia. It has 1 out of 5 customer rating since it is not family-friendly, but offer dishes for moderate.</v>
      </c>
      <c r="C3" s="72" t="str">
        <f>IFERROR(__xludf.DUMMYFUNCTION("""COMPUTED_VALUE"""),"The Mill|eat_type|pub ++ The Mill|food|Fast food ++ The Mill|price_range|moderate ++ The Mill|rating|1 out of 5 ++ The Mill|area|city centre ++ The Mill|family_friendly|no ++ The Mill|near|Café Sicilia")</f>
        <v>The Mill|eat_type|pub ++ The Mill|food|Fast food ++ The Mill|price_range|moderate ++ The Mill|rating|1 out of 5 ++ The Mill|area|city centre ++ The Mill|family_friendly|no ++ The Mill|near|Café Sicilia</v>
      </c>
      <c r="D3" s="72">
        <f>IFERROR(__xludf.DUMMYFUNCTION("""COMPUTED_VALUE"""),0.434)</f>
        <v>0.434</v>
      </c>
      <c r="E3" s="72" t="str">
        <f>IFERROR(__xludf.DUMMYFUNCTION("""COMPUTED_VALUE"""),"omission")</f>
        <v>omission</v>
      </c>
      <c r="F3" s="72" t="str">
        <f>IFERROR(__xludf.DUMMYFUNCTION("""COMPUTED_VALUE"""),"hallucination")</f>
        <v>hallucination</v>
      </c>
      <c r="G3" s="72" t="str">
        <f>IFERROR(__xludf.DUMMYFUNCTION("""COMPUTED_VALUE"""),"x")</f>
        <v>x</v>
      </c>
      <c r="H3" s="72"/>
      <c r="I3" s="72"/>
      <c r="J3" s="72"/>
      <c r="K3" s="72"/>
      <c r="L3" s="72"/>
      <c r="M3" s="72"/>
      <c r="N3" s="72"/>
      <c r="O3" s="72"/>
      <c r="P3" s="72"/>
    </row>
    <row r="4">
      <c r="A4" s="72">
        <f>IFERROR(__xludf.DUMMYFUNCTION("""COMPUTED_VALUE"""),25.0)</f>
        <v>25</v>
      </c>
      <c r="B4" s="72" t="str">
        <f>IFERROR(__xludf.DUMMYFUNCTION("""COMPUTED_VALUE"""),"The Cricketers is a high restaurant that serves English food. Yes it is kids-friendly. It has an average customer rating and is located in the city centre area near Café Rouge.")</f>
        <v>The Cricketers is a high restaurant that serves English food. Yes it is kids-friendly. It has an average customer rating and is located in the city centre area near Café Rouge.</v>
      </c>
      <c r="C4" s="72" t="str">
        <f>IFERROR(__xludf.DUMMYFUNCTION("""COMPUTED_VALUE"""),"The Cricketers|eat_type|restaurant ++ The Cricketers|food|English ++ The Cricketers|price_range|high ++ The Cricketers|rating|average ++ The Cricketers|area|city centre ++ The Cricketers|family_friendly|yes ++ The Cricketers|near|Café Rouge")</f>
        <v>The Cricketers|eat_type|restaurant ++ The Cricketers|food|English ++ The Cricketers|price_range|high ++ The Cricketers|rating|average ++ The Cricketers|area|city centre ++ The Cricketers|family_friendly|yes ++ The Cricketers|near|Café Rouge</v>
      </c>
      <c r="D4" s="72">
        <f>IFERROR(__xludf.DUMMYFUNCTION("""COMPUTED_VALUE"""),0.887)</f>
        <v>0.887</v>
      </c>
      <c r="E4" s="72" t="str">
        <f>IFERROR(__xludf.DUMMYFUNCTION("""COMPUTED_VALUE"""),"omission")</f>
        <v>omission</v>
      </c>
      <c r="F4" s="72" t="str">
        <f>IFERROR(__xludf.DUMMYFUNCTION("""COMPUTED_VALUE"""),"OK")</f>
        <v>OK</v>
      </c>
      <c r="G4" s="72"/>
      <c r="H4" s="72"/>
      <c r="I4" s="72" t="str">
        <f>IFERROR(__xludf.DUMMYFUNCTION("""COMPUTED_VALUE"""),"x")</f>
        <v>x</v>
      </c>
      <c r="J4" s="72"/>
      <c r="K4" s="72"/>
      <c r="L4" s="72"/>
      <c r="M4" s="72"/>
      <c r="N4" s="72"/>
      <c r="O4" s="72"/>
      <c r="P4" s="72" t="str">
        <f>IFERROR(__xludf.DUMMYFUNCTION("""COMPUTED_VALUE"""),"edge case: ""high restaurant"" (as in price range=high)")</f>
        <v>edge case: "high restaurant" (as in price range=high)</v>
      </c>
    </row>
    <row r="5">
      <c r="A5" s="72">
        <f>IFERROR(__xludf.DUMMYFUNCTION("""COMPUTED_VALUE"""),70.0)</f>
        <v>70</v>
      </c>
      <c r="B5" s="72" t="str">
        <f>IFERROR(__xludf.DUMMYFUNCTION("""COMPUTED_VALUE"""),"The Cricketers is a chinese restaurant in the riverside area near All Bar One. It is children friendly and has an average customer rating and a high price range.")</f>
        <v>The Cricketers is a chinese restaurant in the riverside area near All Bar One. It is children friendly and has an average customer rating and a high price range.</v>
      </c>
      <c r="C5" s="72" t="str">
        <f>IFERROR(__xludf.DUMMYFUNCTION("""COMPUTED_VALUE"""),"The Cricketers|eat_type|restaurant ++ The Cricketers|food|Chinese ++ The Cricketers|price_range|high ++ The Cricketers|rating|average ++ The Cricketers|area|riverside ++ The Cricketers|family_friendly|yes ++ The Cricketers|near|All Bar One")</f>
        <v>The Cricketers|eat_type|restaurant ++ The Cricketers|food|Chinese ++ The Cricketers|price_range|high ++ The Cricketers|rating|average ++ The Cricketers|area|riverside ++ The Cricketers|family_friendly|yes ++ The Cricketers|near|All Bar One</v>
      </c>
      <c r="D5" s="72">
        <f>IFERROR(__xludf.DUMMYFUNCTION("""COMPUTED_VALUE"""),0.97)</f>
        <v>0.97</v>
      </c>
      <c r="E5" s="72" t="str">
        <f>IFERROR(__xludf.DUMMYFUNCTION("""COMPUTED_VALUE"""),"hallucination")</f>
        <v>hallucination</v>
      </c>
      <c r="F5" s="72" t="str">
        <f>IFERROR(__xludf.DUMMYFUNCTION("""COMPUTED_VALUE"""),"OK")</f>
        <v>OK</v>
      </c>
      <c r="G5" s="72"/>
      <c r="H5" s="72" t="str">
        <f>IFERROR(__xludf.DUMMYFUNCTION("""COMPUTED_VALUE"""),"x")</f>
        <v>x</v>
      </c>
      <c r="I5" s="72"/>
      <c r="J5" s="72"/>
      <c r="K5" s="72"/>
      <c r="L5" s="72"/>
      <c r="M5" s="72"/>
      <c r="N5" s="72"/>
      <c r="O5" s="72" t="str">
        <f>IFERROR(__xludf.DUMMYFUNCTION("""COMPUTED_VALUE"""),"x")</f>
        <v>x</v>
      </c>
      <c r="P5" s="72"/>
    </row>
    <row r="6">
      <c r="A6" s="72">
        <f>IFERROR(__xludf.DUMMYFUNCTION("""COMPUTED_VALUE"""),34.0)</f>
        <v>34</v>
      </c>
      <c r="B6" s="72" t="str">
        <f>IFERROR(__xludf.DUMMYFUNCTION("""COMPUTED_VALUE"""),"The Cricketers is a moderate restaurant that serves Chinese food. Yes it is kids-friendly. Its customer rating is 1 out of 5. It is located in the riverside area near All Bar One.")</f>
        <v>The Cricketers is a moderate restaurant that serves Chinese food. Yes it is kids-friendly. Its customer rating is 1 out of 5. It is located in the riverside area near All Bar One.</v>
      </c>
      <c r="C6" s="72" t="str">
        <f>IFERROR(__xludf.DUMMYFUNCTION("""COMPUTED_VALUE"""),"The Cricketers|eat_type|restaurant ++ The Cricketers|food|Chinese ++ The Cricketers|price_range|moderate ++ The Cricketers|rating|1 out of 5 ++ The Cricketers|area|riverside ++ The Cricketers|family_friendly|yes ++ The Cricketers|near|All Bar One")</f>
        <v>The Cricketers|eat_type|restaurant ++ The Cricketers|food|Chinese ++ The Cricketers|price_range|moderate ++ The Cricketers|rating|1 out of 5 ++ The Cricketers|area|riverside ++ The Cricketers|family_friendly|yes ++ The Cricketers|near|All Bar One</v>
      </c>
      <c r="D6" s="72">
        <f>IFERROR(__xludf.DUMMYFUNCTION("""COMPUTED_VALUE"""),0.854)</f>
        <v>0.854</v>
      </c>
      <c r="E6" s="72" t="str">
        <f>IFERROR(__xludf.DUMMYFUNCTION("""COMPUTED_VALUE"""),"omission")</f>
        <v>omission</v>
      </c>
      <c r="F6" s="72" t="str">
        <f>IFERROR(__xludf.DUMMYFUNCTION("""COMPUTED_VALUE"""),"OK")</f>
        <v>OK</v>
      </c>
      <c r="G6" s="72"/>
      <c r="H6" s="72"/>
      <c r="I6" s="72" t="str">
        <f>IFERROR(__xludf.DUMMYFUNCTION("""COMPUTED_VALUE"""),"x")</f>
        <v>x</v>
      </c>
      <c r="J6" s="72"/>
      <c r="K6" s="72"/>
      <c r="L6" s="72"/>
      <c r="M6" s="72"/>
      <c r="N6" s="72"/>
      <c r="O6" s="72"/>
      <c r="P6" s="72" t="str">
        <f>IFERROR(__xludf.DUMMYFUNCTION("""COMPUTED_VALUE"""),"edge case: ""moderate restaurant"" (as in price range=moderate)")</f>
        <v>edge case: "moderate restaurant" (as in price range=moderate)</v>
      </c>
    </row>
    <row r="7">
      <c r="A7" s="72">
        <f>IFERROR(__xludf.DUMMYFUNCTION("""COMPUTED_VALUE"""),64.0)</f>
        <v>64</v>
      </c>
      <c r="B7" s="72" t="str">
        <f>IFERROR(__xludf.DUMMYFUNCTION("""COMPUTED_VALUE"""),"Conveniently located in riverside near Raja Indian Cuisine there is a moderately priced pub serving Japanese food with a rating of 1 out of 5 called The Wrestlers. Children are permitted.")</f>
        <v>Conveniently located in riverside near Raja Indian Cuisine there is a moderately priced pub serving Japanese food with a rating of 1 out of 5 called The Wrestlers. Children are permitted.</v>
      </c>
      <c r="C7" s="72" t="str">
        <f>IFERROR(__xludf.DUMMYFUNCTION("""COMPUTED_VALUE"""),"The Wrestlers|eat_type|pub ++ The Wrestlers|food|Japanese ++ The Wrestlers|price_range|moderate ++ The Wrestlers|rating|1 out of 5 ++ The Wrestlers|area|riverside ++ The Wrestlers|family_friendly|yes ++ The Wrestlers|near|Raja Indian Cuisine")</f>
        <v>The Wrestlers|eat_type|pub ++ The Wrestlers|food|Japanese ++ The Wrestlers|price_range|moderate ++ The Wrestlers|rating|1 out of 5 ++ The Wrestlers|area|riverside ++ The Wrestlers|family_friendly|yes ++ The Wrestlers|near|Raja Indian Cuisine</v>
      </c>
      <c r="D7" s="72">
        <f>IFERROR(__xludf.DUMMYFUNCTION("""COMPUTED_VALUE"""),0.901)</f>
        <v>0.901</v>
      </c>
      <c r="E7" s="72" t="str">
        <f>IFERROR(__xludf.DUMMYFUNCTION("""COMPUTED_VALUE"""),"omission")</f>
        <v>omission</v>
      </c>
      <c r="F7" s="72" t="str">
        <f>IFERROR(__xludf.DUMMYFUNCTION("""COMPUTED_VALUE"""),"OK")</f>
        <v>OK</v>
      </c>
      <c r="G7" s="72"/>
      <c r="H7" s="72" t="str">
        <f>IFERROR(__xludf.DUMMYFUNCTION("""COMPUTED_VALUE"""),"x")</f>
        <v>x</v>
      </c>
      <c r="I7" s="72"/>
      <c r="J7" s="72"/>
      <c r="K7" s="72"/>
      <c r="L7" s="72" t="str">
        <f>IFERROR(__xludf.DUMMYFUNCTION("""COMPUTED_VALUE"""),"x")</f>
        <v>x</v>
      </c>
      <c r="M7" s="72"/>
      <c r="N7" s="72"/>
      <c r="O7" s="72"/>
      <c r="P7" s="72"/>
    </row>
    <row r="8">
      <c r="A8" s="72">
        <f>IFERROR(__xludf.DUMMYFUNCTION("""COMPUTED_VALUE"""),16.0)</f>
        <v>16</v>
      </c>
      <c r="B8" s="72" t="str">
        <f>IFERROR(__xludf.DUMMYFUNCTION("""COMPUTED_VALUE"""),"For a child-friendly, average-rated restaurant serving English, try The Cricketers, in the riverside area, near Café Rouge.")</f>
        <v>For a child-friendly, average-rated restaurant serving English, try The Cricketers, in the riverside area, near Café Rouge.</v>
      </c>
      <c r="C8" s="72" t="str">
        <f>IFERROR(__xludf.DUMMYFUNCTION("""COMPUTED_VALUE"""),"The Cricketers|eat_type|restaurant ++ The Cricketers|food|English ++ The Cricketers|price_range|cheap ++ The Cricketers|rating|average ++ The Cricketers|area|riverside ++ The Cricketers|family_friendly|yes ++ The Cricketers|near|Café Rouge")</f>
        <v>The Cricketers|eat_type|restaurant ++ The Cricketers|food|English ++ The Cricketers|price_range|cheap ++ The Cricketers|rating|average ++ The Cricketers|area|riverside ++ The Cricketers|family_friendly|yes ++ The Cricketers|near|Café Rouge</v>
      </c>
      <c r="D8" s="72">
        <f>IFERROR(__xludf.DUMMYFUNCTION("""COMPUTED_VALUE"""),0.742)</f>
        <v>0.742</v>
      </c>
      <c r="E8" s="72" t="str">
        <f>IFERROR(__xludf.DUMMYFUNCTION("""COMPUTED_VALUE"""),"omission")</f>
        <v>omission</v>
      </c>
      <c r="F8" s="72" t="str">
        <f>IFERROR(__xludf.DUMMYFUNCTION("""COMPUTED_VALUE"""),"OK")</f>
        <v>OK</v>
      </c>
      <c r="G8" s="72"/>
      <c r="H8" s="72" t="str">
        <f>IFERROR(__xludf.DUMMYFUNCTION("""COMPUTED_VALUE"""),"x")</f>
        <v>x</v>
      </c>
      <c r="I8" s="72"/>
      <c r="J8" s="72"/>
      <c r="K8" s="72"/>
      <c r="L8" s="72"/>
      <c r="M8" s="72"/>
      <c r="N8" s="72" t="str">
        <f>IFERROR(__xludf.DUMMYFUNCTION("""COMPUTED_VALUE"""),"x")</f>
        <v>x</v>
      </c>
      <c r="O8" s="72"/>
      <c r="P8" s="72"/>
    </row>
    <row r="9">
      <c r="A9" s="72">
        <f>IFERROR(__xludf.DUMMYFUNCTION("""COMPUTED_VALUE"""),59.0)</f>
        <v>59</v>
      </c>
      <c r="B9" s="72" t="str">
        <f>IFERROR(__xludf.DUMMYFUNCTION("""COMPUTED_VALUE"""),"The Mill is a moderate restaurant that serves English food. It is not children-friendly and has a rating of 1 out of 5. It is located in the riverside area near Café Rouge.")</f>
        <v>The Mill is a moderate restaurant that serves English food. It is not children-friendly and has a rating of 1 out of 5. It is located in the riverside area near Café Rouge.</v>
      </c>
      <c r="C9" s="72" t="str">
        <f>IFERROR(__xludf.DUMMYFUNCTION("""COMPUTED_VALUE"""),"The Mill|eat_type|restaurant ++ The Mill|food|English ++ The Mill|price_range|moderate ++ The Mill|rating|1 out of 5 ++ The Mill|area|riverside ++ The Mill|family_friendly|no ++ The Mill|near|Café Rouge")</f>
        <v>The Mill|eat_type|restaurant ++ The Mill|food|English ++ The Mill|price_range|moderate ++ The Mill|rating|1 out of 5 ++ The Mill|area|riverside ++ The Mill|family_friendly|no ++ The Mill|near|Café Rouge</v>
      </c>
      <c r="D9" s="72">
        <f>IFERROR(__xludf.DUMMYFUNCTION("""COMPUTED_VALUE"""),0.834)</f>
        <v>0.834</v>
      </c>
      <c r="E9" s="72" t="str">
        <f>IFERROR(__xludf.DUMMYFUNCTION("""COMPUTED_VALUE"""),"omission")</f>
        <v>omission</v>
      </c>
      <c r="F9" s="72" t="str">
        <f>IFERROR(__xludf.DUMMYFUNCTION("""COMPUTED_VALUE"""),"OK")</f>
        <v>OK</v>
      </c>
      <c r="G9" s="72"/>
      <c r="H9" s="72"/>
      <c r="I9" s="72" t="str">
        <f>IFERROR(__xludf.DUMMYFUNCTION("""COMPUTED_VALUE"""),"x")</f>
        <v>x</v>
      </c>
      <c r="J9" s="72"/>
      <c r="K9" s="72"/>
      <c r="L9" s="72"/>
      <c r="M9" s="72"/>
      <c r="N9" s="72"/>
      <c r="O9" s="72"/>
      <c r="P9" s="72" t="str">
        <f>IFERROR(__xludf.DUMMYFUNCTION("""COMPUTED_VALUE"""),"edge case: ""moderate restaurant"" (as in price range=moderate)")</f>
        <v>edge case: "moderate restaurant" (as in price range=moderate)</v>
      </c>
    </row>
    <row r="10">
      <c r="A10" s="72">
        <f>IFERROR(__xludf.DUMMYFUNCTION("""COMPUTED_VALUE"""),110.0)</f>
        <v>110</v>
      </c>
      <c r="B10" s="72" t="str">
        <f>IFERROR(__xludf.DUMMYFUNCTION("""COMPUTED_VALUE"""),"The Punter, which has a low customer rating, is a low-priced restaurant serving Indian cuisine. It is located in the city centre area and can be found near Express by Holiday Inn. It is not family-friendly.")</f>
        <v>The Punter, which has a low customer rating, is a low-priced restaurant serving Indian cuisine. It is located in the city centre area and can be found near Express by Holiday Inn. It is not family-friendly.</v>
      </c>
      <c r="C10" s="72" t="str">
        <f>IFERROR(__xludf.DUMMYFUNCTION("""COMPUTED_VALUE"""),"The Punter|eat_type|restaurant ++ The Punter|food|Indian ++ The Punter|price_range|less than Â£20 ++ The Punter|rating|low ++ The Punter|area|city centre ++ The Punter|family_friendly|no ++ The Punter|near|Express by Holiday Inn")</f>
        <v>The Punter|eat_type|restaurant ++ The Punter|food|Indian ++ The Punter|price_range|less than Â£20 ++ The Punter|rating|low ++ The Punter|area|city centre ++ The Punter|family_friendly|no ++ The Punter|near|Express by Holiday Inn</v>
      </c>
      <c r="D10" s="72">
        <f>IFERROR(__xludf.DUMMYFUNCTION("""COMPUTED_VALUE"""),0.035)</f>
        <v>0.035</v>
      </c>
      <c r="E10" s="72" t="str">
        <f>IFERROR(__xludf.DUMMYFUNCTION("""COMPUTED_VALUE"""),"OK")</f>
        <v>OK</v>
      </c>
      <c r="F10" s="72" t="str">
        <f>IFERROR(__xludf.DUMMYFUNCTION("""COMPUTED_VALUE"""),"omission")</f>
        <v>omission</v>
      </c>
      <c r="G10" s="72" t="str">
        <f>IFERROR(__xludf.DUMMYFUNCTION("""COMPUTED_VALUE"""),"x")</f>
        <v>x</v>
      </c>
      <c r="H10" s="72"/>
      <c r="I10" s="72"/>
      <c r="J10" s="72"/>
      <c r="K10" s="72" t="str">
        <f>IFERROR(__xludf.DUMMYFUNCTION("""COMPUTED_VALUE"""),"x")</f>
        <v>x</v>
      </c>
      <c r="L10" s="72"/>
      <c r="M10" s="72"/>
      <c r="N10" s="72"/>
      <c r="O10" s="72"/>
      <c r="P10" s="72"/>
    </row>
    <row r="11">
      <c r="A11" s="72">
        <f>IFERROR(__xludf.DUMMYFUNCTION("""COMPUTED_VALUE"""),41.0)</f>
        <v>41</v>
      </c>
      <c r="B11" s="72" t="str">
        <f>IFERROR(__xludf.DUMMYFUNCTION("""COMPUTED_VALUE"""),"The Punter is a high priced, average rated, adult only Indian restaurant located near Express by Holiday Inn in the city centre.")</f>
        <v>The Punter is a high priced, average rated, adult only Indian restaurant located near Express by Holiday Inn in the city centre.</v>
      </c>
      <c r="C11" s="72" t="str">
        <f>IFERROR(__xludf.DUMMYFUNCTION("""COMPUTED_VALUE"""),"The Punter|eat_type|restaurant ++ The Punter|food|Indian ++ The Punter|price_range|high ++ The Punter|rating|average ++ The Punter|area|city centre ++ The Punter|family_friendly|no ++ The Punter|near|Express by Holiday Inn")</f>
        <v>The Punter|eat_type|restaurant ++ The Punter|food|Indian ++ The Punter|price_range|high ++ The Punter|rating|average ++ The Punter|area|city centre ++ The Punter|family_friendly|no ++ The Punter|near|Express by Holiday Inn</v>
      </c>
      <c r="D11" s="72">
        <f>IFERROR(__xludf.DUMMYFUNCTION("""COMPUTED_VALUE"""),0.061)</f>
        <v>0.061</v>
      </c>
      <c r="E11" s="72" t="str">
        <f>IFERROR(__xludf.DUMMYFUNCTION("""COMPUTED_VALUE"""),"OK")</f>
        <v>OK</v>
      </c>
      <c r="F11" s="72" t="str">
        <f>IFERROR(__xludf.DUMMYFUNCTION("""COMPUTED_VALUE"""),"hallucination")</f>
        <v>hallucination</v>
      </c>
      <c r="G11" s="72" t="str">
        <f>IFERROR(__xludf.DUMMYFUNCTION("""COMPUTED_VALUE"""),"x")</f>
        <v>x</v>
      </c>
      <c r="H11" s="72"/>
      <c r="I11" s="72"/>
      <c r="J11" s="72"/>
      <c r="K11" s="72"/>
      <c r="L11" s="72" t="str">
        <f>IFERROR(__xludf.DUMMYFUNCTION("""COMPUTED_VALUE"""),"x")</f>
        <v>x</v>
      </c>
      <c r="M11" s="72"/>
      <c r="N11" s="72"/>
      <c r="O11" s="72"/>
      <c r="P11" s="72"/>
    </row>
    <row r="12">
      <c r="A12" s="72">
        <f>IFERROR(__xludf.DUMMYFUNCTION("""COMPUTED_VALUE"""),103.0)</f>
        <v>103</v>
      </c>
      <c r="B12" s="72" t="str">
        <f>IFERROR(__xludf.DUMMYFUNCTION("""COMPUTED_VALUE"""),"Blue Spice is located down by the riverside of Cambridge. It is also a coffee shop.")</f>
        <v>Blue Spice is located down by the riverside of Cambridge. It is also a coffee shop.</v>
      </c>
      <c r="C12" s="72" t="str">
        <f>IFERROR(__xludf.DUMMYFUNCTION("""COMPUTED_VALUE"""),"Blue Spice|eat_type|coffee shop ++ Blue Spice|area|riverside")</f>
        <v>Blue Spice|eat_type|coffee shop ++ Blue Spice|area|riverside</v>
      </c>
      <c r="D12" s="72">
        <f>IFERROR(__xludf.DUMMYFUNCTION("""COMPUTED_VALUE"""),0.082)</f>
        <v>0.082</v>
      </c>
      <c r="E12" s="72" t="str">
        <f>IFERROR(__xludf.DUMMYFUNCTION("""COMPUTED_VALUE"""),"OK")</f>
        <v>OK</v>
      </c>
      <c r="F12" s="72" t="str">
        <f>IFERROR(__xludf.DUMMYFUNCTION("""COMPUTED_VALUE"""),"hallucination")</f>
        <v>hallucination</v>
      </c>
      <c r="G12" s="72"/>
      <c r="H12" s="72" t="str">
        <f>IFERROR(__xludf.DUMMYFUNCTION("""COMPUTED_VALUE"""),"x")</f>
        <v>x</v>
      </c>
      <c r="I12" s="72"/>
      <c r="J12" s="72"/>
      <c r="K12" s="72"/>
      <c r="L12" s="72"/>
      <c r="M12" s="72" t="str">
        <f>IFERROR(__xludf.DUMMYFUNCTION("""COMPUTED_VALUE"""),"x")</f>
        <v>x</v>
      </c>
      <c r="N12" s="72"/>
      <c r="O12" s="72"/>
      <c r="P12" s="72"/>
    </row>
    <row r="13">
      <c r="A13" s="72">
        <f>IFERROR(__xludf.DUMMYFUNCTION("""COMPUTED_VALUE"""),10.0)</f>
        <v>10</v>
      </c>
      <c r="B13" s="72" t="str">
        <f>IFERROR(__xludf.DUMMYFUNCTION("""COMPUTED_VALUE"""),"The Cricketers, which has a low customer rating, is a cheap restaurant offering Chinese food. It is in riverside near All Bar One. It is not child-friendly.")</f>
        <v>The Cricketers, which has a low customer rating, is a cheap restaurant offering Chinese food. It is in riverside near All Bar One. It is not child-friendly.</v>
      </c>
      <c r="C13" s="72" t="str">
        <f>IFERROR(__xludf.DUMMYFUNCTION("""COMPUTED_VALUE"""),"The Cricketers|eat_type|restaurant ++ The Cricketers|food|Chinese ++ The Cricketers|price_range|less than £20 ++ The Cricketers|rating|low ++ The Cricketers|area|riverside ++ The Cricketers|family_friendly|no ++ The Cricketers|near|All Bar One")</f>
        <v>The Cricketers|eat_type|restaurant ++ The Cricketers|food|Chinese ++ The Cricketers|price_range|less than £20 ++ The Cricketers|rating|low ++ The Cricketers|area|riverside ++ The Cricketers|family_friendly|no ++ The Cricketers|near|All Bar One</v>
      </c>
      <c r="D13" s="72">
        <f>IFERROR(__xludf.DUMMYFUNCTION("""COMPUTED_VALUE"""),0.049)</f>
        <v>0.049</v>
      </c>
      <c r="E13" s="72" t="str">
        <f>IFERROR(__xludf.DUMMYFUNCTION("""COMPUTED_VALUE"""),"OK")</f>
        <v>OK</v>
      </c>
      <c r="F13" s="72" t="str">
        <f>IFERROR(__xludf.DUMMYFUNCTION("""COMPUTED_VALUE"""),"omission")</f>
        <v>omission</v>
      </c>
      <c r="G13" s="72" t="str">
        <f>IFERROR(__xludf.DUMMYFUNCTION("""COMPUTED_VALUE"""),"x")</f>
        <v>x</v>
      </c>
      <c r="H13" s="72"/>
      <c r="I13" s="72"/>
      <c r="J13" s="72"/>
      <c r="K13" s="72" t="str">
        <f>IFERROR(__xludf.DUMMYFUNCTION("""COMPUTED_VALUE"""),"x")</f>
        <v>x</v>
      </c>
      <c r="L13" s="72"/>
      <c r="M13" s="72"/>
      <c r="N13" s="72"/>
      <c r="O13" s="72"/>
      <c r="P13" s="72"/>
    </row>
    <row r="14">
      <c r="A14" s="72">
        <f>IFERROR(__xludf.DUMMYFUNCTION("""COMPUTED_VALUE"""),8.0)</f>
        <v>8</v>
      </c>
      <c r="B14" s="72" t="str">
        <f>IFERROR(__xludf.DUMMYFUNCTION("""COMPUTED_VALUE"""),"The Mill, which has a low customer rating, is a low-priced restaurant offering English food. It is in city centre near Café Rouge. It is not family-friendly.")</f>
        <v>The Mill, which has a low customer rating, is a low-priced restaurant offering English food. It is in city centre near Café Rouge. It is not family-friendly.</v>
      </c>
      <c r="C14" s="72" t="str">
        <f>IFERROR(__xludf.DUMMYFUNCTION("""COMPUTED_VALUE"""),"The Mill|eat_type|restaurant ++ The Mill|food|English ++ The Mill|price_range|less than £20 ++ The Mill|rating|low ++ The Mill|area|city centre ++ The Mill|family_friendly|no ++ The Mill|near|Café Rouge")</f>
        <v>The Mill|eat_type|restaurant ++ The Mill|food|English ++ The Mill|price_range|less than £20 ++ The Mill|rating|low ++ The Mill|area|city centre ++ The Mill|family_friendly|no ++ The Mill|near|Café Rouge</v>
      </c>
      <c r="D14" s="72">
        <f>IFERROR(__xludf.DUMMYFUNCTION("""COMPUTED_VALUE"""),0.033)</f>
        <v>0.033</v>
      </c>
      <c r="E14" s="72" t="str">
        <f>IFERROR(__xludf.DUMMYFUNCTION("""COMPUTED_VALUE"""),"OK")</f>
        <v>OK</v>
      </c>
      <c r="F14" s="72" t="str">
        <f>IFERROR(__xludf.DUMMYFUNCTION("""COMPUTED_VALUE"""),"omission")</f>
        <v>omission</v>
      </c>
      <c r="G14" s="72" t="str">
        <f>IFERROR(__xludf.DUMMYFUNCTION("""COMPUTED_VALUE"""),"x")</f>
        <v>x</v>
      </c>
      <c r="H14" s="72"/>
      <c r="I14" s="72"/>
      <c r="J14" s="72"/>
      <c r="K14" s="72" t="str">
        <f>IFERROR(__xludf.DUMMYFUNCTION("""COMPUTED_VALUE"""),"x")</f>
        <v>x</v>
      </c>
      <c r="L14" s="72"/>
      <c r="M14" s="72"/>
      <c r="N14" s="72"/>
      <c r="O14" s="72"/>
      <c r="P14" s="72"/>
    </row>
    <row r="15">
      <c r="A15" s="72">
        <f>IFERROR(__xludf.DUMMYFUNCTION("""COMPUTED_VALUE"""),15.0)</f>
        <v>15</v>
      </c>
      <c r="B15" s="72" t="str">
        <f>IFERROR(__xludf.DUMMYFUNCTION("""COMPUTED_VALUE"""),"The Mill, which is in the riverside area by Raja Indian Cuisine, is a low-priced pub offering English cuisine. It is child-friendly.")</f>
        <v>The Mill, which is in the riverside area by Raja Indian Cuisine, is a low-priced pub offering English cuisine. It is child-friendly.</v>
      </c>
      <c r="C15" s="72" t="str">
        <f>IFERROR(__xludf.DUMMYFUNCTION("""COMPUTED_VALUE"""),"The Mill|eat_type|pub ++ The Mill|food|English ++ The Mill|price_range|less than £20 ++ The Mill|area|riverside ++ The Mill|family_friendly|yes ++ The Mill|near|Raja Indian Cuisine")</f>
        <v>The Mill|eat_type|pub ++ The Mill|food|English ++ The Mill|price_range|less than £20 ++ The Mill|area|riverside ++ The Mill|family_friendly|yes ++ The Mill|near|Raja Indian Cuisine</v>
      </c>
      <c r="D15" s="72">
        <f>IFERROR(__xludf.DUMMYFUNCTION("""COMPUTED_VALUE"""),0.047)</f>
        <v>0.047</v>
      </c>
      <c r="E15" s="72" t="str">
        <f>IFERROR(__xludf.DUMMYFUNCTION("""COMPUTED_VALUE"""),"OK")</f>
        <v>OK</v>
      </c>
      <c r="F15" s="72" t="str">
        <f>IFERROR(__xludf.DUMMYFUNCTION("""COMPUTED_VALUE"""),"omission")</f>
        <v>omission</v>
      </c>
      <c r="G15" s="72" t="str">
        <f>IFERROR(__xludf.DUMMYFUNCTION("""COMPUTED_VALUE"""),"x")</f>
        <v>x</v>
      </c>
      <c r="H15" s="72"/>
      <c r="I15" s="72"/>
      <c r="J15" s="72"/>
      <c r="K15" s="72" t="str">
        <f>IFERROR(__xludf.DUMMYFUNCTION("""COMPUTED_VALUE"""),"x")</f>
        <v>x</v>
      </c>
      <c r="L15" s="72"/>
      <c r="M15" s="72"/>
      <c r="N15" s="72"/>
      <c r="O15" s="72"/>
      <c r="P15" s="72"/>
    </row>
    <row r="16">
      <c r="A16" s="72">
        <f>IFERROR(__xludf.DUMMYFUNCTION("""COMPUTED_VALUE"""),56.0)</f>
        <v>56</v>
      </c>
      <c r="B16" s="72" t="str">
        <f>IFERROR(__xludf.DUMMYFUNCTION("""COMPUTED_VALUE"""),"The Wrestlers is a low - cost , family - friendly pub located in Luton near Raja Indian Cuisine . It has Italian food and a place to Euros .")</f>
        <v>The Wrestlers is a low - cost , family - friendly pub located in Luton near Raja Indian Cuisine . It has Italian food and a place to Euros .</v>
      </c>
      <c r="C16" s="72" t="str">
        <f>IFERROR(__xludf.DUMMYFUNCTION("""COMPUTED_VALUE"""),"The Wrestlers|eat_type|pub ++ The Wrestlers|food|Italian ++ The Wrestlers|price_range|less than £20 ++ The Wrestlers|area|riverside ++ The Wrestlers|family_friendly|yes ++ The Wrestlers|near|Raja Indian Cuisine")</f>
        <v>The Wrestlers|eat_type|pub ++ The Wrestlers|food|Italian ++ The Wrestlers|price_range|less than £20 ++ The Wrestlers|area|riverside ++ The Wrestlers|family_friendly|yes ++ The Wrestlers|near|Raja Indian Cuisine</v>
      </c>
      <c r="D16" s="72">
        <f>IFERROR(__xludf.DUMMYFUNCTION("""COMPUTED_VALUE"""),0.01)</f>
        <v>0.01</v>
      </c>
      <c r="E16" s="72" t="str">
        <f>IFERROR(__xludf.DUMMYFUNCTION("""COMPUTED_VALUE"""),"omission")</f>
        <v>omission</v>
      </c>
      <c r="F16" s="72" t="str">
        <f>IFERROR(__xludf.DUMMYFUNCTION("""COMPUTED_VALUE"""),"hallucination+omission")</f>
        <v>hallucination+omission</v>
      </c>
      <c r="G16" s="72"/>
      <c r="H16" s="72" t="str">
        <f>IFERROR(__xludf.DUMMYFUNCTION("""COMPUTED_VALUE"""),"x")</f>
        <v>x</v>
      </c>
      <c r="I16" s="72"/>
      <c r="J16" s="72"/>
      <c r="K16" s="72"/>
      <c r="L16" s="72"/>
      <c r="M16" s="72" t="str">
        <f>IFERROR(__xludf.DUMMYFUNCTION("""COMPUTED_VALUE"""),"x")</f>
        <v>x</v>
      </c>
      <c r="N16" s="72"/>
      <c r="O16" s="72"/>
      <c r="P16" s="72"/>
    </row>
    <row r="17">
      <c r="A17" s="72">
        <f>IFERROR(__xludf.DUMMYFUNCTION("""COMPUTED_VALUE"""),83.0)</f>
        <v>83</v>
      </c>
      <c r="B17" s="72" t="str">
        <f>IFERROR(__xludf.DUMMYFUNCTION("""COMPUTED_VALUE"""),"The Cricketers is a high restaurant that serves English food. Yes it is kids-friendly. Its customer rating is 1 out of 5. It is located in the riverside area near Café Rouge.")</f>
        <v>The Cricketers is a high restaurant that serves English food. Yes it is kids-friendly. Its customer rating is 1 out of 5. It is located in the riverside area near Café Rouge.</v>
      </c>
      <c r="C17" s="72" t="str">
        <f>IFERROR(__xludf.DUMMYFUNCTION("""COMPUTED_VALUE"""),"The Cricketers|eat_type|restaurant ++ The Cricketers|food|English ++ The Cricketers|price_range|high ++ The Cricketers|rating|1 out of 5 ++ The Cricketers|area|riverside ++ The Cricketers|family_friendly|yes ++ The Cricketers|near|Café Rouge")</f>
        <v>The Cricketers|eat_type|restaurant ++ The Cricketers|food|English ++ The Cricketers|price_range|high ++ The Cricketers|rating|1 out of 5 ++ The Cricketers|area|riverside ++ The Cricketers|family_friendly|yes ++ The Cricketers|near|Café Rouge</v>
      </c>
      <c r="D17" s="72">
        <f>IFERROR(__xludf.DUMMYFUNCTION("""COMPUTED_VALUE"""),0.873)</f>
        <v>0.873</v>
      </c>
      <c r="E17" s="72" t="str">
        <f>IFERROR(__xludf.DUMMYFUNCTION("""COMPUTED_VALUE"""),"omission")</f>
        <v>omission</v>
      </c>
      <c r="F17" s="72" t="str">
        <f>IFERROR(__xludf.DUMMYFUNCTION("""COMPUTED_VALUE"""),"OK")</f>
        <v>OK</v>
      </c>
      <c r="G17" s="72"/>
      <c r="H17" s="72"/>
      <c r="I17" s="72" t="str">
        <f>IFERROR(__xludf.DUMMYFUNCTION("""COMPUTED_VALUE"""),"x")</f>
        <v>x</v>
      </c>
      <c r="J17" s="72"/>
      <c r="K17" s="72"/>
      <c r="L17" s="72"/>
      <c r="M17" s="72"/>
      <c r="N17" s="72"/>
      <c r="O17" s="72"/>
      <c r="P17" s="72" t="str">
        <f>IFERROR(__xludf.DUMMYFUNCTION("""COMPUTED_VALUE"""),"edge case: ""high restaurant"" (as in price range=high)")</f>
        <v>edge case: "high restaurant" (as in price range=high)</v>
      </c>
    </row>
    <row r="18">
      <c r="A18" s="72">
        <f>IFERROR(__xludf.DUMMYFUNCTION("""COMPUTED_VALUE"""),107.0)</f>
        <v>107</v>
      </c>
      <c r="B18" s="72" t="str">
        <f>IFERROR(__xludf.DUMMYFUNCTION("""COMPUTED_VALUE"""),"For an adult oriented French pub, The Phoenix has a 3 out of 5 customer rating, but the price range is high, and is conveniently located in the city centre, near Crowne Plaza Hotel.")</f>
        <v>For an adult oriented French pub, The Phoenix has a 3 out of 5 customer rating, but the price range is high, and is conveniently located in the city centre, near Crowne Plaza Hotel.</v>
      </c>
      <c r="C18" s="72" t="str">
        <f>IFERROR(__xludf.DUMMYFUNCTION("""COMPUTED_VALUE"""),"The Phoenix|eat_type|pub ++ The Phoenix|food|French ++ The Phoenix|price_range|high ++ The Phoenix|rating|3 out of 5 ++ The Phoenix|area|city centre ++ The Phoenix|family_friendly|no ++ The Phoenix|near|Crowne Plaza Hotel")</f>
        <v>The Phoenix|eat_type|pub ++ The Phoenix|food|French ++ The Phoenix|price_range|high ++ The Phoenix|rating|3 out of 5 ++ The Phoenix|area|city centre ++ The Phoenix|family_friendly|no ++ The Phoenix|near|Crowne Plaza Hotel</v>
      </c>
      <c r="D18" s="72">
        <f>IFERROR(__xludf.DUMMYFUNCTION("""COMPUTED_VALUE"""),0.624)</f>
        <v>0.624</v>
      </c>
      <c r="E18" s="72" t="str">
        <f>IFERROR(__xludf.DUMMYFUNCTION("""COMPUTED_VALUE"""),"omission")</f>
        <v>omission</v>
      </c>
      <c r="F18" s="72" t="str">
        <f>IFERROR(__xludf.DUMMYFUNCTION("""COMPUTED_VALUE"""),"OK")</f>
        <v>OK</v>
      </c>
      <c r="G18" s="72"/>
      <c r="H18" s="72" t="str">
        <f>IFERROR(__xludf.DUMMYFUNCTION("""COMPUTED_VALUE"""),"x")</f>
        <v>x</v>
      </c>
      <c r="I18" s="72"/>
      <c r="J18" s="72"/>
      <c r="K18" s="72"/>
      <c r="L18" s="72" t="str">
        <f>IFERROR(__xludf.DUMMYFUNCTION("""COMPUTED_VALUE"""),"x")</f>
        <v>x</v>
      </c>
      <c r="M18" s="72"/>
      <c r="N18" s="72"/>
      <c r="O18" s="72"/>
      <c r="P18" s="72"/>
    </row>
    <row r="19">
      <c r="A19" s="72">
        <f>IFERROR(__xludf.DUMMYFUNCTION("""COMPUTED_VALUE"""),54.0)</f>
        <v>54</v>
      </c>
      <c r="B19" s="72" t="str">
        <f>IFERROR(__xludf.DUMMYFUNCTION("""COMPUTED_VALUE"""),"There is a French, pub located near Raja Indian Cuisine in riverside called The Phoenix. The pub is in the £20-£25 price range and is children friendly.")</f>
        <v>There is a French, pub located near Raja Indian Cuisine in riverside called The Phoenix. The pub is in the £20-£25 price range and is children friendly.</v>
      </c>
      <c r="C19" s="72" t="str">
        <f>IFERROR(__xludf.DUMMYFUNCTION("""COMPUTED_VALUE"""),"The Phoenix|eat_type|pub ++ The Phoenix|food|French ++ The Phoenix|price_range|£20-25 ++ The Phoenix|area|riverside ++ The Phoenix|family_friendly|yes ++ The Phoenix|near|Raja Indian Cuisine")</f>
        <v>The Phoenix|eat_type|pub ++ The Phoenix|food|French ++ The Phoenix|price_range|£20-25 ++ The Phoenix|area|riverside ++ The Phoenix|family_friendly|yes ++ The Phoenix|near|Raja Indian Cuisine</v>
      </c>
      <c r="D19" s="72">
        <f>IFERROR(__xludf.DUMMYFUNCTION("""COMPUTED_VALUE"""),0.943)</f>
        <v>0.943</v>
      </c>
      <c r="E19" s="72" t="str">
        <f>IFERROR(__xludf.DUMMYFUNCTION("""COMPUTED_VALUE"""),"omission")</f>
        <v>omission</v>
      </c>
      <c r="F19" s="72" t="str">
        <f>IFERROR(__xludf.DUMMYFUNCTION("""COMPUTED_VALUE"""),"OK")</f>
        <v>OK</v>
      </c>
      <c r="G19" s="72"/>
      <c r="H19" s="72" t="str">
        <f>IFERROR(__xludf.DUMMYFUNCTION("""COMPUTED_VALUE"""),"x")</f>
        <v>x</v>
      </c>
      <c r="I19" s="72"/>
      <c r="J19" s="72"/>
      <c r="K19" s="72"/>
      <c r="L19" s="72"/>
      <c r="M19" s="72"/>
      <c r="N19" s="72" t="str">
        <f>IFERROR(__xludf.DUMMYFUNCTION("""COMPUTED_VALUE"""),"x")</f>
        <v>x</v>
      </c>
      <c r="O19" s="72"/>
      <c r="P19" s="72"/>
    </row>
    <row r="20">
      <c r="A20" s="72">
        <f>IFERROR(__xludf.DUMMYFUNCTION("""COMPUTED_VALUE"""),98.0)</f>
        <v>98</v>
      </c>
      <c r="B20" s="72" t="str">
        <f>IFERROR(__xludf.DUMMYFUNCTION("""COMPUTED_VALUE"""),"The Waterman is a cheap Italian restaurant located in the city centre near Raja Indian Cuisine . It is not family-friendly .")</f>
        <v>The Waterman is a cheap Italian restaurant located in the city centre near Raja Indian Cuisine . It is not family-friendly .</v>
      </c>
      <c r="C20" s="72" t="str">
        <f>IFERROR(__xludf.DUMMYFUNCTION("""COMPUTED_VALUE"""),"The Waterman|eat_type|restaurant ++ The Waterman|food|Italian ++ The Waterman|price_range|less than £20 ++ The Waterman|area|city centre ++ The Waterman|family_friendly|no ++ The Waterman|near|Raja Indian Cuisine")</f>
        <v>The Waterman|eat_type|restaurant ++ The Waterman|food|Italian ++ The Waterman|price_range|less than £20 ++ The Waterman|area|city centre ++ The Waterman|family_friendly|no ++ The Waterman|near|Raja Indian Cuisine</v>
      </c>
      <c r="D20" s="72">
        <f>IFERROR(__xludf.DUMMYFUNCTION("""COMPUTED_VALUE"""),0.147)</f>
        <v>0.147</v>
      </c>
      <c r="E20" s="72" t="str">
        <f>IFERROR(__xludf.DUMMYFUNCTION("""COMPUTED_VALUE"""),"OK")</f>
        <v>OK</v>
      </c>
      <c r="F20" s="72" t="str">
        <f>IFERROR(__xludf.DUMMYFUNCTION("""COMPUTED_VALUE"""),"omission")</f>
        <v>omission</v>
      </c>
      <c r="G20" s="72" t="str">
        <f>IFERROR(__xludf.DUMMYFUNCTION("""COMPUTED_VALUE"""),"x")</f>
        <v>x</v>
      </c>
      <c r="H20" s="72"/>
      <c r="I20" s="72"/>
      <c r="J20" s="72"/>
      <c r="K20" s="72" t="str">
        <f>IFERROR(__xludf.DUMMYFUNCTION("""COMPUTED_VALUE"""),"x")</f>
        <v>x</v>
      </c>
      <c r="L20" s="72"/>
      <c r="M20" s="72"/>
      <c r="N20" s="72"/>
      <c r="O20" s="72"/>
      <c r="P20" s="72"/>
    </row>
    <row r="21">
      <c r="A21" s="72">
        <f>IFERROR(__xludf.DUMMYFUNCTION("""COMPUTED_VALUE"""),20.0)</f>
        <v>20</v>
      </c>
      <c r="B21" s="72" t="str">
        <f>IFERROR(__xludf.DUMMYFUNCTION("""COMPUTED_VALUE"""),"The Mill is a pub serving Fast food in the city centre near Café Sicilia . It has a high price range and an average customer rating . It is not children friendly .")</f>
        <v>The Mill is a pub serving Fast food in the city centre near Café Sicilia . It has a high price range and an average customer rating . It is not children friendly .</v>
      </c>
      <c r="C21" s="72" t="str">
        <f>IFERROR(__xludf.DUMMYFUNCTION("""COMPUTED_VALUE"""),"The Mill|eat_type|pub ++ The Mill|food|Fast food ++ The Mill|price_range|high ++ The Mill|rating|average ++ The Mill|area|city centre ++ The Mill|family_friendly|no ++ The Mill|near|Café Sicilia")</f>
        <v>The Mill|eat_type|pub ++ The Mill|food|Fast food ++ The Mill|price_range|high ++ The Mill|rating|average ++ The Mill|area|city centre ++ The Mill|family_friendly|no ++ The Mill|near|Café Sicilia</v>
      </c>
      <c r="D21" s="72">
        <f>IFERROR(__xludf.DUMMYFUNCTION("""COMPUTED_VALUE"""),0.977)</f>
        <v>0.977</v>
      </c>
      <c r="E21" s="72" t="str">
        <f>IFERROR(__xludf.DUMMYFUNCTION("""COMPUTED_VALUE"""),"hallucination")</f>
        <v>hallucination</v>
      </c>
      <c r="F21" s="72" t="str">
        <f>IFERROR(__xludf.DUMMYFUNCTION("""COMPUTED_VALUE"""),"OK")</f>
        <v>OK</v>
      </c>
      <c r="G21" s="72"/>
      <c r="H21" s="72" t="str">
        <f>IFERROR(__xludf.DUMMYFUNCTION("""COMPUTED_VALUE"""),"x")</f>
        <v>x</v>
      </c>
      <c r="I21" s="72"/>
      <c r="J21" s="72"/>
      <c r="K21" s="72"/>
      <c r="L21" s="72"/>
      <c r="M21" s="72"/>
      <c r="N21" s="72"/>
      <c r="O21" s="72" t="str">
        <f>IFERROR(__xludf.DUMMYFUNCTION("""COMPUTED_VALUE"""),"x")</f>
        <v>x</v>
      </c>
      <c r="P21" s="72"/>
    </row>
    <row r="22">
      <c r="A22" s="72">
        <f>IFERROR(__xludf.DUMMYFUNCTION("""COMPUTED_VALUE"""),18.0)</f>
        <v>18</v>
      </c>
      <c r="B22" s="72" t="str">
        <f>IFERROR(__xludf.DUMMYFUNCTION("""COMPUTED_VALUE"""),"The Wrestlers is a child friendly japanese pub with a high price range and a customer rating of 5 out of 5. It is located near Raja Indian Cuisine in the riverside area.'")</f>
        <v>The Wrestlers is a child friendly japanese pub with a high price range and a customer rating of 5 out of 5. It is located near Raja Indian Cuisine in the riverside area.'</v>
      </c>
      <c r="C22" s="72" t="str">
        <f>IFERROR(__xludf.DUMMYFUNCTION("""COMPUTED_VALUE"""),"The Wrestlers|eat_type|pub ++ The Wrestlers|food|Japanese ++ The Wrestlers|price_range|more than £30 ++ The Wrestlers|rating|5 out of 5 ++ The Wrestlers|area|riverside ++ The Wrestlers|family_friendly|yes ++ The Wrestlers|near|Raja Indian Cuisine")</f>
        <v>The Wrestlers|eat_type|pub ++ The Wrestlers|food|Japanese ++ The Wrestlers|price_range|more than £30 ++ The Wrestlers|rating|5 out of 5 ++ The Wrestlers|area|riverside ++ The Wrestlers|family_friendly|yes ++ The Wrestlers|near|Raja Indian Cuisine</v>
      </c>
      <c r="D22" s="72">
        <f>IFERROR(__xludf.DUMMYFUNCTION("""COMPUTED_VALUE"""),0.022)</f>
        <v>0.022</v>
      </c>
      <c r="E22" s="72" t="str">
        <f>IFERROR(__xludf.DUMMYFUNCTION("""COMPUTED_VALUE"""),"OK")</f>
        <v>OK</v>
      </c>
      <c r="F22" s="72" t="str">
        <f>IFERROR(__xludf.DUMMYFUNCTION("""COMPUTED_VALUE"""),"omission")</f>
        <v>omission</v>
      </c>
      <c r="G22" s="72" t="str">
        <f>IFERROR(__xludf.DUMMYFUNCTION("""COMPUTED_VALUE"""),"x")</f>
        <v>x</v>
      </c>
      <c r="H22" s="72"/>
      <c r="I22" s="72"/>
      <c r="J22" s="72"/>
      <c r="K22" s="72" t="str">
        <f>IFERROR(__xludf.DUMMYFUNCTION("""COMPUTED_VALUE"""),"x")</f>
        <v>x</v>
      </c>
      <c r="L22" s="72"/>
      <c r="M22" s="72"/>
      <c r="N22" s="72"/>
      <c r="O22" s="72"/>
      <c r="P22" s="72"/>
    </row>
    <row r="23">
      <c r="A23" s="72">
        <f>IFERROR(__xludf.DUMMYFUNCTION("""COMPUTED_VALUE"""),31.0)</f>
        <v>31</v>
      </c>
      <c r="B23" s="72" t="str">
        <f>IFERROR(__xludf.DUMMYFUNCTION("""COMPUTED_VALUE"""),"Located near Café Sicilia in the city centre, The Mill is a child friendly Fast food pub with a high price range and average customer rating.")</f>
        <v>Located near Café Sicilia in the city centre, The Mill is a child friendly Fast food pub with a high price range and average customer rating.</v>
      </c>
      <c r="C23" s="72" t="str">
        <f>IFERROR(__xludf.DUMMYFUNCTION("""COMPUTED_VALUE"""),"The Mill|eat_type|pub ++ The Mill|food|Fast food ++ The Mill|price_range|high ++ The Mill|rating|average ++ The Mill|area|city centre ++ The Mill|family_friendly|yes ++ The Mill|near|Café Sicilia")</f>
        <v>The Mill|eat_type|pub ++ The Mill|food|Fast food ++ The Mill|price_range|high ++ The Mill|rating|average ++ The Mill|area|city centre ++ The Mill|family_friendly|yes ++ The Mill|near|Café Sicilia</v>
      </c>
      <c r="D23" s="72">
        <f>IFERROR(__xludf.DUMMYFUNCTION("""COMPUTED_VALUE"""),0.971)</f>
        <v>0.971</v>
      </c>
      <c r="E23" s="72" t="str">
        <f>IFERROR(__xludf.DUMMYFUNCTION("""COMPUTED_VALUE"""),"hallucination")</f>
        <v>hallucination</v>
      </c>
      <c r="F23" s="72" t="str">
        <f>IFERROR(__xludf.DUMMYFUNCTION("""COMPUTED_VALUE"""),"OK")</f>
        <v>OK</v>
      </c>
      <c r="G23" s="72"/>
      <c r="H23" s="72" t="str">
        <f>IFERROR(__xludf.DUMMYFUNCTION("""COMPUTED_VALUE"""),"x")</f>
        <v>x</v>
      </c>
      <c r="I23" s="72"/>
      <c r="J23" s="72"/>
      <c r="K23" s="72"/>
      <c r="L23" s="72"/>
      <c r="M23" s="72"/>
      <c r="N23" s="72"/>
      <c r="O23" s="72" t="str">
        <f>IFERROR(__xludf.DUMMYFUNCTION("""COMPUTED_VALUE"""),"x")</f>
        <v>x</v>
      </c>
      <c r="P23" s="72"/>
    </row>
    <row r="24">
      <c r="A24" s="72">
        <f>IFERROR(__xludf.DUMMYFUNCTION("""COMPUTED_VALUE"""),49.0)</f>
        <v>49</v>
      </c>
      <c r="B24" s="72" t="str">
        <f>IFERROR(__xludf.DUMMYFUNCTION("""COMPUTED_VALUE"""),"The Cricketers restaurant serves Chinese food for high in the riverside near All Bar One. It is children friendly but has a 1 out of 5 customer rating.")</f>
        <v>The Cricketers restaurant serves Chinese food for high in the riverside near All Bar One. It is children friendly but has a 1 out of 5 customer rating.</v>
      </c>
      <c r="C24" s="72" t="str">
        <f>IFERROR(__xludf.DUMMYFUNCTION("""COMPUTED_VALUE"""),"The Cricketers|eat_type|restaurant ++ The Cricketers|food|Chinese ++ The Cricketers|price_range|high ++ The Cricketers|rating|1 out of 5 ++ The Cricketers|area|riverside ++ The Cricketers|family_friendly|yes ++ The Cricketers|near|All Bar One")</f>
        <v>The Cricketers|eat_type|restaurant ++ The Cricketers|food|Chinese ++ The Cricketers|price_range|high ++ The Cricketers|rating|1 out of 5 ++ The Cricketers|area|riverside ++ The Cricketers|family_friendly|yes ++ The Cricketers|near|All Bar One</v>
      </c>
      <c r="D24" s="72">
        <f>IFERROR(__xludf.DUMMYFUNCTION("""COMPUTED_VALUE"""),0.594)</f>
        <v>0.594</v>
      </c>
      <c r="E24" s="72" t="str">
        <f>IFERROR(__xludf.DUMMYFUNCTION("""COMPUTED_VALUE"""),"omission")</f>
        <v>omission</v>
      </c>
      <c r="F24" s="72" t="str">
        <f>IFERROR(__xludf.DUMMYFUNCTION("""COMPUTED_VALUE"""),"OK")</f>
        <v>OK</v>
      </c>
      <c r="G24" s="72"/>
      <c r="H24" s="72"/>
      <c r="I24" s="72" t="str">
        <f>IFERROR(__xludf.DUMMYFUNCTION("""COMPUTED_VALUE"""),"x")</f>
        <v>x</v>
      </c>
      <c r="J24" s="72"/>
      <c r="K24" s="72"/>
      <c r="L24" s="72"/>
      <c r="M24" s="72"/>
      <c r="N24" s="72"/>
      <c r="O24" s="72"/>
      <c r="P24" s="72" t="str">
        <f>IFERROR(__xludf.DUMMYFUNCTION("""COMPUTED_VALUE"""),"edge case: ""serves Chinese food for high"" = high prices")</f>
        <v>edge case: "serves Chinese food for high" = high prices</v>
      </c>
    </row>
    <row r="25">
      <c r="A25" s="72">
        <f>IFERROR(__xludf.DUMMYFUNCTION("""COMPUTED_VALUE"""),46.0)</f>
        <v>46</v>
      </c>
      <c r="B25" s="72" t="str">
        <f>IFERROR(__xludf.DUMMYFUNCTION("""COMPUTED_VALUE"""),"The Phoenix, which has a low customer rating, is a high-priced pub that serves French cuisine. It is located in the city centre area and can be found near Crowne Plaza Hotel. It is family-friendly.")</f>
        <v>The Phoenix, which has a low customer rating, is a high-priced pub that serves French cuisine. It is located in the city centre area and can be found near Crowne Plaza Hotel. It is family-friendly.</v>
      </c>
      <c r="C25" s="72" t="str">
        <f>IFERROR(__xludf.DUMMYFUNCTION("""COMPUTED_VALUE"""),"The Phoenix|eat_type|pub ++ The Phoenix|food|French ++ The Phoenix|price_range|more than £30 ++ The Phoenix|rating|low ++ The Phoenix|area|city centre ++ The Phoenix|family_friendly|yes ++ The Phoenix|near|Crowne Plaza Hotel")</f>
        <v>The Phoenix|eat_type|pub ++ The Phoenix|food|French ++ The Phoenix|price_range|more than £30 ++ The Phoenix|rating|low ++ The Phoenix|area|city centre ++ The Phoenix|family_friendly|yes ++ The Phoenix|near|Crowne Plaza Hotel</v>
      </c>
      <c r="D25" s="72">
        <f>IFERROR(__xludf.DUMMYFUNCTION("""COMPUTED_VALUE"""),0.047)</f>
        <v>0.047</v>
      </c>
      <c r="E25" s="72" t="str">
        <f>IFERROR(__xludf.DUMMYFUNCTION("""COMPUTED_VALUE"""),"OK")</f>
        <v>OK</v>
      </c>
      <c r="F25" s="72" t="str">
        <f>IFERROR(__xludf.DUMMYFUNCTION("""COMPUTED_VALUE"""),"omission")</f>
        <v>omission</v>
      </c>
      <c r="G25" s="72" t="str">
        <f>IFERROR(__xludf.DUMMYFUNCTION("""COMPUTED_VALUE"""),"x")</f>
        <v>x</v>
      </c>
      <c r="H25" s="72"/>
      <c r="I25" s="72"/>
      <c r="J25" s="72"/>
      <c r="K25" s="72" t="str">
        <f>IFERROR(__xludf.DUMMYFUNCTION("""COMPUTED_VALUE"""),"x")</f>
        <v>x</v>
      </c>
      <c r="L25" s="72"/>
      <c r="M25" s="72"/>
      <c r="N25" s="72"/>
      <c r="O25" s="72"/>
      <c r="P25" s="72"/>
    </row>
    <row r="26">
      <c r="A26" s="72">
        <f>IFERROR(__xludf.DUMMYFUNCTION("""COMPUTED_VALUE"""),21.0)</f>
        <v>21</v>
      </c>
      <c r="B26" s="72" t="str">
        <f>IFERROR(__xludf.DUMMYFUNCTION("""COMPUTED_VALUE"""),"The Mill is a pub that serves Fast food. It is located near Café Rouge in the city centre. It is not kid friendly. The price range is £20-£25 and the customer rating is high.")</f>
        <v>The Mill is a pub that serves Fast food. It is located near Café Rouge in the city centre. It is not kid friendly. The price range is £20-£25 and the customer rating is high.</v>
      </c>
      <c r="C26" s="72" t="str">
        <f>IFERROR(__xludf.DUMMYFUNCTION("""COMPUTED_VALUE"""),"The Mill|eat_type|pub ++ The Mill|food|Fast food ++ The Mill|price_range|£20-25 ++ The Mill|rating|high ++ The Mill|area|city centre ++ The Mill|family_friendly|no ++ The Mill|near|Café Rouge")</f>
        <v>The Mill|eat_type|pub ++ The Mill|food|Fast food ++ The Mill|price_range|£20-25 ++ The Mill|rating|high ++ The Mill|area|city centre ++ The Mill|family_friendly|no ++ The Mill|near|Café Rouge</v>
      </c>
      <c r="D26" s="72">
        <f>IFERROR(__xludf.DUMMYFUNCTION("""COMPUTED_VALUE"""),0.984)</f>
        <v>0.984</v>
      </c>
      <c r="E26" s="72" t="str">
        <f>IFERROR(__xludf.DUMMYFUNCTION("""COMPUTED_VALUE"""),"omission")</f>
        <v>omission</v>
      </c>
      <c r="F26" s="72" t="str">
        <f>IFERROR(__xludf.DUMMYFUNCTION("""COMPUTED_VALUE"""),"OK")</f>
        <v>OK</v>
      </c>
      <c r="G26" s="72"/>
      <c r="H26" s="72" t="str">
        <f>IFERROR(__xludf.DUMMYFUNCTION("""COMPUTED_VALUE"""),"x")</f>
        <v>x</v>
      </c>
      <c r="I26" s="72"/>
      <c r="J26" s="72"/>
      <c r="K26" s="72"/>
      <c r="L26" s="72"/>
      <c r="M26" s="72"/>
      <c r="N26" s="72" t="str">
        <f>IFERROR(__xludf.DUMMYFUNCTION("""COMPUTED_VALUE"""),"x")</f>
        <v>x</v>
      </c>
      <c r="O26" s="72"/>
      <c r="P26" s="72"/>
    </row>
    <row r="27">
      <c r="A27" s="72">
        <f>IFERROR(__xludf.DUMMYFUNCTION("""COMPUTED_VALUE"""),101.0)</f>
        <v>101</v>
      </c>
      <c r="B27" s="72" t="str">
        <f>IFERROR(__xludf.DUMMYFUNCTION("""COMPUTED_VALUE"""),"The Cricketers is a family friendly coffee shop near Crowne Plaza Hotel with an average customer rating of 5 out of 5.")</f>
        <v>The Cricketers is a family friendly coffee shop near Crowne Plaza Hotel with an average customer rating of 5 out of 5.</v>
      </c>
      <c r="C27" s="72" t="str">
        <f>IFERROR(__xludf.DUMMYFUNCTION("""COMPUTED_VALUE"""),"The Cricketers|eat_type|coffee shop ++ The Cricketers|rating|5 out of 5 ++ The Cricketers|family_friendly|yes ++ The Cricketers|near|Crowne Plaza Hotel")</f>
        <v>The Cricketers|eat_type|coffee shop ++ The Cricketers|rating|5 out of 5 ++ The Cricketers|family_friendly|yes ++ The Cricketers|near|Crowne Plaza Hotel</v>
      </c>
      <c r="D27" s="72">
        <f>IFERROR(__xludf.DUMMYFUNCTION("""COMPUTED_VALUE"""),0.913)</f>
        <v>0.913</v>
      </c>
      <c r="E27" s="72" t="str">
        <f>IFERROR(__xludf.DUMMYFUNCTION("""COMPUTED_VALUE"""),"hallucination")</f>
        <v>hallucination</v>
      </c>
      <c r="F27" s="72" t="str">
        <f>IFERROR(__xludf.DUMMYFUNCTION("""COMPUTED_VALUE"""),"OK")</f>
        <v>OK</v>
      </c>
      <c r="G27" s="72"/>
      <c r="H27" s="72"/>
      <c r="I27" s="72" t="str">
        <f>IFERROR(__xludf.DUMMYFUNCTION("""COMPUTED_VALUE"""),"x")</f>
        <v>x</v>
      </c>
      <c r="J27" s="72"/>
      <c r="K27" s="72"/>
      <c r="L27" s="72"/>
      <c r="M27" s="72"/>
      <c r="N27" s="72"/>
      <c r="O27" s="72"/>
      <c r="P27" s="72" t="str">
        <f>IFERROR(__xludf.DUMMYFUNCTION("""COMPUTED_VALUE"""),"edge case: ""average customer rating of 5 out of 5"" can be interpreted as both ""average"" (=3/5) and ""high"" (=5/5)")</f>
        <v>edge case: "average customer rating of 5 out of 5" can be interpreted as both "average" (=3/5) and "high" (=5/5)</v>
      </c>
    </row>
    <row r="28">
      <c r="A28" s="72">
        <f>IFERROR(__xludf.DUMMYFUNCTION("""COMPUTED_VALUE"""),81.0)</f>
        <v>81</v>
      </c>
      <c r="B28" s="72" t="str">
        <f>IFERROR(__xludf.DUMMYFUNCTION("""COMPUTED_VALUE"""),"A pub named Wildwood is located in the city centre. It is for adults and is close to Raja Indian Cuisine. They offer Indian food.")</f>
        <v>A pub named Wildwood is located in the city centre. It is for adults and is close to Raja Indian Cuisine. They offer Indian food.</v>
      </c>
      <c r="C28" s="72" t="str">
        <f>IFERROR(__xludf.DUMMYFUNCTION("""COMPUTED_VALUE"""),"Wildwood|eat_type|pub ++ Wildwood|food|Indian ++ Wildwood|area|city centre ++ Wildwood|family_friendly|no ++ Wildwood|near|Raja Indian Cuisine")</f>
        <v>Wildwood|eat_type|pub ++ Wildwood|food|Indian ++ Wildwood|area|city centre ++ Wildwood|family_friendly|no ++ Wildwood|near|Raja Indian Cuisine</v>
      </c>
      <c r="D28" s="72">
        <f>IFERROR(__xludf.DUMMYFUNCTION("""COMPUTED_VALUE"""),0.652)</f>
        <v>0.652</v>
      </c>
      <c r="E28" s="72" t="str">
        <f>IFERROR(__xludf.DUMMYFUNCTION("""COMPUTED_VALUE"""),"omission")</f>
        <v>omission</v>
      </c>
      <c r="F28" s="72" t="str">
        <f>IFERROR(__xludf.DUMMYFUNCTION("""COMPUTED_VALUE"""),"OK")</f>
        <v>OK</v>
      </c>
      <c r="G28" s="72"/>
      <c r="H28" s="72" t="str">
        <f>IFERROR(__xludf.DUMMYFUNCTION("""COMPUTED_VALUE"""),"x")</f>
        <v>x</v>
      </c>
      <c r="I28" s="72"/>
      <c r="J28" s="72"/>
      <c r="K28" s="72"/>
      <c r="L28" s="72" t="str">
        <f>IFERROR(__xludf.DUMMYFUNCTION("""COMPUTED_VALUE"""),"x")</f>
        <v>x</v>
      </c>
      <c r="M28" s="72"/>
      <c r="N28" s="72"/>
      <c r="O28" s="72"/>
      <c r="P28" s="72"/>
    </row>
    <row r="29">
      <c r="A29" s="72">
        <f>IFERROR(__xludf.DUMMYFUNCTION("""COMPUTED_VALUE"""),104.0)</f>
        <v>104</v>
      </c>
      <c r="B29" s="72" t="str">
        <f>IFERROR(__xludf.DUMMYFUNCTION("""COMPUTED_VALUE"""),"Wildwood serves Italian food that is kids-friendly. It is in the city centre area near Raja Indian Cuisine.")</f>
        <v>Wildwood serves Italian food that is kids-friendly. It is in the city centre area near Raja Indian Cuisine.</v>
      </c>
      <c r="C29" s="72" t="str">
        <f>IFERROR(__xludf.DUMMYFUNCTION("""COMPUTED_VALUE"""),"Wildwood|eat_type|restaurant ++ Wildwood|food|Italian ++ Wildwood|area|city centre ++ Wildwood|family_friendly|yes ++ Wildwood|near|Raja Indian Cuisine")</f>
        <v>Wildwood|eat_type|restaurant ++ Wildwood|food|Italian ++ Wildwood|area|city centre ++ Wildwood|family_friendly|yes ++ Wildwood|near|Raja Indian Cuisine</v>
      </c>
      <c r="D29" s="72">
        <f>IFERROR(__xludf.DUMMYFUNCTION("""COMPUTED_VALUE"""),0.874)</f>
        <v>0.874</v>
      </c>
      <c r="E29" s="72" t="str">
        <f>IFERROR(__xludf.DUMMYFUNCTION("""COMPUTED_VALUE"""),"omission")</f>
        <v>omission</v>
      </c>
      <c r="F29" s="72" t="str">
        <f>IFERROR(__xludf.DUMMYFUNCTION("""COMPUTED_VALUE"""),"OK")</f>
        <v>OK</v>
      </c>
      <c r="G29" s="72" t="str">
        <f>IFERROR(__xludf.DUMMYFUNCTION("""COMPUTED_VALUE"""),"x")</f>
        <v>x</v>
      </c>
      <c r="H29" s="72"/>
      <c r="I29" s="72"/>
      <c r="J29" s="72" t="str">
        <f>IFERROR(__xludf.DUMMYFUNCTION("""COMPUTED_VALUE"""),"x")</f>
        <v>x</v>
      </c>
      <c r="K29" s="72"/>
      <c r="L29" s="72"/>
      <c r="M29" s="72"/>
      <c r="N29" s="72"/>
      <c r="O29" s="72"/>
      <c r="P29" s="72"/>
    </row>
    <row r="30">
      <c r="A30" s="72">
        <f>IFERROR(__xludf.DUMMYFUNCTION("""COMPUTED_VALUE"""),42.0)</f>
        <v>42</v>
      </c>
      <c r="B30" s="72" t="str">
        <f>IFERROR(__xludf.DUMMYFUNCTION("""COMPUTED_VALUE"""),"The Cricketers is a non family friendly coffee shop near Crowne Plaza Hotel with an average customer rating of 5 out of 5.")</f>
        <v>The Cricketers is a non family friendly coffee shop near Crowne Plaza Hotel with an average customer rating of 5 out of 5.</v>
      </c>
      <c r="C30" s="72" t="str">
        <f>IFERROR(__xludf.DUMMYFUNCTION("""COMPUTED_VALUE"""),"The Cricketers|eat_type|coffee shop ++ The Cricketers|rating|5 out of 5 ++ The Cricketers|family_friendly|no ++ The Cricketers|near|Crowne Plaza Hotel")</f>
        <v>The Cricketers|eat_type|coffee shop ++ The Cricketers|rating|5 out of 5 ++ The Cricketers|family_friendly|no ++ The Cricketers|near|Crowne Plaza Hotel</v>
      </c>
      <c r="D30" s="72">
        <f>IFERROR(__xludf.DUMMYFUNCTION("""COMPUTED_VALUE"""),0.895)</f>
        <v>0.895</v>
      </c>
      <c r="E30" s="72" t="str">
        <f>IFERROR(__xludf.DUMMYFUNCTION("""COMPUTED_VALUE"""),"hallucination")</f>
        <v>hallucination</v>
      </c>
      <c r="F30" s="72" t="str">
        <f>IFERROR(__xludf.DUMMYFUNCTION("""COMPUTED_VALUE"""),"OK")</f>
        <v>OK</v>
      </c>
      <c r="G30" s="72"/>
      <c r="H30" s="72"/>
      <c r="I30" s="72" t="str">
        <f>IFERROR(__xludf.DUMMYFUNCTION("""COMPUTED_VALUE"""),"x")</f>
        <v>x</v>
      </c>
      <c r="J30" s="72"/>
      <c r="K30" s="72"/>
      <c r="L30" s="72"/>
      <c r="M30" s="72"/>
      <c r="N30" s="72"/>
      <c r="O30" s="72"/>
      <c r="P30" s="72" t="str">
        <f>IFERROR(__xludf.DUMMYFUNCTION("""COMPUTED_VALUE"""),"edge case: ""average customer rating of 5 out of 5"" can be interpreted as both ""average"" (=3/5) and ""high"" (=5/5)")</f>
        <v>edge case: "average customer rating of 5 out of 5" can be interpreted as both "average" (=3/5) and "high" (=5/5)</v>
      </c>
    </row>
    <row r="31">
      <c r="A31" s="72">
        <f>IFERROR(__xludf.DUMMYFUNCTION("""COMPUTED_VALUE"""),3.0)</f>
        <v>3</v>
      </c>
      <c r="B31" s="72" t="str">
        <f>IFERROR(__xludf.DUMMYFUNCTION("""COMPUTED_VALUE"""),"The Mill can be found near Café Sicilia . It is a cheap , family friendly pub with a five star rating and full service .")</f>
        <v>The Mill can be found near Café Sicilia . It is a cheap , family friendly pub with a five star rating and full service .</v>
      </c>
      <c r="C31" s="72" t="str">
        <f>IFERROR(__xludf.DUMMYFUNCTION("""COMPUTED_VALUE"""),"The Mill|eat_type|pub ++ The Mill|food|Fast food ++ The Mill|price_range|cheap ++ The Mill|rating|5 out of 5 ++ The Mill|area|riverside ++ The Mill|family_friendly|yes ++ The Mill|near|Café Sicilia")</f>
        <v>The Mill|eat_type|pub ++ The Mill|food|Fast food ++ The Mill|price_range|cheap ++ The Mill|rating|5 out of 5 ++ The Mill|area|riverside ++ The Mill|family_friendly|yes ++ The Mill|near|Café Sicilia</v>
      </c>
      <c r="D31" s="72">
        <f>IFERROR(__xludf.DUMMYFUNCTION("""COMPUTED_VALUE"""),0.004)</f>
        <v>0.004</v>
      </c>
      <c r="E31" s="72" t="str">
        <f>IFERROR(__xludf.DUMMYFUNCTION("""COMPUTED_VALUE"""),"omission")</f>
        <v>omission</v>
      </c>
      <c r="F31" s="72" t="str">
        <f>IFERROR(__xludf.DUMMYFUNCTION("""COMPUTED_VALUE"""),"hallucination+omission")</f>
        <v>hallucination+omission</v>
      </c>
      <c r="G31" s="72"/>
      <c r="H31" s="72" t="str">
        <f>IFERROR(__xludf.DUMMYFUNCTION("""COMPUTED_VALUE"""),"x")</f>
        <v>x</v>
      </c>
      <c r="I31" s="72"/>
      <c r="J31" s="72"/>
      <c r="K31" s="72"/>
      <c r="L31" s="72"/>
      <c r="M31" s="72" t="str">
        <f>IFERROR(__xludf.DUMMYFUNCTION("""COMPUTED_VALUE"""),"x")</f>
        <v>x</v>
      </c>
      <c r="N31" s="72"/>
      <c r="O31" s="72"/>
      <c r="P31" s="72"/>
    </row>
    <row r="32">
      <c r="A32" s="72">
        <f>IFERROR(__xludf.DUMMYFUNCTION("""COMPUTED_VALUE"""),116.0)</f>
        <v>116</v>
      </c>
      <c r="B32" s="72" t="str">
        <f>IFERROR(__xludf.DUMMYFUNCTION("""COMPUTED_VALUE"""),"Located near Raja Indian Cuisine in the city centre , The Plough is a Chinese restaurant where you can enjoyed at high price per head . Though not allow children .")</f>
        <v>Located near Raja Indian Cuisine in the city centre , The Plough is a Chinese restaurant where you can enjoyed at high price per head . Though not allow children .</v>
      </c>
      <c r="C32" s="72" t="str">
        <f>IFERROR(__xludf.DUMMYFUNCTION("""COMPUTED_VALUE"""),"The Plough|eat_type|restaurant ++ The Plough|food|Chinese ++ The Plough|price_range|high ++ The Plough|area|city centre ++ The Plough|family_friendly|no ++ The Plough|near|Raja Indian Cuisine")</f>
        <v>The Plough|eat_type|restaurant ++ The Plough|food|Chinese ++ The Plough|price_range|high ++ The Plough|area|city centre ++ The Plough|family_friendly|no ++ The Plough|near|Raja Indian Cuisine</v>
      </c>
      <c r="D32" s="72">
        <f>IFERROR(__xludf.DUMMYFUNCTION("""COMPUTED_VALUE"""),0.611)</f>
        <v>0.611</v>
      </c>
      <c r="E32" s="72" t="str">
        <f>IFERROR(__xludf.DUMMYFUNCTION("""COMPUTED_VALUE"""),"hallucination+omission")</f>
        <v>hallucination+omission</v>
      </c>
      <c r="F32" s="72" t="str">
        <f>IFERROR(__xludf.DUMMYFUNCTION("""COMPUTED_VALUE"""),"OK")</f>
        <v>OK</v>
      </c>
      <c r="G32" s="72"/>
      <c r="H32" s="72" t="str">
        <f>IFERROR(__xludf.DUMMYFUNCTION("""COMPUTED_VALUE"""),"x")</f>
        <v>x</v>
      </c>
      <c r="I32" s="72"/>
      <c r="J32" s="72"/>
      <c r="K32" s="72"/>
      <c r="L32" s="72"/>
      <c r="M32" s="72"/>
      <c r="N32" s="72"/>
      <c r="O32" s="72"/>
      <c r="P32" s="72" t="str">
        <f>IFERROR(__xludf.DUMMYFUNCTION("""COMPUTED_VALUE"""),"disfluent text")</f>
        <v>disfluent text</v>
      </c>
    </row>
    <row r="33">
      <c r="A33" s="72">
        <f>IFERROR(__xludf.DUMMYFUNCTION("""COMPUTED_VALUE"""),27.0)</f>
        <v>27</v>
      </c>
      <c r="B33" s="72" t="str">
        <f>IFERROR(__xludf.DUMMYFUNCTION("""COMPUTED_VALUE"""),"The Phoenix restaurant serves Fast food food and is near the riverside and the Raja Indian Cuisine. It is not family-friendly and is priced in the moderate pound range.")</f>
        <v>The Phoenix restaurant serves Fast food food and is near the riverside and the Raja Indian Cuisine. It is not family-friendly and is priced in the moderate pound range.</v>
      </c>
      <c r="C33" s="72" t="str">
        <f>IFERROR(__xludf.DUMMYFUNCTION("""COMPUTED_VALUE"""),"The Phoenix|eat_type|restaurant ++ The Phoenix|food|Fast food ++ The Phoenix|price_range|moderate ++ The Phoenix|area|riverside ++ The Phoenix|family_friendly|no ++ The Phoenix|near|Raja Indian Cuisine")</f>
        <v>The Phoenix|eat_type|restaurant ++ The Phoenix|food|Fast food ++ The Phoenix|price_range|moderate ++ The Phoenix|area|riverside ++ The Phoenix|family_friendly|no ++ The Phoenix|near|Raja Indian Cuisine</v>
      </c>
      <c r="D33" s="72">
        <f>IFERROR(__xludf.DUMMYFUNCTION("""COMPUTED_VALUE"""),0.717)</f>
        <v>0.717</v>
      </c>
      <c r="E33" s="72" t="str">
        <f>IFERROR(__xludf.DUMMYFUNCTION("""COMPUTED_VALUE"""),"omission")</f>
        <v>omission</v>
      </c>
      <c r="F33" s="72" t="str">
        <f>IFERROR(__xludf.DUMMYFUNCTION("""COMPUTED_VALUE"""),"OK")</f>
        <v>OK</v>
      </c>
      <c r="G33" s="72"/>
      <c r="H33" s="72" t="str">
        <f>IFERROR(__xludf.DUMMYFUNCTION("""COMPUTED_VALUE"""),"x")</f>
        <v>x</v>
      </c>
      <c r="I33" s="72"/>
      <c r="J33" s="72"/>
      <c r="K33" s="72" t="str">
        <f>IFERROR(__xludf.DUMMYFUNCTION("""COMPUTED_VALUE"""),"x")</f>
        <v>x</v>
      </c>
      <c r="L33" s="72"/>
      <c r="M33" s="72"/>
      <c r="N33" s="72"/>
      <c r="O33" s="72"/>
      <c r="P33" s="72" t="str">
        <f>IFERROR(__xludf.DUMMYFUNCTION("""COMPUTED_VALUE"""),"disfluent text")</f>
        <v>disfluent text</v>
      </c>
    </row>
    <row r="34">
      <c r="A34" s="72">
        <f>IFERROR(__xludf.DUMMYFUNCTION("""COMPUTED_VALUE"""),51.0)</f>
        <v>51</v>
      </c>
      <c r="B34" s="72" t="str">
        <f>IFERROR(__xludf.DUMMYFUNCTION("""COMPUTED_VALUE"""),"The Waterman restaurant near Raja Indian Cuisine in the riverside sells Indian food and is less than £20 priced no kids allowed.")</f>
        <v>The Waterman restaurant near Raja Indian Cuisine in the riverside sells Indian food and is less than £20 priced no kids allowed.</v>
      </c>
      <c r="C34" s="72" t="str">
        <f>IFERROR(__xludf.DUMMYFUNCTION("""COMPUTED_VALUE"""),"The Waterman|eat_type|restaurant ++ The Waterman|food|Indian ++ The Waterman|price_range|less than £20 ++ The Waterman|area|riverside ++ The Waterman|family_friendly|no ++ The Waterman|near|Raja Indian Cuisine")</f>
        <v>The Waterman|eat_type|restaurant ++ The Waterman|food|Indian ++ The Waterman|price_range|less than £20 ++ The Waterman|area|riverside ++ The Waterman|family_friendly|no ++ The Waterman|near|Raja Indian Cuisine</v>
      </c>
      <c r="D34" s="72">
        <f>IFERROR(__xludf.DUMMYFUNCTION("""COMPUTED_VALUE"""),0.346)</f>
        <v>0.346</v>
      </c>
      <c r="E34" s="72" t="str">
        <f>IFERROR(__xludf.DUMMYFUNCTION("""COMPUTED_VALUE"""),"OK")</f>
        <v>OK</v>
      </c>
      <c r="F34" s="72" t="str">
        <f>IFERROR(__xludf.DUMMYFUNCTION("""COMPUTED_VALUE"""),"hallucination")</f>
        <v>hallucination</v>
      </c>
      <c r="G34" s="72" t="str">
        <f>IFERROR(__xludf.DUMMYFUNCTION("""COMPUTED_VALUE"""),"x")</f>
        <v>x</v>
      </c>
      <c r="H34" s="72"/>
      <c r="I34" s="72"/>
      <c r="J34" s="72"/>
      <c r="K34" s="72"/>
      <c r="L34" s="72" t="str">
        <f>IFERROR(__xludf.DUMMYFUNCTION("""COMPUTED_VALUE"""),"x")</f>
        <v>x</v>
      </c>
      <c r="M34" s="72"/>
      <c r="N34" s="72"/>
      <c r="O34" s="72"/>
      <c r="P34" s="72"/>
    </row>
    <row r="35">
      <c r="A35" s="72">
        <f>IFERROR(__xludf.DUMMYFUNCTION("""COMPUTED_VALUE"""),7.0)</f>
        <v>7</v>
      </c>
      <c r="B35" s="72" t="str">
        <f>IFERROR(__xludf.DUMMYFUNCTION("""COMPUTED_VALUE"""),"The Punter, which has a low customer rating, is a low-priced restaurant offering Indian cuisine. It is in the riverside area by Express by Holiday Inn. It is not child-friendly.")</f>
        <v>The Punter, which has a low customer rating, is a low-priced restaurant offering Indian cuisine. It is in the riverside area by Express by Holiday Inn. It is not child-friendly.</v>
      </c>
      <c r="C35" s="72" t="str">
        <f>IFERROR(__xludf.DUMMYFUNCTION("""COMPUTED_VALUE"""),"The Punter|eat_type|restaurant ++ The Punter|food|Indian ++ The Punter|price_range|less than £20 ++ The Punter|rating|low ++ The Punter|area|riverside ++ The Punter|family_friendly|no ++ The Punter|near|Express by Holiday Inn")</f>
        <v>The Punter|eat_type|restaurant ++ The Punter|food|Indian ++ The Punter|price_range|less than £20 ++ The Punter|rating|low ++ The Punter|area|riverside ++ The Punter|family_friendly|no ++ The Punter|near|Express by Holiday Inn</v>
      </c>
      <c r="D35" s="72">
        <f>IFERROR(__xludf.DUMMYFUNCTION("""COMPUTED_VALUE"""),0.047)</f>
        <v>0.047</v>
      </c>
      <c r="E35" s="72" t="str">
        <f>IFERROR(__xludf.DUMMYFUNCTION("""COMPUTED_VALUE"""),"OK")</f>
        <v>OK</v>
      </c>
      <c r="F35" s="72" t="str">
        <f>IFERROR(__xludf.DUMMYFUNCTION("""COMPUTED_VALUE"""),"omission")</f>
        <v>omission</v>
      </c>
      <c r="G35" s="72" t="str">
        <f>IFERROR(__xludf.DUMMYFUNCTION("""COMPUTED_VALUE"""),"x")</f>
        <v>x</v>
      </c>
      <c r="H35" s="72"/>
      <c r="I35" s="72"/>
      <c r="J35" s="72"/>
      <c r="K35" s="72" t="str">
        <f>IFERROR(__xludf.DUMMYFUNCTION("""COMPUTED_VALUE"""),"x")</f>
        <v>x</v>
      </c>
      <c r="L35" s="72"/>
      <c r="M35" s="72"/>
      <c r="N35" s="72"/>
      <c r="O35" s="72"/>
      <c r="P35" s="72"/>
    </row>
    <row r="36">
      <c r="A36" s="72">
        <f>IFERROR(__xludf.DUMMYFUNCTION("""COMPUTED_VALUE"""),94.0)</f>
        <v>94</v>
      </c>
      <c r="B36" s="72" t="str">
        <f>IFERROR(__xludf.DUMMYFUNCTION("""COMPUTED_VALUE"""),"The Cricketers is a high restaurant that serves Chinese food. It is not children-friendly and has a rating of 1 out of 5. It is located in the riverside area near All Bar One.")</f>
        <v>The Cricketers is a high restaurant that serves Chinese food. It is not children-friendly and has a rating of 1 out of 5. It is located in the riverside area near All Bar One.</v>
      </c>
      <c r="C36" s="72" t="str">
        <f>IFERROR(__xludf.DUMMYFUNCTION("""COMPUTED_VALUE"""),"The Cricketers|eat_type|restaurant ++ The Cricketers|food|Chinese ++ The Cricketers|price_range|high ++ The Cricketers|rating|1 out of 5 ++ The Cricketers|area|riverside ++ The Cricketers|family_friendly|no ++ The Cricketers|near|All Bar One")</f>
        <v>The Cricketers|eat_type|restaurant ++ The Cricketers|food|Chinese ++ The Cricketers|price_range|high ++ The Cricketers|rating|1 out of 5 ++ The Cricketers|area|riverside ++ The Cricketers|family_friendly|no ++ The Cricketers|near|All Bar One</v>
      </c>
      <c r="D36" s="72">
        <f>IFERROR(__xludf.DUMMYFUNCTION("""COMPUTED_VALUE"""),0.932)</f>
        <v>0.932</v>
      </c>
      <c r="E36" s="72" t="str">
        <f>IFERROR(__xludf.DUMMYFUNCTION("""COMPUTED_VALUE"""),"omission")</f>
        <v>omission</v>
      </c>
      <c r="F36" s="72" t="str">
        <f>IFERROR(__xludf.DUMMYFUNCTION("""COMPUTED_VALUE"""),"OK")</f>
        <v>OK</v>
      </c>
      <c r="G36" s="72"/>
      <c r="H36" s="72"/>
      <c r="I36" s="72" t="str">
        <f>IFERROR(__xludf.DUMMYFUNCTION("""COMPUTED_VALUE"""),"x")</f>
        <v>x</v>
      </c>
      <c r="J36" s="72"/>
      <c r="K36" s="72"/>
      <c r="L36" s="72"/>
      <c r="M36" s="72"/>
      <c r="N36" s="72"/>
      <c r="O36" s="72"/>
      <c r="P36" s="72" t="str">
        <f>IFERROR(__xludf.DUMMYFUNCTION("""COMPUTED_VALUE"""),"edge case: ""high restaurant"" (as in price range=high)")</f>
        <v>edge case: "high restaurant" (as in price range=high)</v>
      </c>
    </row>
    <row r="37">
      <c r="A37" s="72">
        <f>IFERROR(__xludf.DUMMYFUNCTION("""COMPUTED_VALUE"""),6.0)</f>
        <v>6</v>
      </c>
      <c r="B37" s="72" t="str">
        <f>IFERROR(__xludf.DUMMYFUNCTION("""COMPUTED_VALUE"""),"The Mill is a high pub that serves fast food. It is not children-friendly and has a rating of 1 out of 5. It is located in the riverside area near Café Sicilia.")</f>
        <v>The Mill is a high pub that serves fast food. It is not children-friendly and has a rating of 1 out of 5. It is located in the riverside area near Café Sicilia.</v>
      </c>
      <c r="C37" s="72" t="str">
        <f>IFERROR(__xludf.DUMMYFUNCTION("""COMPUTED_VALUE"""),"The Mill|eat_type|pub ++ The Mill|food|Fast food ++ The Mill|price_range|high ++ The Mill|rating|1 out of 5 ++ The Mill|area|riverside ++ The Mill|family_friendly|no ++ The Mill|near|Café Sicilia")</f>
        <v>The Mill|eat_type|pub ++ The Mill|food|Fast food ++ The Mill|price_range|high ++ The Mill|rating|1 out of 5 ++ The Mill|area|riverside ++ The Mill|family_friendly|no ++ The Mill|near|Café Sicilia</v>
      </c>
      <c r="D37" s="72">
        <f>IFERROR(__xludf.DUMMYFUNCTION("""COMPUTED_VALUE"""),0.913)</f>
        <v>0.913</v>
      </c>
      <c r="E37" s="72" t="str">
        <f>IFERROR(__xludf.DUMMYFUNCTION("""COMPUTED_VALUE"""),"omission")</f>
        <v>omission</v>
      </c>
      <c r="F37" s="72" t="str">
        <f>IFERROR(__xludf.DUMMYFUNCTION("""COMPUTED_VALUE"""),"OK")</f>
        <v>OK</v>
      </c>
      <c r="G37" s="72"/>
      <c r="H37" s="72"/>
      <c r="I37" s="72" t="str">
        <f>IFERROR(__xludf.DUMMYFUNCTION("""COMPUTED_VALUE"""),"x")</f>
        <v>x</v>
      </c>
      <c r="J37" s="72"/>
      <c r="K37" s="72"/>
      <c r="L37" s="72"/>
      <c r="M37" s="72"/>
      <c r="N37" s="72"/>
      <c r="O37" s="72"/>
      <c r="P37" s="72" t="str">
        <f>IFERROR(__xludf.DUMMYFUNCTION("""COMPUTED_VALUE"""),"edge case ""high pub"" (= high price range)")</f>
        <v>edge case "high pub" (= high price range)</v>
      </c>
    </row>
    <row r="38">
      <c r="A38" s="72">
        <f>IFERROR(__xludf.DUMMYFUNCTION("""COMPUTED_VALUE"""),96.0)</f>
        <v>96</v>
      </c>
      <c r="B38" s="72" t="str">
        <f>IFERROR(__xludf.DUMMYFUNCTION("""COMPUTED_VALUE"""),"The Vaults is a high-priced, highly rated italian pub located near Rainbow Vegetarian Café in the riverside area. It is not child friendly.'")</f>
        <v>The Vaults is a high-priced, highly rated italian pub located near Rainbow Vegetarian Café in the riverside area. It is not child friendly.'</v>
      </c>
      <c r="C38" s="72" t="str">
        <f>IFERROR(__xludf.DUMMYFUNCTION("""COMPUTED_VALUE"""),"The Vaults|eat_type|pub ++ The Vaults|food|Italian ++ The Vaults|price_range|more than £30 ++ The Vaults|rating|high ++ The Vaults|area|riverside ++ The Vaults|family_friendly|no ++ The Vaults|near|Rainbow Vegetarian Café")</f>
        <v>The Vaults|eat_type|pub ++ The Vaults|food|Italian ++ The Vaults|price_range|more than £30 ++ The Vaults|rating|high ++ The Vaults|area|riverside ++ The Vaults|family_friendly|no ++ The Vaults|near|Rainbow Vegetarian Café</v>
      </c>
      <c r="D38" s="72">
        <f>IFERROR(__xludf.DUMMYFUNCTION("""COMPUTED_VALUE"""),0.054)</f>
        <v>0.054</v>
      </c>
      <c r="E38" s="72" t="str">
        <f>IFERROR(__xludf.DUMMYFUNCTION("""COMPUTED_VALUE"""),"OK")</f>
        <v>OK</v>
      </c>
      <c r="F38" s="72" t="str">
        <f>IFERROR(__xludf.DUMMYFUNCTION("""COMPUTED_VALUE"""),"omission")</f>
        <v>omission</v>
      </c>
      <c r="G38" s="72" t="str">
        <f>IFERROR(__xludf.DUMMYFUNCTION("""COMPUTED_VALUE"""),"x")</f>
        <v>x</v>
      </c>
      <c r="H38" s="72"/>
      <c r="I38" s="72"/>
      <c r="J38" s="72"/>
      <c r="K38" s="72" t="str">
        <f>IFERROR(__xludf.DUMMYFUNCTION("""COMPUTED_VALUE"""),"x")</f>
        <v>x</v>
      </c>
      <c r="L38" s="72"/>
      <c r="M38" s="72"/>
      <c r="N38" s="72"/>
      <c r="O38" s="72"/>
      <c r="P38" s="72"/>
    </row>
    <row r="39">
      <c r="A39" s="72">
        <f>IFERROR(__xludf.DUMMYFUNCTION("""COMPUTED_VALUE"""),90.0)</f>
        <v>90</v>
      </c>
      <c r="B39" s="72" t="str">
        <f>IFERROR(__xludf.DUMMYFUNCTION("""COMPUTED_VALUE"""),"For good prices , bring your family to The Waterman pub . It offers Indian cuisine and is located in the city center near Raja Indian Cuisine .")</f>
        <v>For good prices , bring your family to The Waterman pub . It offers Indian cuisine and is located in the city center near Raja Indian Cuisine .</v>
      </c>
      <c r="C39" s="72" t="str">
        <f>IFERROR(__xludf.DUMMYFUNCTION("""COMPUTED_VALUE"""),"The Waterman|eat_type|pub ++ The Waterman|food|Indian ++ The Waterman|price_range|less than £20 ++ The Waterman|area|city centre ++ The Waterman|family_friendly|no ++ The Waterman|near|Raja Indian Cuisine")</f>
        <v>The Waterman|eat_type|pub ++ The Waterman|food|Indian ++ The Waterman|price_range|less than £20 ++ The Waterman|area|city centre ++ The Waterman|family_friendly|no ++ The Waterman|near|Raja Indian Cuisine</v>
      </c>
      <c r="D39" s="72">
        <f>IFERROR(__xludf.DUMMYFUNCTION("""COMPUTED_VALUE"""),0.0)</f>
        <v>0</v>
      </c>
      <c r="E39" s="72" t="str">
        <f>IFERROR(__xludf.DUMMYFUNCTION("""COMPUTED_VALUE"""),"omission")</f>
        <v>omission</v>
      </c>
      <c r="F39" s="72" t="str">
        <f>IFERROR(__xludf.DUMMYFUNCTION("""COMPUTED_VALUE"""),"hallucination+omission")</f>
        <v>hallucination+omission</v>
      </c>
      <c r="G39" s="72"/>
      <c r="H39" s="72" t="str">
        <f>IFERROR(__xludf.DUMMYFUNCTION("""COMPUTED_VALUE"""),"x")</f>
        <v>x</v>
      </c>
      <c r="I39" s="72"/>
      <c r="J39" s="72"/>
      <c r="K39" s="72"/>
      <c r="L39" s="72" t="str">
        <f>IFERROR(__xludf.DUMMYFUNCTION("""COMPUTED_VALUE"""),"x")</f>
        <v>x</v>
      </c>
      <c r="M39" s="72"/>
      <c r="N39" s="72"/>
      <c r="O39" s="72"/>
      <c r="P39" s="72"/>
    </row>
    <row r="40">
      <c r="A40" s="72">
        <f>IFERROR(__xludf.DUMMYFUNCTION("""COMPUTED_VALUE"""),22.0)</f>
        <v>22</v>
      </c>
      <c r="B40" s="72" t="str">
        <f>IFERROR(__xludf.DUMMYFUNCTION("""COMPUTED_VALUE"""),"Clowns is a pub located a few steps of The Sorrento.")</f>
        <v>Clowns is a pub located a few steps of The Sorrento.</v>
      </c>
      <c r="C40" s="72" t="str">
        <f>IFERROR(__xludf.DUMMYFUNCTION("""COMPUTED_VALUE"""),"Clowns|eat_type|pub ++ Clowns|near|The Sorrento")</f>
        <v>Clowns|eat_type|pub ++ Clowns|near|The Sorrento</v>
      </c>
      <c r="D40" s="72">
        <f>IFERROR(__xludf.DUMMYFUNCTION("""COMPUTED_VALUE"""),0.005)</f>
        <v>0.005</v>
      </c>
      <c r="E40" s="72" t="str">
        <f>IFERROR(__xludf.DUMMYFUNCTION("""COMPUTED_VALUE"""),"OK")</f>
        <v>OK</v>
      </c>
      <c r="F40" s="72" t="str">
        <f>IFERROR(__xludf.DUMMYFUNCTION("""COMPUTED_VALUE"""),"hallucination")</f>
        <v>hallucination</v>
      </c>
      <c r="G40" s="72" t="str">
        <f>IFERROR(__xludf.DUMMYFUNCTION("""COMPUTED_VALUE"""),"x")</f>
        <v>x</v>
      </c>
      <c r="H40" s="72"/>
      <c r="I40" s="72"/>
      <c r="J40" s="72"/>
      <c r="K40" s="72"/>
      <c r="L40" s="72"/>
      <c r="M40" s="72"/>
      <c r="N40" s="72"/>
      <c r="O40" s="72" t="str">
        <f>IFERROR(__xludf.DUMMYFUNCTION("""COMPUTED_VALUE"""),"x")</f>
        <v>x</v>
      </c>
      <c r="P40" s="72" t="str">
        <f>IFERROR(__xludf.DUMMYFUNCTION("""COMPUTED_VALUE"""),"""a few steps"" not identified as equal to ""near"" by SED")</f>
        <v>"a few steps" not identified as equal to "near" by SED</v>
      </c>
    </row>
    <row r="41">
      <c r="A41" s="72">
        <f>IFERROR(__xludf.DUMMYFUNCTION("""COMPUTED_VALUE"""),37.0)</f>
        <v>37</v>
      </c>
      <c r="B41" s="72" t="str">
        <f>IFERROR(__xludf.DUMMYFUNCTION("""COMPUTED_VALUE"""),"The Phoenix is a moderately priced French pub located in the city centre near Café Sicilia it is kid friendly and has a customer rating of 3 out of 5.")</f>
        <v>The Phoenix is a moderately priced French pub located in the city centre near Café Sicilia it is kid friendly and has a customer rating of 3 out of 5.</v>
      </c>
      <c r="C41" s="72" t="str">
        <f>IFERROR(__xludf.DUMMYFUNCTION("""COMPUTED_VALUE"""),"The Phoenix|eat_type|pub ++ The Phoenix|food|French ++ The Phoenix|price_range|£20-25 ++ The Phoenix|rating|3 out of 5 ++ The Phoenix|area|city centre ++ The Phoenix|family_friendly|yes ++ The Phoenix|near|Café Sicilia")</f>
        <v>The Phoenix|eat_type|pub ++ The Phoenix|food|French ++ The Phoenix|price_range|£20-25 ++ The Phoenix|rating|3 out of 5 ++ The Phoenix|area|city centre ++ The Phoenix|family_friendly|yes ++ The Phoenix|near|Café Sicilia</v>
      </c>
      <c r="D41" s="72">
        <f>IFERROR(__xludf.DUMMYFUNCTION("""COMPUTED_VALUE"""),0.003)</f>
        <v>0.003</v>
      </c>
      <c r="E41" s="72" t="str">
        <f>IFERROR(__xludf.DUMMYFUNCTION("""COMPUTED_VALUE"""),"OK")</f>
        <v>OK</v>
      </c>
      <c r="F41" s="72" t="str">
        <f>IFERROR(__xludf.DUMMYFUNCTION("""COMPUTED_VALUE"""),"omission")</f>
        <v>omission</v>
      </c>
      <c r="G41" s="72" t="str">
        <f>IFERROR(__xludf.DUMMYFUNCTION("""COMPUTED_VALUE"""),"x")</f>
        <v>x</v>
      </c>
      <c r="H41" s="72"/>
      <c r="I41" s="72"/>
      <c r="J41" s="72"/>
      <c r="K41" s="72" t="str">
        <f>IFERROR(__xludf.DUMMYFUNCTION("""COMPUTED_VALUE"""),"x")</f>
        <v>x</v>
      </c>
      <c r="L41" s="72"/>
      <c r="M41" s="72"/>
      <c r="N41" s="72"/>
      <c r="O41" s="72"/>
      <c r="P41" s="72"/>
    </row>
    <row r="42">
      <c r="A42" s="72">
        <f>IFERROR(__xludf.DUMMYFUNCTION("""COMPUTED_VALUE"""),69.0)</f>
        <v>69</v>
      </c>
      <c r="B42" s="72" t="str">
        <f>IFERROR(__xludf.DUMMYFUNCTION("""COMPUTED_VALUE"""),"The Cricketers is a restaurant near Ranch. It has a low rating and is for adults only.")</f>
        <v>The Cricketers is a restaurant near Ranch. It has a low rating and is for adults only.</v>
      </c>
      <c r="C42" s="72" t="str">
        <f>IFERROR(__xludf.DUMMYFUNCTION("""COMPUTED_VALUE"""),"The Cricketers|eat_type|restaurant ++ The Cricketers|rating|low ++ The Cricketers|family_friendly|no ++ The Cricketers|near|Ranch")</f>
        <v>The Cricketers|eat_type|restaurant ++ The Cricketers|rating|low ++ The Cricketers|family_friendly|no ++ The Cricketers|near|Ranch</v>
      </c>
      <c r="D42" s="72">
        <f>IFERROR(__xludf.DUMMYFUNCTION("""COMPUTED_VALUE"""),0.012)</f>
        <v>0.012</v>
      </c>
      <c r="E42" s="72" t="str">
        <f>IFERROR(__xludf.DUMMYFUNCTION("""COMPUTED_VALUE"""),"OK")</f>
        <v>OK</v>
      </c>
      <c r="F42" s="72" t="str">
        <f>IFERROR(__xludf.DUMMYFUNCTION("""COMPUTED_VALUE"""),"hallucination")</f>
        <v>hallucination</v>
      </c>
      <c r="G42" s="72" t="str">
        <f>IFERROR(__xludf.DUMMYFUNCTION("""COMPUTED_VALUE"""),"x")</f>
        <v>x</v>
      </c>
      <c r="H42" s="72"/>
      <c r="I42" s="72"/>
      <c r="J42" s="72"/>
      <c r="K42" s="72"/>
      <c r="L42" s="72" t="str">
        <f>IFERROR(__xludf.DUMMYFUNCTION("""COMPUTED_VALUE"""),"x")</f>
        <v>x</v>
      </c>
      <c r="M42" s="72"/>
      <c r="N42" s="72"/>
      <c r="O42" s="72"/>
      <c r="P42" s="72"/>
    </row>
    <row r="43">
      <c r="A43" s="72">
        <f>IFERROR(__xludf.DUMMYFUNCTION("""COMPUTED_VALUE"""),47.0)</f>
        <v>47</v>
      </c>
      <c r="B43" s="72" t="str">
        <f>IFERROR(__xludf.DUMMYFUNCTION("""COMPUTED_VALUE"""),"The Mill is a pub serving English food in the low price range it is located in the riverside near Raja Indian Cuisine it is not family-friendly.")</f>
        <v>The Mill is a pub serving English food in the low price range it is located in the riverside near Raja Indian Cuisine it is not family-friendly.</v>
      </c>
      <c r="C43" s="72" t="str">
        <f>IFERROR(__xludf.DUMMYFUNCTION("""COMPUTED_VALUE"""),"The Mill|eat_type|pub ++ The Mill|food|English ++ The Mill|price_range|less than £20 ++ The Mill|area|riverside ++ The Mill|family_friendly|no ++ The Mill|near|Raja Indian Cuisine")</f>
        <v>The Mill|eat_type|pub ++ The Mill|food|English ++ The Mill|price_range|less than £20 ++ The Mill|area|riverside ++ The Mill|family_friendly|no ++ The Mill|near|Raja Indian Cuisine</v>
      </c>
      <c r="D43" s="72">
        <f>IFERROR(__xludf.DUMMYFUNCTION("""COMPUTED_VALUE"""),0.052)</f>
        <v>0.052</v>
      </c>
      <c r="E43" s="72" t="str">
        <f>IFERROR(__xludf.DUMMYFUNCTION("""COMPUTED_VALUE"""),"OK")</f>
        <v>OK</v>
      </c>
      <c r="F43" s="72" t="str">
        <f>IFERROR(__xludf.DUMMYFUNCTION("""COMPUTED_VALUE"""),"omission")</f>
        <v>omission</v>
      </c>
      <c r="G43" s="72" t="str">
        <f>IFERROR(__xludf.DUMMYFUNCTION("""COMPUTED_VALUE"""),"x")</f>
        <v>x</v>
      </c>
      <c r="H43" s="72"/>
      <c r="I43" s="72"/>
      <c r="J43" s="72"/>
      <c r="K43" s="72" t="str">
        <f>IFERROR(__xludf.DUMMYFUNCTION("""COMPUTED_VALUE"""),"x")</f>
        <v>x</v>
      </c>
      <c r="L43" s="72"/>
      <c r="M43" s="72"/>
      <c r="N43" s="72"/>
      <c r="O43" s="72"/>
      <c r="P43" s="72"/>
    </row>
    <row r="44">
      <c r="A44" s="72">
        <f>IFERROR(__xludf.DUMMYFUNCTION("""COMPUTED_VALUE"""),43.0)</f>
        <v>43</v>
      </c>
      <c r="B44" s="72" t="str">
        <f>IFERROR(__xludf.DUMMYFUNCTION("""COMPUTED_VALUE"""),"There is a Chinese venue in the riverside area near Raja Indian Cuisine . It is kids friendly and has a price range of £ 20 - 25 . It is called The Plough and provide food .")</f>
        <v>There is a Chinese venue in the riverside area near Raja Indian Cuisine . It is kids friendly and has a price range of £ 20 - 25 . It is called The Plough and provide food .</v>
      </c>
      <c r="C44" s="72" t="str">
        <f>IFERROR(__xludf.DUMMYFUNCTION("""COMPUTED_VALUE"""),"The Plough|eat_type|restaurant ++ The Plough|food|Chinese ++ The Plough|price_range|£20-25 ++ The Plough|area|riverside ++ The Plough|family_friendly|yes ++ The Plough|near|Raja Indian Cuisine")</f>
        <v>The Plough|eat_type|restaurant ++ The Plough|food|Chinese ++ The Plough|price_range|£20-25 ++ The Plough|area|riverside ++ The Plough|family_friendly|yes ++ The Plough|near|Raja Indian Cuisine</v>
      </c>
      <c r="D44" s="72">
        <f>IFERROR(__xludf.DUMMYFUNCTION("""COMPUTED_VALUE"""),0.928)</f>
        <v>0.928</v>
      </c>
      <c r="E44" s="72" t="str">
        <f>IFERROR(__xludf.DUMMYFUNCTION("""COMPUTED_VALUE"""),"omission")</f>
        <v>omission</v>
      </c>
      <c r="F44" s="72" t="str">
        <f>IFERROR(__xludf.DUMMYFUNCTION("""COMPUTED_VALUE"""),"OK")</f>
        <v>OK</v>
      </c>
      <c r="G44" s="72" t="str">
        <f>IFERROR(__xludf.DUMMYFUNCTION("""COMPUTED_VALUE"""),"x")</f>
        <v>x</v>
      </c>
      <c r="H44" s="72"/>
      <c r="I44" s="72"/>
      <c r="J44" s="72" t="str">
        <f>IFERROR(__xludf.DUMMYFUNCTION("""COMPUTED_VALUE"""),"x")</f>
        <v>x</v>
      </c>
      <c r="K44" s="72"/>
      <c r="L44" s="72"/>
      <c r="M44" s="72"/>
      <c r="N44" s="72"/>
      <c r="O44" s="72"/>
      <c r="P44" s="72"/>
    </row>
    <row r="45">
      <c r="A45" s="72">
        <f>IFERROR(__xludf.DUMMYFUNCTION("""COMPUTED_VALUE"""),66.0)</f>
        <v>66</v>
      </c>
      <c r="B45" s="72" t="str">
        <f>IFERROR(__xludf.DUMMYFUNCTION("""COMPUTED_VALUE"""),"The Vaults, which is in the city centre area by Raja Indian Cuisine, is a low-priced restaurant offering French cuisine. Children are not welcome.")</f>
        <v>The Vaults, which is in the city centre area by Raja Indian Cuisine, is a low-priced restaurant offering French cuisine. Children are not welcome.</v>
      </c>
      <c r="C45" s="72" t="str">
        <f>IFERROR(__xludf.DUMMYFUNCTION("""COMPUTED_VALUE"""),"The Vaults|eat_type|restaurant ++ The Vaults|food|French ++ The Vaults|price_range|less than £20 ++ The Vaults|area|city centre ++ The Vaults|family_friendly|no ++ The Vaults|near|Raja Indian Cuisine")</f>
        <v>The Vaults|eat_type|restaurant ++ The Vaults|food|French ++ The Vaults|price_range|less than £20 ++ The Vaults|area|city centre ++ The Vaults|family_friendly|no ++ The Vaults|near|Raja Indian Cuisine</v>
      </c>
      <c r="D45" s="72">
        <f>IFERROR(__xludf.DUMMYFUNCTION("""COMPUTED_VALUE"""),0.029)</f>
        <v>0.029</v>
      </c>
      <c r="E45" s="72" t="str">
        <f>IFERROR(__xludf.DUMMYFUNCTION("""COMPUTED_VALUE"""),"OK")</f>
        <v>OK</v>
      </c>
      <c r="F45" s="72" t="str">
        <f>IFERROR(__xludf.DUMMYFUNCTION("""COMPUTED_VALUE"""),"omission")</f>
        <v>omission</v>
      </c>
      <c r="G45" s="72" t="str">
        <f>IFERROR(__xludf.DUMMYFUNCTION("""COMPUTED_VALUE"""),"x")</f>
        <v>x</v>
      </c>
      <c r="H45" s="72"/>
      <c r="I45" s="72"/>
      <c r="J45" s="72"/>
      <c r="K45" s="72" t="str">
        <f>IFERROR(__xludf.DUMMYFUNCTION("""COMPUTED_VALUE"""),"x")</f>
        <v>x</v>
      </c>
      <c r="L45" s="72"/>
      <c r="M45" s="72"/>
      <c r="N45" s="72"/>
      <c r="O45" s="72"/>
      <c r="P45" s="72"/>
    </row>
    <row r="46">
      <c r="A46" s="72">
        <f>IFERROR(__xludf.DUMMYFUNCTION("""COMPUTED_VALUE"""),113.0)</f>
        <v>113</v>
      </c>
      <c r="B46" s="72" t="str">
        <f>IFERROR(__xludf.DUMMYFUNCTION("""COMPUTED_VALUE"""),"The Cricketers, which has a high customer rating, is an average-priced restaurant that serves English cuisine. It is located in the city centre area and can be found near All Bar One. It is kid-friendly.")</f>
        <v>The Cricketers, which has a high customer rating, is an average-priced restaurant that serves English cuisine. It is located in the city centre area and can be found near All Bar One. It is kid-friendly.</v>
      </c>
      <c r="C46" s="72" t="str">
        <f>IFERROR(__xludf.DUMMYFUNCTION("""COMPUTED_VALUE"""),"The Cricketers|eat_type|restaurant ++ The Cricketers|food|English ++ The Cricketers|price_range|Â£20-25 ++ The Cricketers|rating|high ++ The Cricketers|area|city centre ++ The Cricketers|family_friendly|yes ++ The Cricketers|near|All Bar One")</f>
        <v>The Cricketers|eat_type|restaurant ++ The Cricketers|food|English ++ The Cricketers|price_range|Â£20-25 ++ The Cricketers|rating|high ++ The Cricketers|area|city centre ++ The Cricketers|family_friendly|yes ++ The Cricketers|near|All Bar One</v>
      </c>
      <c r="D46" s="72">
        <f>IFERROR(__xludf.DUMMYFUNCTION("""COMPUTED_VALUE"""),0.002)</f>
        <v>0.002</v>
      </c>
      <c r="E46" s="72" t="str">
        <f>IFERROR(__xludf.DUMMYFUNCTION("""COMPUTED_VALUE"""),"OK")</f>
        <v>OK</v>
      </c>
      <c r="F46" s="72" t="str">
        <f>IFERROR(__xludf.DUMMYFUNCTION("""COMPUTED_VALUE"""),"omission")</f>
        <v>omission</v>
      </c>
      <c r="G46" s="72" t="str">
        <f>IFERROR(__xludf.DUMMYFUNCTION("""COMPUTED_VALUE"""),"x")</f>
        <v>x</v>
      </c>
      <c r="H46" s="72"/>
      <c r="I46" s="72"/>
      <c r="J46" s="72"/>
      <c r="K46" s="72" t="str">
        <f>IFERROR(__xludf.DUMMYFUNCTION("""COMPUTED_VALUE"""),"x")</f>
        <v>x</v>
      </c>
      <c r="L46" s="72"/>
      <c r="M46" s="72"/>
      <c r="N46" s="72"/>
      <c r="O46" s="72"/>
      <c r="P46" s="72"/>
    </row>
    <row r="47">
      <c r="A47" s="72">
        <f>IFERROR(__xludf.DUMMYFUNCTION("""COMPUTED_VALUE"""),9.0)</f>
        <v>9</v>
      </c>
      <c r="B47" s="72" t="str">
        <f>IFERROR(__xludf.DUMMYFUNCTION("""COMPUTED_VALUE"""),"Giraffe is a French restaurant in the riverside near Raja Indian Cuisine, it is not family-friendly. It is a pub.")</f>
        <v>Giraffe is a French restaurant in the riverside near Raja Indian Cuisine, it is not family-friendly. It is a pub.</v>
      </c>
      <c r="C47" s="72" t="str">
        <f>IFERROR(__xludf.DUMMYFUNCTION("""COMPUTED_VALUE"""),"Giraffe|eat_type|pub ++ Giraffe|food|French ++ Giraffe|area|riverside ++ Giraffe|family_friendly|no ++ Giraffe|near|Raja Indian Cuisine")</f>
        <v>Giraffe|eat_type|pub ++ Giraffe|food|French ++ Giraffe|area|riverside ++ Giraffe|family_friendly|no ++ Giraffe|near|Raja Indian Cuisine</v>
      </c>
      <c r="D47" s="72">
        <f>IFERROR(__xludf.DUMMYFUNCTION("""COMPUTED_VALUE"""),0.771)</f>
        <v>0.771</v>
      </c>
      <c r="E47" s="72" t="str">
        <f>IFERROR(__xludf.DUMMYFUNCTION("""COMPUTED_VALUE"""),"hallucination")</f>
        <v>hallucination</v>
      </c>
      <c r="F47" s="72" t="str">
        <f>IFERROR(__xludf.DUMMYFUNCTION("""COMPUTED_VALUE"""),"OK")</f>
        <v>OK</v>
      </c>
      <c r="G47" s="72"/>
      <c r="H47" s="72" t="str">
        <f>IFERROR(__xludf.DUMMYFUNCTION("""COMPUTED_VALUE"""),"x")</f>
        <v>x</v>
      </c>
      <c r="I47" s="72"/>
      <c r="J47" s="72" t="str">
        <f>IFERROR(__xludf.DUMMYFUNCTION("""COMPUTED_VALUE"""),"x")</f>
        <v>x</v>
      </c>
      <c r="K47" s="72"/>
      <c r="L47" s="72"/>
      <c r="M47" s="72"/>
      <c r="N47" s="72"/>
      <c r="O47" s="72"/>
      <c r="P47" s="72"/>
    </row>
    <row r="48">
      <c r="A48" s="72">
        <f>IFERROR(__xludf.DUMMYFUNCTION("""COMPUTED_VALUE"""),12.0)</f>
        <v>12</v>
      </c>
      <c r="B48" s="72" t="str">
        <f>IFERROR(__xludf.DUMMYFUNCTION("""COMPUTED_VALUE"""),"Located near Café Sicilia in the city centre, The Mill is a Fast food pub with a high price range and an average customer rating and is not child friendly.")</f>
        <v>Located near Café Sicilia in the city centre, The Mill is a Fast food pub with a high price range and an average customer rating and is not child friendly.</v>
      </c>
      <c r="C48" s="72" t="str">
        <f>IFERROR(__xludf.DUMMYFUNCTION("""COMPUTED_VALUE"""),"The Mill|eat_type|pub ++ The Mill|food|Fast food ++ The Mill|price_range|high ++ The Mill|rating|average ++ The Mill|area|city centre ++ The Mill|family_friendly|no ++ The Mill|near|Café Sicilia")</f>
        <v>The Mill|eat_type|pub ++ The Mill|food|Fast food ++ The Mill|price_range|high ++ The Mill|rating|average ++ The Mill|area|city centre ++ The Mill|family_friendly|no ++ The Mill|near|Café Sicilia</v>
      </c>
      <c r="D48" s="72">
        <f>IFERROR(__xludf.DUMMYFUNCTION("""COMPUTED_VALUE"""),0.973)</f>
        <v>0.973</v>
      </c>
      <c r="E48" s="72" t="str">
        <f>IFERROR(__xludf.DUMMYFUNCTION("""COMPUTED_VALUE"""),"hallucination")</f>
        <v>hallucination</v>
      </c>
      <c r="F48" s="72" t="str">
        <f>IFERROR(__xludf.DUMMYFUNCTION("""COMPUTED_VALUE"""),"OK")</f>
        <v>OK</v>
      </c>
      <c r="G48" s="72"/>
      <c r="H48" s="72" t="str">
        <f>IFERROR(__xludf.DUMMYFUNCTION("""COMPUTED_VALUE"""),"x")</f>
        <v>x</v>
      </c>
      <c r="I48" s="72"/>
      <c r="J48" s="72"/>
      <c r="K48" s="72"/>
      <c r="L48" s="72"/>
      <c r="M48" s="72"/>
      <c r="N48" s="72"/>
      <c r="O48" s="72" t="str">
        <f>IFERROR(__xludf.DUMMYFUNCTION("""COMPUTED_VALUE"""),"x")</f>
        <v>x</v>
      </c>
      <c r="P48" s="72"/>
    </row>
    <row r="49">
      <c r="A49" s="72">
        <f>IFERROR(__xludf.DUMMYFUNCTION("""COMPUTED_VALUE"""),17.0)</f>
        <v>17</v>
      </c>
      <c r="B49" s="72" t="str">
        <f>IFERROR(__xludf.DUMMYFUNCTION("""COMPUTED_VALUE"""),"Less than £20 French food for all the family can be found at The Phoenix pub, near Crowne Plaza Hotel, in the city centre area. Average ratings.")</f>
        <v>Less than £20 French food for all the family can be found at The Phoenix pub, near Crowne Plaza Hotel, in the city centre area. Average ratings.</v>
      </c>
      <c r="C49" s="72" t="str">
        <f>IFERROR(__xludf.DUMMYFUNCTION("""COMPUTED_VALUE"""),"The Phoenix|eat_type|pub ++ The Phoenix|food|French ++ The Phoenix|price_range|less than £20 ++ The Phoenix|rating|average ++ The Phoenix|area|city centre ++ The Phoenix|family_friendly|yes ++ The Phoenix|near|Crowne Plaza Hotel")</f>
        <v>The Phoenix|eat_type|pub ++ The Phoenix|food|French ++ The Phoenix|price_range|less than £20 ++ The Phoenix|rating|average ++ The Phoenix|area|city centre ++ The Phoenix|family_friendly|yes ++ The Phoenix|near|Crowne Plaza Hotel</v>
      </c>
      <c r="D49" s="72">
        <f>IFERROR(__xludf.DUMMYFUNCTION("""COMPUTED_VALUE"""),0.682)</f>
        <v>0.682</v>
      </c>
      <c r="E49" s="72" t="str">
        <f>IFERROR(__xludf.DUMMYFUNCTION("""COMPUTED_VALUE"""),"omission")</f>
        <v>omission</v>
      </c>
      <c r="F49" s="72" t="str">
        <f>IFERROR(__xludf.DUMMYFUNCTION("""COMPUTED_VALUE"""),"OK")</f>
        <v>OK</v>
      </c>
      <c r="G49" s="72"/>
      <c r="H49" s="72" t="str">
        <f>IFERROR(__xludf.DUMMYFUNCTION("""COMPUTED_VALUE"""),"x")</f>
        <v>x</v>
      </c>
      <c r="I49" s="72"/>
      <c r="J49" s="72"/>
      <c r="K49" s="72"/>
      <c r="L49" s="72" t="str">
        <f>IFERROR(__xludf.DUMMYFUNCTION("""COMPUTED_VALUE"""),"x")</f>
        <v>x</v>
      </c>
      <c r="M49" s="72"/>
      <c r="N49" s="72"/>
      <c r="O49" s="72"/>
      <c r="P49" s="72"/>
    </row>
    <row r="50">
      <c r="A50" s="72">
        <f>IFERROR(__xludf.DUMMYFUNCTION("""COMPUTED_VALUE"""),14.0)</f>
        <v>14</v>
      </c>
      <c r="B50" s="72" t="str">
        <f>IFERROR(__xludf.DUMMYFUNCTION("""COMPUTED_VALUE"""),"The Mill is a family - friendly restaurant offering spaghetti and breakfast at prices . It is located near Raja Indian Cuisine .")</f>
        <v>The Mill is a family - friendly restaurant offering spaghetti and breakfast at prices . It is located near Raja Indian Cuisine .</v>
      </c>
      <c r="C50" s="72" t="str">
        <f>IFERROR(__xludf.DUMMYFUNCTION("""COMPUTED_VALUE"""),"The Mill|eat_type|restaurant ++ The Mill|food|English ++ The Mill|price_range|more than £30 ++ The Mill|area|riverside ++ The Mill|family_friendly|yes ++ The Mill|near|Raja Indian Cuisine")</f>
        <v>The Mill|eat_type|restaurant ++ The Mill|food|English ++ The Mill|price_range|more than £30 ++ The Mill|area|riverside ++ The Mill|family_friendly|yes ++ The Mill|near|Raja Indian Cuisine</v>
      </c>
      <c r="D50" s="72">
        <f>IFERROR(__xludf.DUMMYFUNCTION("""COMPUTED_VALUE"""),0.003)</f>
        <v>0.003</v>
      </c>
      <c r="E50" s="72" t="str">
        <f>IFERROR(__xludf.DUMMYFUNCTION("""COMPUTED_VALUE"""),"omission")</f>
        <v>omission</v>
      </c>
      <c r="F50" s="72" t="str">
        <f>IFERROR(__xludf.DUMMYFUNCTION("""COMPUTED_VALUE"""),"hallucination+omission")</f>
        <v>hallucination+omission</v>
      </c>
      <c r="G50" s="72"/>
      <c r="H50" s="72" t="str">
        <f>IFERROR(__xludf.DUMMYFUNCTION("""COMPUTED_VALUE"""),"x")</f>
        <v>x</v>
      </c>
      <c r="I50" s="72"/>
      <c r="J50" s="72"/>
      <c r="K50" s="72"/>
      <c r="L50" s="72"/>
      <c r="M50" s="72" t="str">
        <f>IFERROR(__xludf.DUMMYFUNCTION("""COMPUTED_VALUE"""),"x")</f>
        <v>x</v>
      </c>
      <c r="N50" s="72"/>
      <c r="O50" s="72"/>
      <c r="P50" s="7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4">
        <f>IFERROR(__xludf.DUMMYFUNCTION("{ QUERY({ 'Copy of ZK-E2E'!A54:P104 }, ""SELECT * LIMIT 50"",0)}"),99.0)</f>
        <v>99</v>
      </c>
      <c r="B1" s="99" t="str">
        <f>IFERROR(__xludf.DUMMYFUNCTION("""COMPUTED_VALUE"""),"The Mill is a child friendly English restaurant in the riverside area near Café Rouge. It has a high price range and an average customer rating.")</f>
        <v>The Mill is a child friendly English restaurant in the riverside area near Café Rouge. It has a high price range and an average customer rating.</v>
      </c>
      <c r="C1" s="99" t="str">
        <f>IFERROR(__xludf.DUMMYFUNCTION("""COMPUTED_VALUE"""),"The Mill|eat_type|restaurant ++ The Mill|food|English ++ The Mill|price_range|high ++ The Mill|rating|average ++ The Mill|area|riverside ++ The Mill|family_friendly|yes ++ The Mill|near|Café Rouge")</f>
        <v>The Mill|eat_type|restaurant ++ The Mill|food|English ++ The Mill|price_range|high ++ The Mill|rating|average ++ The Mill|area|riverside ++ The Mill|family_friendly|yes ++ The Mill|near|Café Rouge</v>
      </c>
      <c r="D1" s="99">
        <f>IFERROR(__xludf.DUMMYFUNCTION("""COMPUTED_VALUE"""),0.973)</f>
        <v>0.973</v>
      </c>
      <c r="E1" s="99" t="str">
        <f>IFERROR(__xludf.DUMMYFUNCTION("""COMPUTED_VALUE"""),"hallucination")</f>
        <v>hallucination</v>
      </c>
      <c r="F1" s="99" t="str">
        <f>IFERROR(__xludf.DUMMYFUNCTION("""COMPUTED_VALUE"""),"OK")</f>
        <v>OK</v>
      </c>
      <c r="G1" s="99"/>
      <c r="H1" s="99" t="str">
        <f>IFERROR(__xludf.DUMMYFUNCTION("""COMPUTED_VALUE"""),"x")</f>
        <v>x</v>
      </c>
      <c r="I1" s="99"/>
      <c r="J1" s="99"/>
      <c r="K1" s="99"/>
      <c r="L1" s="99"/>
      <c r="M1" s="99"/>
      <c r="N1" s="99"/>
      <c r="O1" s="99" t="str">
        <f>IFERROR(__xludf.DUMMYFUNCTION("""COMPUTED_VALUE"""),"x")</f>
        <v>x</v>
      </c>
      <c r="P1" s="99"/>
    </row>
    <row r="2">
      <c r="A2" s="99">
        <f>IFERROR(__xludf.DUMMYFUNCTION("""COMPUTED_VALUE"""),118.0)</f>
        <v>118</v>
      </c>
      <c r="B2" s="99" t="str">
        <f>IFERROR(__xludf.DUMMYFUNCTION("""COMPUTED_VALUE"""),"In the area of city centre near Raja Indian Cuisine is The Waterman, it is a pub. It is not kid friendly and the Indian is moderately expensive.")</f>
        <v>In the area of city centre near Raja Indian Cuisine is The Waterman, it is a pub. It is not kid friendly and the Indian is moderately expensive.</v>
      </c>
      <c r="C2" s="99" t="str">
        <f>IFERROR(__xludf.DUMMYFUNCTION("""COMPUTED_VALUE"""),"The Waterman|eat_type|pub ++ The Waterman|food|Indian ++ The Waterman|price_range|moderate ++ The Waterman|area|city centre ++ The Waterman|family_friendly|no ++ The Waterman|near|Raja Indian Cuisine")</f>
        <v>The Waterman|eat_type|pub ++ The Waterman|food|Indian ++ The Waterman|price_range|moderate ++ The Waterman|area|city centre ++ The Waterman|family_friendly|no ++ The Waterman|near|Raja Indian Cuisine</v>
      </c>
      <c r="D2" s="99">
        <f>IFERROR(__xludf.DUMMYFUNCTION("""COMPUTED_VALUE"""),0.968)</f>
        <v>0.968</v>
      </c>
      <c r="E2" s="99" t="str">
        <f>IFERROR(__xludf.DUMMYFUNCTION("""COMPUTED_VALUE"""),"hallucination+omission")</f>
        <v>hallucination+omission</v>
      </c>
      <c r="F2" s="99" t="str">
        <f>IFERROR(__xludf.DUMMYFUNCTION("""COMPUTED_VALUE"""),"OK")</f>
        <v>OK</v>
      </c>
      <c r="G2" s="99"/>
      <c r="H2" s="99" t="str">
        <f>IFERROR(__xludf.DUMMYFUNCTION("""COMPUTED_VALUE"""),"x")</f>
        <v>x</v>
      </c>
      <c r="I2" s="99"/>
      <c r="J2" s="99"/>
      <c r="K2" s="99"/>
      <c r="L2" s="99"/>
      <c r="M2" s="99"/>
      <c r="N2" s="99" t="str">
        <f>IFERROR(__xludf.DUMMYFUNCTION("""COMPUTED_VALUE"""),"x")</f>
        <v>x</v>
      </c>
      <c r="O2" s="99" t="str">
        <f>IFERROR(__xludf.DUMMYFUNCTION("""COMPUTED_VALUE"""),"x")</f>
        <v>x</v>
      </c>
      <c r="P2" s="99"/>
    </row>
    <row r="3">
      <c r="A3" s="99">
        <f>IFERROR(__xludf.DUMMYFUNCTION("""COMPUTED_VALUE"""),19.0)</f>
        <v>19</v>
      </c>
      <c r="B3" s="99" t="str">
        <f>IFERROR(__xludf.DUMMYFUNCTION("""COMPUTED_VALUE"""),"There is a restaurant, The Punter, serving English food along the city centre near Raja Indian Cuisine. It is not kids friendly and is highly priced.")</f>
        <v>There is a restaurant, The Punter, serving English food along the city centre near Raja Indian Cuisine. It is not kids friendly and is highly priced.</v>
      </c>
      <c r="C3" s="99" t="str">
        <f>IFERROR(__xludf.DUMMYFUNCTION("""COMPUTED_VALUE"""),"The Punter|eat_type|restaurant ++ The Punter|food|English ++ The Punter|price_range|high ++ The Punter|area|city centre ++ The Punter|family_friendly|no ++ The Punter|near|Raja Indian Cuisine")</f>
        <v>The Punter|eat_type|restaurant ++ The Punter|food|English ++ The Punter|price_range|high ++ The Punter|area|city centre ++ The Punter|family_friendly|no ++ The Punter|near|Raja Indian Cuisine</v>
      </c>
      <c r="D3" s="99">
        <f>IFERROR(__xludf.DUMMYFUNCTION("""COMPUTED_VALUE"""),0.977)</f>
        <v>0.977</v>
      </c>
      <c r="E3" s="99" t="str">
        <f>IFERROR(__xludf.DUMMYFUNCTION("""COMPUTED_VALUE"""),"omission")</f>
        <v>omission</v>
      </c>
      <c r="F3" s="99" t="str">
        <f>IFERROR(__xludf.DUMMYFUNCTION("""COMPUTED_VALUE"""),"OK")</f>
        <v>OK</v>
      </c>
      <c r="G3" s="99"/>
      <c r="H3" s="99" t="str">
        <f>IFERROR(__xludf.DUMMYFUNCTION("""COMPUTED_VALUE"""),"x")</f>
        <v>x</v>
      </c>
      <c r="I3" s="99"/>
      <c r="J3" s="99"/>
      <c r="K3" s="99"/>
      <c r="L3" s="99" t="str">
        <f>IFERROR(__xludf.DUMMYFUNCTION("""COMPUTED_VALUE"""),"x")</f>
        <v>x</v>
      </c>
      <c r="M3" s="99"/>
      <c r="N3" s="99"/>
      <c r="O3" s="99"/>
      <c r="P3" s="99"/>
    </row>
    <row r="4">
      <c r="A4" s="99">
        <f>IFERROR(__xludf.DUMMYFUNCTION("""COMPUTED_VALUE"""),117.0)</f>
        <v>117</v>
      </c>
      <c r="B4" s="99" t="str">
        <f>IFERROR(__xludf.DUMMYFUNCTION("""COMPUTED_VALUE"""),"The Mill is a pub that serve fast food . It can be found in the riverside area near CafÃ© Rouge . It has high prices and provides a kid friendly atmosphere .")</f>
        <v>The Mill is a pub that serve fast food . It can be found in the riverside area near CafÃ© Rouge . It has high prices and provides a kid friendly atmosphere .</v>
      </c>
      <c r="C4" s="99" t="str">
        <f>IFERROR(__xludf.DUMMYFUNCTION("""COMPUTED_VALUE"""),"The Mill|eat_type|pub ++ The Mill|food|Fast food ++ The Mill|price_range|Â£20-25 ++ The Mill|rating|high ++ The Mill|area|riverside ++ The Mill|family_friendly|yes ++ The Mill|near|CafÃ© Rouge")</f>
        <v>The Mill|eat_type|pub ++ The Mill|food|Fast food ++ The Mill|price_range|Â£20-25 ++ The Mill|rating|high ++ The Mill|area|riverside ++ The Mill|family_friendly|yes ++ The Mill|near|CafÃ© Rouge</v>
      </c>
      <c r="D4" s="99">
        <f>IFERROR(__xludf.DUMMYFUNCTION("""COMPUTED_VALUE"""),0.006)</f>
        <v>0.006</v>
      </c>
      <c r="E4" s="99" t="str">
        <f>IFERROR(__xludf.DUMMYFUNCTION("""COMPUTED_VALUE"""),"hallucination+omission")</f>
        <v>hallucination+omission</v>
      </c>
      <c r="F4" s="99" t="str">
        <f>IFERROR(__xludf.DUMMYFUNCTION("""COMPUTED_VALUE"""),"omission")</f>
        <v>omission</v>
      </c>
      <c r="G4" s="99"/>
      <c r="H4" s="99" t="str">
        <f>IFERROR(__xludf.DUMMYFUNCTION("""COMPUTED_VALUE"""),"x")</f>
        <v>x</v>
      </c>
      <c r="I4" s="99"/>
      <c r="J4" s="99"/>
      <c r="K4" s="99"/>
      <c r="L4" s="99"/>
      <c r="M4" s="99"/>
      <c r="N4" s="99"/>
      <c r="O4" s="99" t="str">
        <f>IFERROR(__xludf.DUMMYFUNCTION("""COMPUTED_VALUE"""),"x")</f>
        <v>x</v>
      </c>
      <c r="P4" s="99"/>
    </row>
    <row r="5">
      <c r="A5" s="99">
        <f>IFERROR(__xludf.DUMMYFUNCTION("""COMPUTED_VALUE"""),2.0)</f>
        <v>2</v>
      </c>
      <c r="B5" s="99" t="str">
        <f>IFERROR(__xludf.DUMMYFUNCTION("""COMPUTED_VALUE"""),"The Phoenix, which offers fast food, is a mid-priced pub. It has a customer rating of 3 out of 5. It is in riverside near Café Sicilia. It is family-friendly.")</f>
        <v>The Phoenix, which offers fast food, is a mid-priced pub. It has a customer rating of 3 out of 5. It is in riverside near Café Sicilia. It is family-friendly.</v>
      </c>
      <c r="C5" s="99" t="str">
        <f>IFERROR(__xludf.DUMMYFUNCTION("""COMPUTED_VALUE"""),"The Phoenix|eat_type|pub ++ The Phoenix|food|Fast food ++ The Phoenix|price_range|moderate ++ The Phoenix|rating|3 out of 5 ++ The Phoenix|area|riverside ++ The Phoenix|family_friendly|yes ++ The Phoenix|near|Café Sicilia")</f>
        <v>The Phoenix|eat_type|pub ++ The Phoenix|food|Fast food ++ The Phoenix|price_range|moderate ++ The Phoenix|rating|3 out of 5 ++ The Phoenix|area|riverside ++ The Phoenix|family_friendly|yes ++ The Phoenix|near|Café Sicilia</v>
      </c>
      <c r="D5" s="99">
        <f>IFERROR(__xludf.DUMMYFUNCTION("""COMPUTED_VALUE"""),0.985)</f>
        <v>0.985</v>
      </c>
      <c r="E5" s="99" t="str">
        <f>IFERROR(__xludf.DUMMYFUNCTION("""COMPUTED_VALUE"""),"omission")</f>
        <v>omission</v>
      </c>
      <c r="F5" s="99" t="str">
        <f>IFERROR(__xludf.DUMMYFUNCTION("""COMPUTED_VALUE"""),"OK")</f>
        <v>OK</v>
      </c>
      <c r="G5" s="99"/>
      <c r="H5" s="99" t="str">
        <f>IFERROR(__xludf.DUMMYFUNCTION("""COMPUTED_VALUE"""),"x")</f>
        <v>x</v>
      </c>
      <c r="I5" s="99"/>
      <c r="J5" s="99"/>
      <c r="K5" s="99" t="str">
        <f>IFERROR(__xludf.DUMMYFUNCTION("""COMPUTED_VALUE"""),"x")</f>
        <v>x</v>
      </c>
      <c r="L5" s="99"/>
      <c r="M5" s="99"/>
      <c r="N5" s="99"/>
      <c r="O5" s="99"/>
      <c r="P5" s="99"/>
    </row>
    <row r="6">
      <c r="A6" s="99">
        <f>IFERROR(__xludf.DUMMYFUNCTION("""COMPUTED_VALUE"""),30.0)</f>
        <v>30</v>
      </c>
      <c r="B6" s="99" t="str">
        <f>IFERROR(__xludf.DUMMYFUNCTION("""COMPUTED_VALUE"""),"The Vaults, which has an average customer rating, is a cheap pub that serves Japanese cuisine. It is located in the city centre area and can be found near Raja Indian Cuisine. Children are welcome.")</f>
        <v>The Vaults, which has an average customer rating, is a cheap pub that serves Japanese cuisine. It is located in the city centre area and can be found near Raja Indian Cuisine. Children are welcome.</v>
      </c>
      <c r="C6" s="99" t="str">
        <f>IFERROR(__xludf.DUMMYFUNCTION("""COMPUTED_VALUE"""),"The Vaults|eat_type|pub ++ The Vaults|food|Japanese ++ The Vaults|price_range|less than £20 ++ The Vaults|rating|average ++ The Vaults|area|city centre ++ The Vaults|family_friendly|yes ++ The Vaults|near|Raja Indian Cuisine")</f>
        <v>The Vaults|eat_type|pub ++ The Vaults|food|Japanese ++ The Vaults|price_range|less than £20 ++ The Vaults|rating|average ++ The Vaults|area|city centre ++ The Vaults|family_friendly|yes ++ The Vaults|near|Raja Indian Cuisine</v>
      </c>
      <c r="D6" s="99">
        <f>IFERROR(__xludf.DUMMYFUNCTION("""COMPUTED_VALUE"""),0.122)</f>
        <v>0.122</v>
      </c>
      <c r="E6" s="99" t="str">
        <f>IFERROR(__xludf.DUMMYFUNCTION("""COMPUTED_VALUE"""),"OK")</f>
        <v>OK</v>
      </c>
      <c r="F6" s="99" t="str">
        <f>IFERROR(__xludf.DUMMYFUNCTION("""COMPUTED_VALUE"""),"omission")</f>
        <v>omission</v>
      </c>
      <c r="G6" s="99" t="str">
        <f>IFERROR(__xludf.DUMMYFUNCTION("""COMPUTED_VALUE"""),"x")</f>
        <v>x</v>
      </c>
      <c r="H6" s="99"/>
      <c r="I6" s="99"/>
      <c r="J6" s="99"/>
      <c r="K6" s="99" t="str">
        <f>IFERROR(__xludf.DUMMYFUNCTION("""COMPUTED_VALUE"""),"x")</f>
        <v>x</v>
      </c>
      <c r="L6" s="99"/>
      <c r="M6" s="99"/>
      <c r="N6" s="99"/>
      <c r="O6" s="99"/>
      <c r="P6" s="99"/>
    </row>
    <row r="7">
      <c r="A7" s="99">
        <f>IFERROR(__xludf.DUMMYFUNCTION("""COMPUTED_VALUE"""),28.0)</f>
        <v>28</v>
      </c>
      <c r="B7" s="99" t="str">
        <f>IFERROR(__xludf.DUMMYFUNCTION("""COMPUTED_VALUE"""),"The Vaults is a italian pub in the city centre near Rainbow Vegetarian Café. It is children friendly and has a high price range and an average customer rating.")</f>
        <v>The Vaults is a italian pub in the city centre near Rainbow Vegetarian Café. It is children friendly and has a high price range and an average customer rating.</v>
      </c>
      <c r="C7" s="99" t="str">
        <f>IFERROR(__xludf.DUMMYFUNCTION("""COMPUTED_VALUE"""),"The Vaults|eat_type|pub ++ The Vaults|food|Italian ++ The Vaults|price_range|high ++ The Vaults|rating|average ++ The Vaults|area|city centre ++ The Vaults|family_friendly|yes ++ The Vaults|near|Rainbow Vegetarian Café")</f>
        <v>The Vaults|eat_type|pub ++ The Vaults|food|Italian ++ The Vaults|price_range|high ++ The Vaults|rating|average ++ The Vaults|area|city centre ++ The Vaults|family_friendly|yes ++ The Vaults|near|Rainbow Vegetarian Café</v>
      </c>
      <c r="D7" s="99">
        <f>IFERROR(__xludf.DUMMYFUNCTION("""COMPUTED_VALUE"""),0.976)</f>
        <v>0.976</v>
      </c>
      <c r="E7" s="99" t="str">
        <f>IFERROR(__xludf.DUMMYFUNCTION("""COMPUTED_VALUE"""),"hallucination")</f>
        <v>hallucination</v>
      </c>
      <c r="F7" s="99" t="str">
        <f>IFERROR(__xludf.DUMMYFUNCTION("""COMPUTED_VALUE"""),"OK")</f>
        <v>OK</v>
      </c>
      <c r="G7" s="99"/>
      <c r="H7" s="99" t="str">
        <f>IFERROR(__xludf.DUMMYFUNCTION("""COMPUTED_VALUE"""),"x")</f>
        <v>x</v>
      </c>
      <c r="I7" s="99"/>
      <c r="J7" s="99"/>
      <c r="K7" s="99"/>
      <c r="L7" s="99"/>
      <c r="M7" s="99"/>
      <c r="N7" s="99"/>
      <c r="O7" s="99" t="str">
        <f>IFERROR(__xludf.DUMMYFUNCTION("""COMPUTED_VALUE"""),"x")</f>
        <v>x</v>
      </c>
      <c r="P7" s="99"/>
    </row>
    <row r="8">
      <c r="A8" s="99">
        <f>IFERROR(__xludf.DUMMYFUNCTION("""COMPUTED_VALUE"""),73.0)</f>
        <v>73</v>
      </c>
      <c r="B8" s="99" t="str">
        <f>IFERROR(__xludf.DUMMYFUNCTION("""COMPUTED_VALUE"""),"The Punter is a restaurant in the riverside area that has a 1 out of 5 customer rating. Although it has a higher price range, it is children friendly, serves Italian food and is near the Rainbow Vegetarian Café.")</f>
        <v>The Punter is a restaurant in the riverside area that has a 1 out of 5 customer rating. Although it has a higher price range, it is children friendly, serves Italian food and is near the Rainbow Vegetarian Café.</v>
      </c>
      <c r="C8" s="99" t="str">
        <f>IFERROR(__xludf.DUMMYFUNCTION("""COMPUTED_VALUE"""),"The Punter|eat_type|restaurant ++ The Punter|food|Italian ++ The Punter|price_range|high ++ The Punter|rating|1 out of 5 ++ The Punter|area|riverside ++ The Punter|family_friendly|yes ++ The Punter|near|Rainbow Vegetarian Café")</f>
        <v>The Punter|eat_type|restaurant ++ The Punter|food|Italian ++ The Punter|price_range|high ++ The Punter|rating|1 out of 5 ++ The Punter|area|riverside ++ The Punter|family_friendly|yes ++ The Punter|near|Rainbow Vegetarian Café</v>
      </c>
      <c r="D8" s="99">
        <f>IFERROR(__xludf.DUMMYFUNCTION("""COMPUTED_VALUE"""),0.966)</f>
        <v>0.966</v>
      </c>
      <c r="E8" s="99" t="str">
        <f>IFERROR(__xludf.DUMMYFUNCTION("""COMPUTED_VALUE"""),"omission")</f>
        <v>omission</v>
      </c>
      <c r="F8" s="99" t="str">
        <f>IFERROR(__xludf.DUMMYFUNCTION("""COMPUTED_VALUE"""),"OK")</f>
        <v>OK</v>
      </c>
      <c r="G8" s="99"/>
      <c r="H8" s="99" t="str">
        <f>IFERROR(__xludf.DUMMYFUNCTION("""COMPUTED_VALUE"""),"x")</f>
        <v>x</v>
      </c>
      <c r="I8" s="99"/>
      <c r="J8" s="99"/>
      <c r="K8" s="99"/>
      <c r="L8" s="99"/>
      <c r="M8" s="99"/>
      <c r="N8" s="99" t="str">
        <f>IFERROR(__xludf.DUMMYFUNCTION("""COMPUTED_VALUE"""),"x")</f>
        <v>x</v>
      </c>
      <c r="O8" s="99"/>
      <c r="P8" s="99"/>
    </row>
    <row r="9">
      <c r="A9" s="99">
        <f>IFERROR(__xludf.DUMMYFUNCTION("""COMPUTED_VALUE"""),75.0)</f>
        <v>75</v>
      </c>
      <c r="B9" s="99" t="str">
        <f>IFERROR(__xludf.DUMMYFUNCTION("""COMPUTED_VALUE"""),"Non-kid-friendly The Waterman is a low-priced pub serving Italian cuisine. It is located in the city centre area and can be found near Raja Indian Cuisine.")</f>
        <v>Non-kid-friendly The Waterman is a low-priced pub serving Italian cuisine. It is located in the city centre area and can be found near Raja Indian Cuisine.</v>
      </c>
      <c r="C9" s="99" t="str">
        <f>IFERROR(__xludf.DUMMYFUNCTION("""COMPUTED_VALUE"""),"The Waterman|eat_type|pub ++ The Waterman|food|Italian ++ The Waterman|price_range|less than £20 ++ The Waterman|area|city centre ++ The Waterman|family_friendly|no ++ The Waterman|near|Raja Indian Cuisine")</f>
        <v>The Waterman|eat_type|pub ++ The Waterman|food|Italian ++ The Waterman|price_range|less than £20 ++ The Waterman|area|city centre ++ The Waterman|family_friendly|no ++ The Waterman|near|Raja Indian Cuisine</v>
      </c>
      <c r="D9" s="99">
        <f>IFERROR(__xludf.DUMMYFUNCTION("""COMPUTED_VALUE"""),0.154)</f>
        <v>0.154</v>
      </c>
      <c r="E9" s="99" t="str">
        <f>IFERROR(__xludf.DUMMYFUNCTION("""COMPUTED_VALUE"""),"OK")</f>
        <v>OK</v>
      </c>
      <c r="F9" s="99" t="str">
        <f>IFERROR(__xludf.DUMMYFUNCTION("""COMPUTED_VALUE"""),"omission")</f>
        <v>omission</v>
      </c>
      <c r="G9" s="99" t="str">
        <f>IFERROR(__xludf.DUMMYFUNCTION("""COMPUTED_VALUE"""),"x")</f>
        <v>x</v>
      </c>
      <c r="H9" s="99"/>
      <c r="I9" s="99"/>
      <c r="J9" s="99"/>
      <c r="K9" s="99" t="str">
        <f>IFERROR(__xludf.DUMMYFUNCTION("""COMPUTED_VALUE"""),"x")</f>
        <v>x</v>
      </c>
      <c r="L9" s="99"/>
      <c r="M9" s="99"/>
      <c r="N9" s="99"/>
      <c r="O9" s="99"/>
      <c r="P9" s="99"/>
    </row>
    <row r="10">
      <c r="A10" s="99">
        <f>IFERROR(__xludf.DUMMYFUNCTION("""COMPUTED_VALUE"""),57.0)</f>
        <v>57</v>
      </c>
      <c r="B10" s="99" t="str">
        <f>IFERROR(__xludf.DUMMYFUNCTION("""COMPUTED_VALUE"""),"The Punter is a family friendly restaurant in the town centre near Raja Indian Cuisine . It is inexpensive and serves Chinese food .")</f>
        <v>The Punter is a family friendly restaurant in the town centre near Raja Indian Cuisine . It is inexpensive and serves Chinese food .</v>
      </c>
      <c r="C10" s="99" t="str">
        <f>IFERROR(__xludf.DUMMYFUNCTION("""COMPUTED_VALUE"""),"The Punter|eat_type|restaurant ++ The Punter|food|Chinese ++ The Punter|price_range|less than £20 ++ The Punter|area|city centre ++ The Punter|family_friendly|yes ++ The Punter|near|Raja Indian Cuisine")</f>
        <v>The Punter|eat_type|restaurant ++ The Punter|food|Chinese ++ The Punter|price_range|less than £20 ++ The Punter|area|city centre ++ The Punter|family_friendly|yes ++ The Punter|near|Raja Indian Cuisine</v>
      </c>
      <c r="D10" s="99">
        <f>IFERROR(__xludf.DUMMYFUNCTION("""COMPUTED_VALUE"""),0.209)</f>
        <v>0.209</v>
      </c>
      <c r="E10" s="99" t="str">
        <f>IFERROR(__xludf.DUMMYFUNCTION("""COMPUTED_VALUE"""),"OK")</f>
        <v>OK</v>
      </c>
      <c r="F10" s="99" t="str">
        <f>IFERROR(__xludf.DUMMYFUNCTION("""COMPUTED_VALUE"""),"omission")</f>
        <v>omission</v>
      </c>
      <c r="G10" s="99" t="str">
        <f>IFERROR(__xludf.DUMMYFUNCTION("""COMPUTED_VALUE"""),"x")</f>
        <v>x</v>
      </c>
      <c r="H10" s="99"/>
      <c r="I10" s="99"/>
      <c r="J10" s="99"/>
      <c r="K10" s="99" t="str">
        <f>IFERROR(__xludf.DUMMYFUNCTION("""COMPUTED_VALUE"""),"x")</f>
        <v>x</v>
      </c>
      <c r="L10" s="99"/>
      <c r="M10" s="99"/>
      <c r="N10" s="99"/>
      <c r="O10" s="99"/>
      <c r="P10" s="99"/>
    </row>
    <row r="11">
      <c r="A11" s="99">
        <f>IFERROR(__xludf.DUMMYFUNCTION("""COMPUTED_VALUE"""),40.0)</f>
        <v>40</v>
      </c>
      <c r="B11" s="99" t="str">
        <f>IFERROR(__xludf.DUMMYFUNCTION("""COMPUTED_VALUE"""),"The Cricketers is a children friendly English restaurant near Café Rouge in the city centre with an average customer rating and a high price range.")</f>
        <v>The Cricketers is a children friendly English restaurant near Café Rouge in the city centre with an average customer rating and a high price range.</v>
      </c>
      <c r="C11" s="99" t="str">
        <f>IFERROR(__xludf.DUMMYFUNCTION("""COMPUTED_VALUE"""),"The Cricketers|eat_type|restaurant ++ The Cricketers|food|English ++ The Cricketers|price_range|high ++ The Cricketers|rating|average ++ The Cricketers|area|city centre ++ The Cricketers|family_friendly|yes ++ The Cricketers|near|Café Rouge")</f>
        <v>The Cricketers|eat_type|restaurant ++ The Cricketers|food|English ++ The Cricketers|price_range|high ++ The Cricketers|rating|average ++ The Cricketers|area|city centre ++ The Cricketers|family_friendly|yes ++ The Cricketers|near|Café Rouge</v>
      </c>
      <c r="D11" s="99">
        <f>IFERROR(__xludf.DUMMYFUNCTION("""COMPUTED_VALUE"""),0.955)</f>
        <v>0.955</v>
      </c>
      <c r="E11" s="99" t="str">
        <f>IFERROR(__xludf.DUMMYFUNCTION("""COMPUTED_VALUE"""),"hallucination")</f>
        <v>hallucination</v>
      </c>
      <c r="F11" s="99" t="str">
        <f>IFERROR(__xludf.DUMMYFUNCTION("""COMPUTED_VALUE"""),"OK")</f>
        <v>OK</v>
      </c>
      <c r="G11" s="99"/>
      <c r="H11" s="99" t="str">
        <f>IFERROR(__xludf.DUMMYFUNCTION("""COMPUTED_VALUE"""),"x")</f>
        <v>x</v>
      </c>
      <c r="I11" s="99"/>
      <c r="J11" s="99"/>
      <c r="K11" s="99"/>
      <c r="L11" s="99"/>
      <c r="M11" s="99"/>
      <c r="N11" s="99"/>
      <c r="O11" s="99" t="str">
        <f>IFERROR(__xludf.DUMMYFUNCTION("""COMPUTED_VALUE"""),"x")</f>
        <v>x</v>
      </c>
      <c r="P11" s="99"/>
    </row>
    <row r="12">
      <c r="A12" s="99">
        <f>IFERROR(__xludf.DUMMYFUNCTION("""COMPUTED_VALUE"""),61.0)</f>
        <v>61</v>
      </c>
      <c r="B12" s="99" t="str">
        <f>IFERROR(__xludf.DUMMYFUNCTION("""COMPUTED_VALUE"""),"If you 're looking for a new place to eat , Wildwood is a short called the road and the road from Raja Indian Cuisine .")</f>
        <v>If you 're looking for a new place to eat , Wildwood is a short called the road and the road from Raja Indian Cuisine .</v>
      </c>
      <c r="C12" s="99" t="str">
        <f>IFERROR(__xludf.DUMMYFUNCTION("""COMPUTED_VALUE"""),"Wildwood|eat_type|restaurant ++ Wildwood|food|Italian ++ Wildwood|area|riverside ++ Wildwood|family_friendly|no ++ Wildwood|near|Raja Indian Cuisine")</f>
        <v>Wildwood|eat_type|restaurant ++ Wildwood|food|Italian ++ Wildwood|area|riverside ++ Wildwood|family_friendly|no ++ Wildwood|near|Raja Indian Cuisine</v>
      </c>
      <c r="D12" s="99">
        <f>IFERROR(__xludf.DUMMYFUNCTION("""COMPUTED_VALUE"""),0.003)</f>
        <v>0.003</v>
      </c>
      <c r="E12" s="99" t="str">
        <f>IFERROR(__xludf.DUMMYFUNCTION("""COMPUTED_VALUE"""),"omission")</f>
        <v>omission</v>
      </c>
      <c r="F12" s="99" t="str">
        <f>IFERROR(__xludf.DUMMYFUNCTION("""COMPUTED_VALUE"""),"hallucination+omission")</f>
        <v>hallucination+omission</v>
      </c>
      <c r="G12" s="99"/>
      <c r="H12" s="99" t="str">
        <f>IFERROR(__xludf.DUMMYFUNCTION("""COMPUTED_VALUE"""),"x")</f>
        <v>x</v>
      </c>
      <c r="I12" s="99"/>
      <c r="J12" s="99"/>
      <c r="K12" s="99"/>
      <c r="L12" s="99"/>
      <c r="M12" s="99"/>
      <c r="N12" s="99"/>
      <c r="O12" s="99"/>
      <c r="P12" s="99" t="str">
        <f>IFERROR(__xludf.DUMMYFUNCTION("""COMPUTED_VALUE"""),"nonsensical sentence")</f>
        <v>nonsensical sentence</v>
      </c>
    </row>
    <row r="13">
      <c r="A13" s="99">
        <f>IFERROR(__xludf.DUMMYFUNCTION("""COMPUTED_VALUE"""),76.0)</f>
        <v>76</v>
      </c>
      <c r="B13" s="99" t="str">
        <f>IFERROR(__xludf.DUMMYFUNCTION("""COMPUTED_VALUE"""),"the plough is a highly priced chinese restaurant in the riverside area near raja indian cuisine. it is not family friendly.")</f>
        <v>the plough is a highly priced chinese restaurant in the riverside area near raja indian cuisine. it is not family friendly.</v>
      </c>
      <c r="C13" s="99" t="str">
        <f>IFERROR(__xludf.DUMMYFUNCTION("""COMPUTED_VALUE"""),"The Plough|eat_type|restaurant ++ The Plough|food|Chinese ++ The Plough|price_range|high ++ The Plough|area|riverside ++ The Plough|family_friendly|no ++ The Plough|near|Raja Indian Cuisine")</f>
        <v>The Plough|eat_type|restaurant ++ The Plough|food|Chinese ++ The Plough|price_range|high ++ The Plough|area|riverside ++ The Plough|family_friendly|no ++ The Plough|near|Raja Indian Cuisine</v>
      </c>
      <c r="D13" s="99">
        <f>IFERROR(__xludf.DUMMYFUNCTION("""COMPUTED_VALUE"""),0.97)</f>
        <v>0.97</v>
      </c>
      <c r="E13" s="99" t="str">
        <f>IFERROR(__xludf.DUMMYFUNCTION("""COMPUTED_VALUE"""),"omission")</f>
        <v>omission</v>
      </c>
      <c r="F13" s="99" t="str">
        <f>IFERROR(__xludf.DUMMYFUNCTION("""COMPUTED_VALUE"""),"OK")</f>
        <v>OK</v>
      </c>
      <c r="G13" s="99"/>
      <c r="H13" s="99" t="str">
        <f>IFERROR(__xludf.DUMMYFUNCTION("""COMPUTED_VALUE"""),"x")</f>
        <v>x</v>
      </c>
      <c r="I13" s="99"/>
      <c r="J13" s="99"/>
      <c r="K13" s="99"/>
      <c r="L13" s="99"/>
      <c r="M13" s="99"/>
      <c r="N13" s="99" t="str">
        <f>IFERROR(__xludf.DUMMYFUNCTION("""COMPUTED_VALUE"""),"x")</f>
        <v>x</v>
      </c>
      <c r="O13" s="99"/>
      <c r="P13" s="99"/>
    </row>
    <row r="14">
      <c r="A14" s="99">
        <f>IFERROR(__xludf.DUMMYFUNCTION("""COMPUTED_VALUE"""),79.0)</f>
        <v>79</v>
      </c>
      <c r="B14" s="99" t="str">
        <f>IFERROR(__xludf.DUMMYFUNCTION("""COMPUTED_VALUE"""),"The Phoenix is a moderately priced French pub located in the riverside near Raja Indian Cuisine it is family friendly.")</f>
        <v>The Phoenix is a moderately priced French pub located in the riverside near Raja Indian Cuisine it is family friendly.</v>
      </c>
      <c r="C14" s="99" t="str">
        <f>IFERROR(__xludf.DUMMYFUNCTION("""COMPUTED_VALUE"""),"The Phoenix|eat_type|pub ++ The Phoenix|food|French ++ The Phoenix|price_range|£20-25 ++ The Phoenix|area|riverside ++ The Phoenix|family_friendly|yes ++ The Phoenix|near|Raja Indian Cuisine")</f>
        <v>The Phoenix|eat_type|pub ++ The Phoenix|food|French ++ The Phoenix|price_range|£20-25 ++ The Phoenix|area|riverside ++ The Phoenix|family_friendly|yes ++ The Phoenix|near|Raja Indian Cuisine</v>
      </c>
      <c r="D14" s="99">
        <f>IFERROR(__xludf.DUMMYFUNCTION("""COMPUTED_VALUE"""),0.004)</f>
        <v>0.004</v>
      </c>
      <c r="E14" s="99" t="str">
        <f>IFERROR(__xludf.DUMMYFUNCTION("""COMPUTED_VALUE"""),"OK")</f>
        <v>OK</v>
      </c>
      <c r="F14" s="99" t="str">
        <f>IFERROR(__xludf.DUMMYFUNCTION("""COMPUTED_VALUE"""),"omission")</f>
        <v>omission</v>
      </c>
      <c r="G14" s="99" t="str">
        <f>IFERROR(__xludf.DUMMYFUNCTION("""COMPUTED_VALUE"""),"x")</f>
        <v>x</v>
      </c>
      <c r="H14" s="99"/>
      <c r="I14" s="99"/>
      <c r="J14" s="99"/>
      <c r="K14" s="99" t="str">
        <f>IFERROR(__xludf.DUMMYFUNCTION("""COMPUTED_VALUE"""),"x")</f>
        <v>x</v>
      </c>
      <c r="L14" s="99"/>
      <c r="M14" s="99"/>
      <c r="N14" s="99"/>
      <c r="O14" s="99"/>
      <c r="P14" s="99"/>
    </row>
    <row r="15">
      <c r="A15" s="99">
        <f>IFERROR(__xludf.DUMMYFUNCTION("""COMPUTED_VALUE"""),89.0)</f>
        <v>89</v>
      </c>
      <c r="B15" s="99" t="str">
        <f>IFERROR(__xludf.DUMMYFUNCTION("""COMPUTED_VALUE"""),"The Cricketers is a english restaurant in the city centre near Café Rouge. It is children friendly and has an average customer rating and a high price range.")</f>
        <v>The Cricketers is a english restaurant in the city centre near Café Rouge. It is children friendly and has an average customer rating and a high price range.</v>
      </c>
      <c r="C15" s="99" t="str">
        <f>IFERROR(__xludf.DUMMYFUNCTION("""COMPUTED_VALUE"""),"The Cricketers|eat_type|restaurant ++ The Cricketers|food|English ++ The Cricketers|price_range|high ++ The Cricketers|rating|average ++ The Cricketers|area|city centre ++ The Cricketers|family_friendly|yes ++ The Cricketers|near|Café Rouge")</f>
        <v>The Cricketers|eat_type|restaurant ++ The Cricketers|food|English ++ The Cricketers|price_range|high ++ The Cricketers|rating|average ++ The Cricketers|area|city centre ++ The Cricketers|family_friendly|yes ++ The Cricketers|near|Café Rouge</v>
      </c>
      <c r="D15" s="99">
        <f>IFERROR(__xludf.DUMMYFUNCTION("""COMPUTED_VALUE"""),0.966)</f>
        <v>0.966</v>
      </c>
      <c r="E15" s="99" t="str">
        <f>IFERROR(__xludf.DUMMYFUNCTION("""COMPUTED_VALUE"""),"hallucination")</f>
        <v>hallucination</v>
      </c>
      <c r="F15" s="99" t="str">
        <f>IFERROR(__xludf.DUMMYFUNCTION("""COMPUTED_VALUE"""),"OK")</f>
        <v>OK</v>
      </c>
      <c r="G15" s="99"/>
      <c r="H15" s="99" t="str">
        <f>IFERROR(__xludf.DUMMYFUNCTION("""COMPUTED_VALUE"""),"x")</f>
        <v>x</v>
      </c>
      <c r="I15" s="99"/>
      <c r="J15" s="99"/>
      <c r="K15" s="99"/>
      <c r="L15" s="99"/>
      <c r="M15" s="99"/>
      <c r="N15" s="99"/>
      <c r="O15" s="99" t="str">
        <f>IFERROR(__xludf.DUMMYFUNCTION("""COMPUTED_VALUE"""),"x")</f>
        <v>x</v>
      </c>
      <c r="P15" s="99"/>
    </row>
    <row r="16">
      <c r="A16" s="99">
        <f>IFERROR(__xludf.DUMMYFUNCTION("""COMPUTED_VALUE"""),67.0)</f>
        <v>67</v>
      </c>
      <c r="B16" s="99" t="str">
        <f>IFERROR(__xludf.DUMMYFUNCTION("""COMPUTED_VALUE"""),"The Vaults is a children friendly Italian pub near Rainbow Vegetarian Café with a high price range and an average customer rating.")</f>
        <v>The Vaults is a children friendly Italian pub near Rainbow Vegetarian Café with a high price range and an average customer rating.</v>
      </c>
      <c r="C16" s="99" t="str">
        <f>IFERROR(__xludf.DUMMYFUNCTION("""COMPUTED_VALUE"""),"The Vaults|eat_type|pub ++ The Vaults|food|Italian ++ The Vaults|price_range|high ++ The Vaults|rating|average ++ The Vaults|area|riverside ++ The Vaults|family_friendly|yes ++ The Vaults|near|Rainbow Vegetarian Café")</f>
        <v>The Vaults|eat_type|pub ++ The Vaults|food|Italian ++ The Vaults|price_range|high ++ The Vaults|rating|average ++ The Vaults|area|riverside ++ The Vaults|family_friendly|yes ++ The Vaults|near|Rainbow Vegetarian Café</v>
      </c>
      <c r="D16" s="99">
        <f>IFERROR(__xludf.DUMMYFUNCTION("""COMPUTED_VALUE"""),0.003)</f>
        <v>0.003</v>
      </c>
      <c r="E16" s="99" t="str">
        <f>IFERROR(__xludf.DUMMYFUNCTION("""COMPUTED_VALUE"""),"hallucination+omission")</f>
        <v>hallucination+omission</v>
      </c>
      <c r="F16" s="99" t="str">
        <f>IFERROR(__xludf.DUMMYFUNCTION("""COMPUTED_VALUE"""),"omission")</f>
        <v>omission</v>
      </c>
      <c r="G16" s="99"/>
      <c r="H16" s="99" t="str">
        <f>IFERROR(__xludf.DUMMYFUNCTION("""COMPUTED_VALUE"""),"x")</f>
        <v>x</v>
      </c>
      <c r="I16" s="99"/>
      <c r="J16" s="99"/>
      <c r="K16" s="99"/>
      <c r="L16" s="99"/>
      <c r="M16" s="99"/>
      <c r="N16" s="99"/>
      <c r="O16" s="99" t="str">
        <f>IFERROR(__xludf.DUMMYFUNCTION("""COMPUTED_VALUE"""),"x")</f>
        <v>x</v>
      </c>
      <c r="P16" s="99"/>
    </row>
    <row r="17">
      <c r="A17" s="99">
        <f>IFERROR(__xludf.DUMMYFUNCTION("""COMPUTED_VALUE"""),13.0)</f>
        <v>13</v>
      </c>
      <c r="B17" s="99" t="str">
        <f>IFERROR(__xludf.DUMMYFUNCTION("""COMPUTED_VALUE"""),"The Phoenix is a moderate priced pub that serves fast food . Kids are located in the city centre near Raja Indian Cuisine . Kids are home .")</f>
        <v>The Phoenix is a moderate priced pub that serves fast food . Kids are located in the city centre near Raja Indian Cuisine . Kids are home .</v>
      </c>
      <c r="C17" s="99" t="str">
        <f>IFERROR(__xludf.DUMMYFUNCTION("""COMPUTED_VALUE"""),"The Phoenix|eat_type|pub ++ The Phoenix|food|Fast food ++ The Phoenix|price_range|moderate ++ The Phoenix|area|city centre ++ The Phoenix|family_friendly|yes ++ The Phoenix|near|Raja Indian Cuisine")</f>
        <v>The Phoenix|eat_type|pub ++ The Phoenix|food|Fast food ++ The Phoenix|price_range|moderate ++ The Phoenix|area|city centre ++ The Phoenix|family_friendly|yes ++ The Phoenix|near|Raja Indian Cuisine</v>
      </c>
      <c r="D17" s="99">
        <f>IFERROR(__xludf.DUMMYFUNCTION("""COMPUTED_VALUE"""),0.722)</f>
        <v>0.722</v>
      </c>
      <c r="E17" s="99" t="str">
        <f>IFERROR(__xludf.DUMMYFUNCTION("""COMPUTED_VALUE"""),"omission")</f>
        <v>omission</v>
      </c>
      <c r="F17" s="99" t="str">
        <f>IFERROR(__xludf.DUMMYFUNCTION("""COMPUTED_VALUE"""),"OK")</f>
        <v>OK</v>
      </c>
      <c r="G17" s="99"/>
      <c r="H17" s="99"/>
      <c r="I17" s="99" t="str">
        <f>IFERROR(__xludf.DUMMYFUNCTION("""COMPUTED_VALUE"""),"x")</f>
        <v>x</v>
      </c>
      <c r="J17" s="99"/>
      <c r="K17" s="99"/>
      <c r="L17" s="99" t="str">
        <f>IFERROR(__xludf.DUMMYFUNCTION("""COMPUTED_VALUE"""),"x")</f>
        <v>x</v>
      </c>
      <c r="M17" s="99"/>
      <c r="N17" s="99"/>
      <c r="O17" s="99"/>
      <c r="P17" s="99"/>
    </row>
    <row r="18">
      <c r="A18" s="99">
        <f>IFERROR(__xludf.DUMMYFUNCTION("""COMPUTED_VALUE"""),11.0)</f>
        <v>11</v>
      </c>
      <c r="B18" s="99" t="str">
        <f>IFERROR(__xludf.DUMMYFUNCTION("""COMPUTED_VALUE"""),"The Phoenix is a restaurant that also serves Indian food. The price range is £20-£25 and rated a high by customers. The Phoenix is not a kid friendly place but if you would like to try it, it is located by the city centre area near Crowne Plaza Hotel.")</f>
        <v>The Phoenix is a restaurant that also serves Indian food. The price range is £20-£25 and rated a high by customers. The Phoenix is not a kid friendly place but if you would like to try it, it is located by the city centre area near Crowne Plaza Hotel.</v>
      </c>
      <c r="C18" s="99" t="str">
        <f>IFERROR(__xludf.DUMMYFUNCTION("""COMPUTED_VALUE"""),"The Phoenix|eat_type|restaurant ++ The Phoenix|food|Indian ++ The Phoenix|price_range|£20-25 ++ The Phoenix|rating|high ++ The Phoenix|area|city centre ++ The Phoenix|family_friendly|no ++ The Phoenix|near|Crowne Plaza Hotel")</f>
        <v>The Phoenix|eat_type|restaurant ++ The Phoenix|food|Indian ++ The Phoenix|price_range|£20-25 ++ The Phoenix|rating|high ++ The Phoenix|area|city centre ++ The Phoenix|family_friendly|no ++ The Phoenix|near|Crowne Plaza Hotel</v>
      </c>
      <c r="D18" s="99">
        <f>IFERROR(__xludf.DUMMYFUNCTION("""COMPUTED_VALUE"""),0.967)</f>
        <v>0.967</v>
      </c>
      <c r="E18" s="99" t="str">
        <f>IFERROR(__xludf.DUMMYFUNCTION("""COMPUTED_VALUE"""),"omission")</f>
        <v>omission</v>
      </c>
      <c r="F18" s="99" t="str">
        <f>IFERROR(__xludf.DUMMYFUNCTION("""COMPUTED_VALUE"""),"OK")</f>
        <v>OK</v>
      </c>
      <c r="G18" s="99"/>
      <c r="H18" s="99" t="str">
        <f>IFERROR(__xludf.DUMMYFUNCTION("""COMPUTED_VALUE"""),"x")</f>
        <v>x</v>
      </c>
      <c r="I18" s="99"/>
      <c r="J18" s="99"/>
      <c r="K18" s="99"/>
      <c r="L18" s="99"/>
      <c r="M18" s="99"/>
      <c r="N18" s="99" t="str">
        <f>IFERROR(__xludf.DUMMYFUNCTION("""COMPUTED_VALUE"""),"x")</f>
        <v>x</v>
      </c>
      <c r="O18" s="99"/>
      <c r="P18" s="99"/>
    </row>
    <row r="19">
      <c r="A19" s="99">
        <f>IFERROR(__xludf.DUMMYFUNCTION("""COMPUTED_VALUE"""),44.0)</f>
        <v>44</v>
      </c>
      <c r="B19" s="99" t="str">
        <f>IFERROR(__xludf.DUMMYFUNCTION("""COMPUTED_VALUE"""),"The Mill is a cheap English restaurant in the city centre near Raja Indian Cuisine. It is not family-friendly.")</f>
        <v>The Mill is a cheap English restaurant in the city centre near Raja Indian Cuisine. It is not family-friendly.</v>
      </c>
      <c r="C19" s="99" t="str">
        <f>IFERROR(__xludf.DUMMYFUNCTION("""COMPUTED_VALUE"""),"The Mill|eat_type|restaurant ++ The Mill|food|English ++ The Mill|price_range|less than £20 ++ The Mill|area|city centre ++ The Mill|family_friendly|no ++ The Mill|near|Raja Indian Cuisine")</f>
        <v>The Mill|eat_type|restaurant ++ The Mill|food|English ++ The Mill|price_range|less than £20 ++ The Mill|area|city centre ++ The Mill|family_friendly|no ++ The Mill|near|Raja Indian Cuisine</v>
      </c>
      <c r="D19" s="99">
        <f>IFERROR(__xludf.DUMMYFUNCTION("""COMPUTED_VALUE"""),0.165)</f>
        <v>0.165</v>
      </c>
      <c r="E19" s="99" t="str">
        <f>IFERROR(__xludf.DUMMYFUNCTION("""COMPUTED_VALUE"""),"OK")</f>
        <v>OK</v>
      </c>
      <c r="F19" s="99" t="str">
        <f>IFERROR(__xludf.DUMMYFUNCTION("""COMPUTED_VALUE"""),"omission")</f>
        <v>omission</v>
      </c>
      <c r="G19" s="99" t="str">
        <f>IFERROR(__xludf.DUMMYFUNCTION("""COMPUTED_VALUE"""),"x")</f>
        <v>x</v>
      </c>
      <c r="H19" s="99"/>
      <c r="I19" s="99"/>
      <c r="J19" s="99"/>
      <c r="K19" s="99" t="str">
        <f>IFERROR(__xludf.DUMMYFUNCTION("""COMPUTED_VALUE"""),"x")</f>
        <v>x</v>
      </c>
      <c r="L19" s="99"/>
      <c r="M19" s="99"/>
      <c r="N19" s="99"/>
      <c r="O19" s="99"/>
      <c r="P19" s="99"/>
    </row>
    <row r="20">
      <c r="A20" s="99">
        <f>IFERROR(__xludf.DUMMYFUNCTION("""COMPUTED_VALUE"""),80.0)</f>
        <v>80</v>
      </c>
      <c r="B20" s="99" t="str">
        <f>IFERROR(__xludf.DUMMYFUNCTION("""COMPUTED_VALUE"""),"The Mill is a fast food pub in the city centre near Café Sicilia. It is not children friendly and has a high price range and an average customer rating.")</f>
        <v>The Mill is a fast food pub in the city centre near Café Sicilia. It is not children friendly and has a high price range and an average customer rating.</v>
      </c>
      <c r="C20" s="99" t="str">
        <f>IFERROR(__xludf.DUMMYFUNCTION("""COMPUTED_VALUE"""),"The Mill|eat_type|pub ++ The Mill|food|Fast food ++ The Mill|price_range|high ++ The Mill|rating|average ++ The Mill|area|city centre ++ The Mill|family_friendly|no ++ The Mill|near|Café Sicilia")</f>
        <v>The Mill|eat_type|pub ++ The Mill|food|Fast food ++ The Mill|price_range|high ++ The Mill|rating|average ++ The Mill|area|city centre ++ The Mill|family_friendly|no ++ The Mill|near|Café Sicilia</v>
      </c>
      <c r="D20" s="99">
        <f>IFERROR(__xludf.DUMMYFUNCTION("""COMPUTED_VALUE"""),0.962)</f>
        <v>0.962</v>
      </c>
      <c r="E20" s="99" t="str">
        <f>IFERROR(__xludf.DUMMYFUNCTION("""COMPUTED_VALUE"""),"hallucination")</f>
        <v>hallucination</v>
      </c>
      <c r="F20" s="99" t="str">
        <f>IFERROR(__xludf.DUMMYFUNCTION("""COMPUTED_VALUE"""),"OK")</f>
        <v>OK</v>
      </c>
      <c r="G20" s="99"/>
      <c r="H20" s="99" t="str">
        <f>IFERROR(__xludf.DUMMYFUNCTION("""COMPUTED_VALUE"""),"x")</f>
        <v>x</v>
      </c>
      <c r="I20" s="99"/>
      <c r="J20" s="99"/>
      <c r="K20" s="99"/>
      <c r="L20" s="99"/>
      <c r="M20" s="99"/>
      <c r="N20" s="99"/>
      <c r="O20" s="99" t="str">
        <f>IFERROR(__xludf.DUMMYFUNCTION("""COMPUTED_VALUE"""),"x")</f>
        <v>x</v>
      </c>
      <c r="P20" s="99"/>
    </row>
    <row r="21">
      <c r="A21" s="99">
        <f>IFERROR(__xludf.DUMMYFUNCTION("""COMPUTED_VALUE"""),33.0)</f>
        <v>33</v>
      </c>
      <c r="B21" s="99" t="str">
        <f>IFERROR(__xludf.DUMMYFUNCTION("""COMPUTED_VALUE"""),"The Vaults, which has a high customer rating, is a high-priced pub offering Italian food. It is in riverside near Rainbow Vegetarian Café. It is family-friendly.")</f>
        <v>The Vaults, which has a high customer rating, is a high-priced pub offering Italian food. It is in riverside near Rainbow Vegetarian Café. It is family-friendly.</v>
      </c>
      <c r="C21" s="99" t="str">
        <f>IFERROR(__xludf.DUMMYFUNCTION("""COMPUTED_VALUE"""),"The Vaults|eat_type|pub ++ The Vaults|food|Italian ++ The Vaults|price_range|more than £30 ++ The Vaults|rating|high ++ The Vaults|area|riverside ++ The Vaults|family_friendly|yes ++ The Vaults|near|Rainbow Vegetarian Café")</f>
        <v>The Vaults|eat_type|pub ++ The Vaults|food|Italian ++ The Vaults|price_range|more than £30 ++ The Vaults|rating|high ++ The Vaults|area|riverside ++ The Vaults|family_friendly|yes ++ The Vaults|near|Rainbow Vegetarian Café</v>
      </c>
      <c r="D21" s="99">
        <f>IFERROR(__xludf.DUMMYFUNCTION("""COMPUTED_VALUE"""),0.03)</f>
        <v>0.03</v>
      </c>
      <c r="E21" s="99" t="str">
        <f>IFERROR(__xludf.DUMMYFUNCTION("""COMPUTED_VALUE"""),"OK")</f>
        <v>OK</v>
      </c>
      <c r="F21" s="99" t="str">
        <f>IFERROR(__xludf.DUMMYFUNCTION("""COMPUTED_VALUE"""),"omission")</f>
        <v>omission</v>
      </c>
      <c r="G21" s="99" t="str">
        <f>IFERROR(__xludf.DUMMYFUNCTION("""COMPUTED_VALUE"""),"x")</f>
        <v>x</v>
      </c>
      <c r="H21" s="99"/>
      <c r="I21" s="99"/>
      <c r="J21" s="99"/>
      <c r="K21" s="99" t="str">
        <f>IFERROR(__xludf.DUMMYFUNCTION("""COMPUTED_VALUE"""),"x")</f>
        <v>x</v>
      </c>
      <c r="L21" s="99"/>
      <c r="M21" s="99"/>
      <c r="N21" s="99"/>
      <c r="O21" s="99"/>
      <c r="P21" s="99"/>
    </row>
    <row r="22">
      <c r="A22" s="99">
        <f>IFERROR(__xludf.DUMMYFUNCTION("""COMPUTED_VALUE"""),106.0)</f>
        <v>106</v>
      </c>
      <c r="B22" s="99" t="str">
        <f>IFERROR(__xludf.DUMMYFUNCTION("""COMPUTED_VALUE"""),"In the city centre near CafÃ© Sicilia, there is a French restaurant called The Phoenix. It is not kid friendly and has a price range of Â£20-25 and a customer rating of 3 out of 5.")</f>
        <v>In the city centre near CafÃ© Sicilia, there is a French restaurant called The Phoenix. It is not kid friendly and has a price range of Â£20-25 and a customer rating of 3 out of 5.</v>
      </c>
      <c r="C22" s="99" t="str">
        <f>IFERROR(__xludf.DUMMYFUNCTION("""COMPUTED_VALUE"""),"The Phoenix|eat_type|pub ++ The Phoenix|food|French ++ The Phoenix|price_range|Â£20-25 ++ The Phoenix|rating|3 out of 5 ++ The Phoenix|area|city centre ++ The Phoenix|family_friendly|no ++ The Phoenix|near|CafÃ© Sicilia")</f>
        <v>The Phoenix|eat_type|pub ++ The Phoenix|food|French ++ The Phoenix|price_range|Â£20-25 ++ The Phoenix|rating|3 out of 5 ++ The Phoenix|area|city centre ++ The Phoenix|family_friendly|no ++ The Phoenix|near|CafÃ© Sicilia</v>
      </c>
      <c r="D22" s="99">
        <f>IFERROR(__xludf.DUMMYFUNCTION("""COMPUTED_VALUE"""),0.004)</f>
        <v>0.004</v>
      </c>
      <c r="E22" s="99" t="str">
        <f>IFERROR(__xludf.DUMMYFUNCTION("""COMPUTED_VALUE"""),"hallucination+omission")</f>
        <v>hallucination+omission</v>
      </c>
      <c r="F22" s="99" t="str">
        <f>IFERROR(__xludf.DUMMYFUNCTION("""COMPUTED_VALUE"""),"omission")</f>
        <v>omission</v>
      </c>
      <c r="G22" s="99"/>
      <c r="H22" s="99" t="str">
        <f>IFERROR(__xludf.DUMMYFUNCTION("""COMPUTED_VALUE"""),"x")</f>
        <v>x</v>
      </c>
      <c r="I22" s="99"/>
      <c r="J22" s="99"/>
      <c r="K22" s="99"/>
      <c r="L22" s="99"/>
      <c r="M22" s="99"/>
      <c r="N22" s="99"/>
      <c r="O22" s="99" t="str">
        <f>IFERROR(__xludf.DUMMYFUNCTION("""COMPUTED_VALUE"""),"x")</f>
        <v>x</v>
      </c>
      <c r="P22" s="99"/>
    </row>
    <row r="23">
      <c r="A23" s="99">
        <f>IFERROR(__xludf.DUMMYFUNCTION("""COMPUTED_VALUE"""),86.0)</f>
        <v>86</v>
      </c>
      <c r="B23" s="99" t="str">
        <f>IFERROR(__xludf.DUMMYFUNCTION("""COMPUTED_VALUE"""),"The Mill is a moderate restaurant that serves English food. Yes it is kids-friendly. Its customer rating is 3 out of 5. It is located in the riverside area near Café Rouge.")</f>
        <v>The Mill is a moderate restaurant that serves English food. Yes it is kids-friendly. Its customer rating is 3 out of 5. It is located in the riverside area near Café Rouge.</v>
      </c>
      <c r="C23" s="99" t="str">
        <f>IFERROR(__xludf.DUMMYFUNCTION("""COMPUTED_VALUE"""),"The Mill|eat_type|restaurant ++ The Mill|food|English ++ The Mill|price_range|moderate ++ The Mill|rating|3 out of 5 ++ The Mill|area|riverside ++ The Mill|family_friendly|yes ++ The Mill|near|Café Rouge")</f>
        <v>The Mill|eat_type|restaurant ++ The Mill|food|English ++ The Mill|price_range|moderate ++ The Mill|rating|3 out of 5 ++ The Mill|area|riverside ++ The Mill|family_friendly|yes ++ The Mill|near|Café Rouge</v>
      </c>
      <c r="D23" s="99">
        <f>IFERROR(__xludf.DUMMYFUNCTION("""COMPUTED_VALUE"""),0.784)</f>
        <v>0.784</v>
      </c>
      <c r="E23" s="99" t="str">
        <f>IFERROR(__xludf.DUMMYFUNCTION("""COMPUTED_VALUE"""),"omission")</f>
        <v>omission</v>
      </c>
      <c r="F23" s="99" t="str">
        <f>IFERROR(__xludf.DUMMYFUNCTION("""COMPUTED_VALUE"""),"OK")</f>
        <v>OK</v>
      </c>
      <c r="G23" s="99"/>
      <c r="H23" s="99"/>
      <c r="I23" s="99" t="str">
        <f>IFERROR(__xludf.DUMMYFUNCTION("""COMPUTED_VALUE"""),"x")</f>
        <v>x</v>
      </c>
      <c r="J23" s="99"/>
      <c r="K23" s="99" t="str">
        <f>IFERROR(__xludf.DUMMYFUNCTION("""COMPUTED_VALUE"""),"x")</f>
        <v>x</v>
      </c>
      <c r="L23" s="99"/>
      <c r="M23" s="99"/>
      <c r="N23" s="99"/>
      <c r="O23" s="99"/>
      <c r="P23" s="99"/>
    </row>
    <row r="24">
      <c r="A24" s="99">
        <f>IFERROR(__xludf.DUMMYFUNCTION("""COMPUTED_VALUE"""),72.0)</f>
        <v>72</v>
      </c>
      <c r="B24" s="99" t="str">
        <f>IFERROR(__xludf.DUMMYFUNCTION("""COMPUTED_VALUE"""),"There is a pub called The Wrestlers that is located near Raja Indian Cuisine . It has wonderful food although it is within the high price range .")</f>
        <v>There is a pub called The Wrestlers that is located near Raja Indian Cuisine . It has wonderful food although it is within the high price range .</v>
      </c>
      <c r="C24" s="99" t="str">
        <f>IFERROR(__xludf.DUMMYFUNCTION("""COMPUTED_VALUE"""),"The Wrestlers|eat_type|pub ++ The Wrestlers|food|Japanese ++ The Wrestlers|price_range|more than £30 ++ The Wrestlers|rating|low ++ The Wrestlers|area|riverside ++ The Wrestlers|family_friendly|yes ++ The Wrestlers|near|Raja Indian Cuisine")</f>
        <v>The Wrestlers|eat_type|pub ++ The Wrestlers|food|Japanese ++ The Wrestlers|price_range|more than £30 ++ The Wrestlers|rating|low ++ The Wrestlers|area|riverside ++ The Wrestlers|family_friendly|yes ++ The Wrestlers|near|Raja Indian Cuisine</v>
      </c>
      <c r="D24" s="99">
        <f>IFERROR(__xludf.DUMMYFUNCTION("""COMPUTED_VALUE"""),0.001)</f>
        <v>0.001</v>
      </c>
      <c r="E24" s="99" t="str">
        <f>IFERROR(__xludf.DUMMYFUNCTION("""COMPUTED_VALUE"""),"omission")</f>
        <v>omission</v>
      </c>
      <c r="F24" s="99" t="str">
        <f>IFERROR(__xludf.DUMMYFUNCTION("""COMPUTED_VALUE"""),"hallucination+omission")</f>
        <v>hallucination+omission</v>
      </c>
      <c r="G24" s="99"/>
      <c r="H24" s="99" t="str">
        <f>IFERROR(__xludf.DUMMYFUNCTION("""COMPUTED_VALUE"""),"x")</f>
        <v>x</v>
      </c>
      <c r="I24" s="99"/>
      <c r="J24" s="99"/>
      <c r="K24" s="99"/>
      <c r="L24" s="99"/>
      <c r="M24" s="99" t="str">
        <f>IFERROR(__xludf.DUMMYFUNCTION("""COMPUTED_VALUE"""),"x")</f>
        <v>x</v>
      </c>
      <c r="N24" s="99"/>
      <c r="O24" s="99"/>
      <c r="P24" s="99"/>
    </row>
    <row r="25">
      <c r="A25" s="99">
        <f>IFERROR(__xludf.DUMMYFUNCTION("""COMPUTED_VALUE"""),24.0)</f>
        <v>24</v>
      </c>
      <c r="B25" s="99" t="str">
        <f>IFERROR(__xludf.DUMMYFUNCTION("""COMPUTED_VALUE"""),"In the city centre near Café Sicilia there is a cheap Fast food restaurant called The Mill. It has a customer rating of 5 out of 5 and is not family-friendly.")</f>
        <v>In the city centre near Café Sicilia there is a cheap Fast food restaurant called The Mill. It has a customer rating of 5 out of 5 and is not family-friendly.</v>
      </c>
      <c r="C25" s="99" t="str">
        <f>IFERROR(__xludf.DUMMYFUNCTION("""COMPUTED_VALUE"""),"The Mill|eat_type|pub ++ The Mill|food|Fast food ++ The Mill|price_range|cheap ++ The Mill|rating|5 out of 5 ++ The Mill|area|city centre ++ The Mill|family_friendly|no ++ The Mill|near|Café Sicilia")</f>
        <v>The Mill|eat_type|pub ++ The Mill|food|Fast food ++ The Mill|price_range|cheap ++ The Mill|rating|5 out of 5 ++ The Mill|area|city centre ++ The Mill|family_friendly|no ++ The Mill|near|Café Sicilia</v>
      </c>
      <c r="D25" s="99">
        <f>IFERROR(__xludf.DUMMYFUNCTION("""COMPUTED_VALUE"""),0.002)</f>
        <v>0.002</v>
      </c>
      <c r="E25" s="99" t="str">
        <f>IFERROR(__xludf.DUMMYFUNCTION("""COMPUTED_VALUE"""),"OK")</f>
        <v>OK</v>
      </c>
      <c r="F25" s="99" t="str">
        <f>IFERROR(__xludf.DUMMYFUNCTION("""COMPUTED_VALUE"""),"omission")</f>
        <v>omission</v>
      </c>
      <c r="G25" s="99"/>
      <c r="H25" s="99" t="str">
        <f>IFERROR(__xludf.DUMMYFUNCTION("""COMPUTED_VALUE"""),"x")</f>
        <v>x</v>
      </c>
      <c r="I25" s="99"/>
      <c r="J25" s="99" t="str">
        <f>IFERROR(__xludf.DUMMYFUNCTION("""COMPUTED_VALUE"""),"x")</f>
        <v>x</v>
      </c>
      <c r="K25" s="99"/>
      <c r="L25" s="99"/>
      <c r="M25" s="99"/>
      <c r="N25" s="99"/>
      <c r="O25" s="99"/>
      <c r="P25" s="99"/>
    </row>
    <row r="26">
      <c r="A26" s="99">
        <f>IFERROR(__xludf.DUMMYFUNCTION("""COMPUTED_VALUE"""),63.0)</f>
        <v>63</v>
      </c>
      <c r="B26" s="99" t="str">
        <f>IFERROR(__xludf.DUMMYFUNCTION("""COMPUTED_VALUE"""),"The Mill is a cheap English pub in the city centre near Raja Indian Cuisine. It is not family-friendly.")</f>
        <v>The Mill is a cheap English pub in the city centre near Raja Indian Cuisine. It is not family-friendly.</v>
      </c>
      <c r="C26" s="99" t="str">
        <f>IFERROR(__xludf.DUMMYFUNCTION("""COMPUTED_VALUE"""),"The Mill|eat_type|pub ++ The Mill|food|English ++ The Mill|price_range|less than £20 ++ The Mill|area|city centre ++ The Mill|family_friendly|no ++ The Mill|near|Raja Indian Cuisine")</f>
        <v>The Mill|eat_type|pub ++ The Mill|food|English ++ The Mill|price_range|less than £20 ++ The Mill|area|city centre ++ The Mill|family_friendly|no ++ The Mill|near|Raja Indian Cuisine</v>
      </c>
      <c r="D26" s="99">
        <f>IFERROR(__xludf.DUMMYFUNCTION("""COMPUTED_VALUE"""),0.205)</f>
        <v>0.205</v>
      </c>
      <c r="E26" s="99" t="str">
        <f>IFERROR(__xludf.DUMMYFUNCTION("""COMPUTED_VALUE"""),"OK")</f>
        <v>OK</v>
      </c>
      <c r="F26" s="99" t="str">
        <f>IFERROR(__xludf.DUMMYFUNCTION("""COMPUTED_VALUE"""),"omission")</f>
        <v>omission</v>
      </c>
      <c r="G26" s="99" t="str">
        <f>IFERROR(__xludf.DUMMYFUNCTION("""COMPUTED_VALUE"""),"x")</f>
        <v>x</v>
      </c>
      <c r="H26" s="99"/>
      <c r="I26" s="99"/>
      <c r="J26" s="99"/>
      <c r="K26" s="99" t="str">
        <f>IFERROR(__xludf.DUMMYFUNCTION("""COMPUTED_VALUE"""),"x")</f>
        <v>x</v>
      </c>
      <c r="L26" s="99"/>
      <c r="M26" s="99"/>
      <c r="N26" s="99"/>
      <c r="O26" s="99"/>
      <c r="P26" s="99"/>
    </row>
    <row r="27">
      <c r="A27" s="99">
        <f>IFERROR(__xludf.DUMMYFUNCTION("""COMPUTED_VALUE"""),5.0)</f>
        <v>5</v>
      </c>
      <c r="B27" s="99" t="str">
        <f>IFERROR(__xludf.DUMMYFUNCTION("""COMPUTED_VALUE"""),"For a child-friendly, average-rated restaurant serving Italian, try The Punter, in the riverside area, near Rainbow Vegetarian Café.")</f>
        <v>For a child-friendly, average-rated restaurant serving Italian, try The Punter, in the riverside area, near Rainbow Vegetarian Café.</v>
      </c>
      <c r="C27" s="99" t="str">
        <f>IFERROR(__xludf.DUMMYFUNCTION("""COMPUTED_VALUE"""),"The Punter|eat_type|restaurant ++ The Punter|food|Italian ++ The Punter|price_range|cheap ++ The Punter|rating|average ++ The Punter|area|riverside ++ The Punter|family_friendly|yes ++ The Punter|near|Rainbow Vegetarian Café")</f>
        <v>The Punter|eat_type|restaurant ++ The Punter|food|Italian ++ The Punter|price_range|cheap ++ The Punter|rating|average ++ The Punter|area|riverside ++ The Punter|family_friendly|yes ++ The Punter|near|Rainbow Vegetarian Café</v>
      </c>
      <c r="D27" s="99">
        <f>IFERROR(__xludf.DUMMYFUNCTION("""COMPUTED_VALUE"""),0.55)</f>
        <v>0.55</v>
      </c>
      <c r="E27" s="99" t="str">
        <f>IFERROR(__xludf.DUMMYFUNCTION("""COMPUTED_VALUE"""),"omission")</f>
        <v>omission</v>
      </c>
      <c r="F27" s="99" t="str">
        <f>IFERROR(__xludf.DUMMYFUNCTION("""COMPUTED_VALUE"""),"OK")</f>
        <v>OK</v>
      </c>
      <c r="G27" s="99" t="str">
        <f>IFERROR(__xludf.DUMMYFUNCTION("""COMPUTED_VALUE"""),"x")</f>
        <v>x</v>
      </c>
      <c r="H27" s="99"/>
      <c r="I27" s="99"/>
      <c r="J27" s="99"/>
      <c r="K27" s="99" t="str">
        <f>IFERROR(__xludf.DUMMYFUNCTION("""COMPUTED_VALUE"""),"x")</f>
        <v>x</v>
      </c>
      <c r="L27" s="99"/>
      <c r="M27" s="99"/>
      <c r="N27" s="99"/>
      <c r="O27" s="99"/>
      <c r="P27" s="99"/>
    </row>
    <row r="28">
      <c r="A28" s="99">
        <f>IFERROR(__xludf.DUMMYFUNCTION("""COMPUTED_VALUE"""),23.0)</f>
        <v>23</v>
      </c>
      <c r="B28" s="99" t="str">
        <f>IFERROR(__xludf.DUMMYFUNCTION("""COMPUTED_VALUE"""),"The Mill is a pub that serves Fast food and is children friendly. It is in the high price range and has an average customer rating. It is located in the riverside area near Café Sicilia.")</f>
        <v>The Mill is a pub that serves Fast food and is children friendly. It is in the high price range and has an average customer rating. It is located in the riverside area near Café Sicilia.</v>
      </c>
      <c r="C28" s="99" t="str">
        <f>IFERROR(__xludf.DUMMYFUNCTION("""COMPUTED_VALUE"""),"The Mill|eat_type|pub ++ The Mill|food|Fast food ++ The Mill|price_range|high ++ The Mill|rating|average ++ The Mill|area|riverside ++ The Mill|family_friendly|yes ++ The Mill|near|Café Sicilia")</f>
        <v>The Mill|eat_type|pub ++ The Mill|food|Fast food ++ The Mill|price_range|high ++ The Mill|rating|average ++ The Mill|area|riverside ++ The Mill|family_friendly|yes ++ The Mill|near|Café Sicilia</v>
      </c>
      <c r="D28" s="99">
        <f>IFERROR(__xludf.DUMMYFUNCTION("""COMPUTED_VALUE"""),0.949)</f>
        <v>0.949</v>
      </c>
      <c r="E28" s="99" t="str">
        <f>IFERROR(__xludf.DUMMYFUNCTION("""COMPUTED_VALUE"""),"hallucination")</f>
        <v>hallucination</v>
      </c>
      <c r="F28" s="99" t="str">
        <f>IFERROR(__xludf.DUMMYFUNCTION("""COMPUTED_VALUE"""),"OK")</f>
        <v>OK</v>
      </c>
      <c r="G28" s="99"/>
      <c r="H28" s="99" t="str">
        <f>IFERROR(__xludf.DUMMYFUNCTION("""COMPUTED_VALUE"""),"x")</f>
        <v>x</v>
      </c>
      <c r="I28" s="99"/>
      <c r="J28" s="99"/>
      <c r="K28" s="99"/>
      <c r="L28" s="99" t="str">
        <f>IFERROR(__xludf.DUMMYFUNCTION("""COMPUTED_VALUE"""),"x")</f>
        <v>x</v>
      </c>
      <c r="M28" s="99"/>
      <c r="N28" s="99"/>
      <c r="O28" s="99"/>
      <c r="P28" s="99"/>
    </row>
    <row r="29">
      <c r="A29" s="99">
        <f>IFERROR(__xludf.DUMMYFUNCTION("""COMPUTED_VALUE"""),100.0)</f>
        <v>100</v>
      </c>
      <c r="B29" s="99" t="str">
        <f>IFERROR(__xludf.DUMMYFUNCTION("""COMPUTED_VALUE"""),"The Punter, which has a high customer rating, is a high-priced restaurant offering Indian cuisine. It is in the riverside area by Express by Holiday Inn. It is not kid-friendly.")</f>
        <v>The Punter, which has a high customer rating, is a high-priced restaurant offering Indian cuisine. It is in the riverside area by Express by Holiday Inn. It is not kid-friendly.</v>
      </c>
      <c r="C29" s="99" t="str">
        <f>IFERROR(__xludf.DUMMYFUNCTION("""COMPUTED_VALUE"""),"The Punter|eat_type|restaurant ++ The Punter|food|Indian ++ The Punter|price_range|more than £30 ++ The Punter|rating|high ++ The Punter|area|riverside ++ The Punter|family_friendly|no ++ The Punter|near|Express by Holiday Inn")</f>
        <v>The Punter|eat_type|restaurant ++ The Punter|food|Indian ++ The Punter|price_range|more than £30 ++ The Punter|rating|high ++ The Punter|area|riverside ++ The Punter|family_friendly|no ++ The Punter|near|Express by Holiday Inn</v>
      </c>
      <c r="D29" s="99">
        <f>IFERROR(__xludf.DUMMYFUNCTION("""COMPUTED_VALUE"""),0.024)</f>
        <v>0.024</v>
      </c>
      <c r="E29" s="99" t="str">
        <f>IFERROR(__xludf.DUMMYFUNCTION("""COMPUTED_VALUE"""),"OK")</f>
        <v>OK</v>
      </c>
      <c r="F29" s="99" t="str">
        <f>IFERROR(__xludf.DUMMYFUNCTION("""COMPUTED_VALUE"""),"omission")</f>
        <v>omission</v>
      </c>
      <c r="G29" s="99" t="str">
        <f>IFERROR(__xludf.DUMMYFUNCTION("""COMPUTED_VALUE"""),"x")</f>
        <v>x</v>
      </c>
      <c r="H29" s="99"/>
      <c r="I29" s="99"/>
      <c r="J29" s="99"/>
      <c r="K29" s="99" t="str">
        <f>IFERROR(__xludf.DUMMYFUNCTION("""COMPUTED_VALUE"""),"x")</f>
        <v>x</v>
      </c>
      <c r="L29" s="99"/>
      <c r="M29" s="99"/>
      <c r="N29" s="99"/>
      <c r="O29" s="99"/>
      <c r="P29" s="99"/>
    </row>
    <row r="30">
      <c r="A30" s="99">
        <f>IFERROR(__xludf.DUMMYFUNCTION("""COMPUTED_VALUE"""),58.0)</f>
        <v>58</v>
      </c>
      <c r="B30" s="99" t="str">
        <f>IFERROR(__xludf.DUMMYFUNCTION("""COMPUTED_VALUE"""),"If you are looking for a coffee shop near Café Sicilia then the Cocum is a highly rated restaurant.")</f>
        <v>If you are looking for a coffee shop near Café Sicilia then the Cocum is a highly rated restaurant.</v>
      </c>
      <c r="C30" s="99" t="str">
        <f>IFERROR(__xludf.DUMMYFUNCTION("""COMPUTED_VALUE"""),"Cocum|eat_type|coffee shop ++ Cocum|rating|high ++ Cocum|near|Café Sicilia")</f>
        <v>Cocum|eat_type|coffee shop ++ Cocum|rating|high ++ Cocum|near|Café Sicilia</v>
      </c>
      <c r="D30" s="99">
        <f>IFERROR(__xludf.DUMMYFUNCTION("""COMPUTED_VALUE"""),0.862)</f>
        <v>0.862</v>
      </c>
      <c r="E30" s="99" t="str">
        <f>IFERROR(__xludf.DUMMYFUNCTION("""COMPUTED_VALUE"""),"hallucination")</f>
        <v>hallucination</v>
      </c>
      <c r="F30" s="99" t="str">
        <f>IFERROR(__xludf.DUMMYFUNCTION("""COMPUTED_VALUE"""),"OK")</f>
        <v>OK</v>
      </c>
      <c r="G30" s="99"/>
      <c r="H30" s="99" t="str">
        <f>IFERROR(__xludf.DUMMYFUNCTION("""COMPUTED_VALUE"""),"x")</f>
        <v>x</v>
      </c>
      <c r="I30" s="99"/>
      <c r="J30" s="99"/>
      <c r="K30" s="99"/>
      <c r="L30" s="99"/>
      <c r="M30" s="99"/>
      <c r="N30" s="99"/>
      <c r="O30" s="99" t="str">
        <f>IFERROR(__xludf.DUMMYFUNCTION("""COMPUTED_VALUE"""),"x")</f>
        <v>x</v>
      </c>
      <c r="P30" s="99"/>
    </row>
    <row r="31">
      <c r="A31" s="99">
        <f>IFERROR(__xludf.DUMMYFUNCTION("""COMPUTED_VALUE"""),78.0)</f>
        <v>78</v>
      </c>
      <c r="B31" s="99" t="str">
        <f>IFERROR(__xludf.DUMMYFUNCTION("""COMPUTED_VALUE"""),"The Punter is a family friendly English restaurant in the riverside area near Raja Indian Cuisine with a price range of less than £20.")</f>
        <v>The Punter is a family friendly English restaurant in the riverside area near Raja Indian Cuisine with a price range of less than £20.</v>
      </c>
      <c r="C31" s="99" t="str">
        <f>IFERROR(__xludf.DUMMYFUNCTION("""COMPUTED_VALUE"""),"The Punter|eat_type|restaurant ++ The Punter|food|English ++ The Punter|price_range|cheap ++ The Punter|area|riverside ++ The Punter|family_friendly|yes ++ The Punter|near|Raja Indian Cuisine")</f>
        <v>The Punter|eat_type|restaurant ++ The Punter|food|English ++ The Punter|price_range|cheap ++ The Punter|area|riverside ++ The Punter|family_friendly|yes ++ The Punter|near|Raja Indian Cuisine</v>
      </c>
      <c r="D31" s="99">
        <f>IFERROR(__xludf.DUMMYFUNCTION("""COMPUTED_VALUE"""),0.006)</f>
        <v>0.006</v>
      </c>
      <c r="E31" s="99" t="str">
        <f>IFERROR(__xludf.DUMMYFUNCTION("""COMPUTED_VALUE"""),"OK")</f>
        <v>OK</v>
      </c>
      <c r="F31" s="99" t="str">
        <f>IFERROR(__xludf.DUMMYFUNCTION("""COMPUTED_VALUE"""),"hallucination")</f>
        <v>hallucination</v>
      </c>
      <c r="G31" s="99" t="str">
        <f>IFERROR(__xludf.DUMMYFUNCTION("""COMPUTED_VALUE"""),"x")</f>
        <v>x</v>
      </c>
      <c r="H31" s="99"/>
      <c r="I31" s="99"/>
      <c r="J31" s="99"/>
      <c r="K31" s="99" t="str">
        <f>IFERROR(__xludf.DUMMYFUNCTION("""COMPUTED_VALUE"""),"x")</f>
        <v>x</v>
      </c>
      <c r="L31" s="99"/>
      <c r="M31" s="99"/>
      <c r="N31" s="99"/>
      <c r="O31" s="99"/>
      <c r="P31" s="99"/>
    </row>
    <row r="32">
      <c r="A32" s="99">
        <f>IFERROR(__xludf.DUMMYFUNCTION("""COMPUTED_VALUE"""),48.0)</f>
        <v>48</v>
      </c>
      <c r="B32" s="99" t="str">
        <f>IFERROR(__xludf.DUMMYFUNCTION("""COMPUTED_VALUE"""),"Come to the family friendly Wildwood Indian pup in the riverside area near Raja Indian Cuisine .")</f>
        <v>Come to the family friendly Wildwood Indian pup in the riverside area near Raja Indian Cuisine .</v>
      </c>
      <c r="C32" s="99" t="str">
        <f>IFERROR(__xludf.DUMMYFUNCTION("""COMPUTED_VALUE"""),"Wildwood|eat_type|restaurant ++ Wildwood|food|Indian ++ Wildwood|area|riverside ++ Wildwood|family_friendly|yes ++ Wildwood|near|Raja Indian Cuisine")</f>
        <v>Wildwood|eat_type|restaurant ++ Wildwood|food|Indian ++ Wildwood|area|riverside ++ Wildwood|family_friendly|yes ++ Wildwood|near|Raja Indian Cuisine</v>
      </c>
      <c r="D32" s="99">
        <f>IFERROR(__xludf.DUMMYFUNCTION("""COMPUTED_VALUE"""),0.455)</f>
        <v>0.455</v>
      </c>
      <c r="E32" s="99" t="str">
        <f>IFERROR(__xludf.DUMMYFUNCTION("""COMPUTED_VALUE"""),"omission")</f>
        <v>omission</v>
      </c>
      <c r="F32" s="99" t="str">
        <f>IFERROR(__xludf.DUMMYFUNCTION("""COMPUTED_VALUE"""),"OK")</f>
        <v>OK</v>
      </c>
      <c r="G32" s="99" t="str">
        <f>IFERROR(__xludf.DUMMYFUNCTION("""COMPUTED_VALUE"""),"x")</f>
        <v>x</v>
      </c>
      <c r="H32" s="99"/>
      <c r="I32" s="99"/>
      <c r="J32" s="99" t="str">
        <f>IFERROR(__xludf.DUMMYFUNCTION("""COMPUTED_VALUE"""),"x")</f>
        <v>x</v>
      </c>
      <c r="K32" s="99"/>
      <c r="L32" s="99"/>
      <c r="M32" s="99"/>
      <c r="N32" s="99"/>
      <c r="O32" s="99"/>
      <c r="P32" s="99"/>
    </row>
    <row r="33">
      <c r="A33" s="99">
        <f>IFERROR(__xludf.DUMMYFUNCTION("""COMPUTED_VALUE"""),105.0)</f>
        <v>105</v>
      </c>
      <c r="B33" s="99" t="str">
        <f>IFERROR(__xludf.DUMMYFUNCTION("""COMPUTED_VALUE"""),"The Phoenix, an adult oriented pub serving French food, in riverside near Crowne Plaza Hotel, has high prices and customer ratings of 3 out of 5.")</f>
        <v>The Phoenix, an adult oriented pub serving French food, in riverside near Crowne Plaza Hotel, has high prices and customer ratings of 3 out of 5.</v>
      </c>
      <c r="C33" s="99" t="str">
        <f>IFERROR(__xludf.DUMMYFUNCTION("""COMPUTED_VALUE"""),"The Phoenix|eat_type|pub ++ The Phoenix|food|French ++ The Phoenix|price_range|high ++ The Phoenix|rating|3 out of 5 ++ The Phoenix|area|riverside ++ The Phoenix|family_friendly|no ++ The Phoenix|near|Crowne Plaza Hotel")</f>
        <v>The Phoenix|eat_type|pub ++ The Phoenix|food|French ++ The Phoenix|price_range|high ++ The Phoenix|rating|3 out of 5 ++ The Phoenix|area|riverside ++ The Phoenix|family_friendly|no ++ The Phoenix|near|Crowne Plaza Hotel</v>
      </c>
      <c r="D33" s="99">
        <f>IFERROR(__xludf.DUMMYFUNCTION("""COMPUTED_VALUE"""),0.739)</f>
        <v>0.739</v>
      </c>
      <c r="E33" s="99" t="str">
        <f>IFERROR(__xludf.DUMMYFUNCTION("""COMPUTED_VALUE"""),"omission")</f>
        <v>omission</v>
      </c>
      <c r="F33" s="99" t="str">
        <f>IFERROR(__xludf.DUMMYFUNCTION("""COMPUTED_VALUE"""),"OK")</f>
        <v>OK</v>
      </c>
      <c r="G33" s="99"/>
      <c r="H33" s="99" t="str">
        <f>IFERROR(__xludf.DUMMYFUNCTION("""COMPUTED_VALUE"""),"x")</f>
        <v>x</v>
      </c>
      <c r="I33" s="99"/>
      <c r="J33" s="99"/>
      <c r="K33" s="99"/>
      <c r="L33" s="99" t="str">
        <f>IFERROR(__xludf.DUMMYFUNCTION("""COMPUTED_VALUE"""),"x")</f>
        <v>x</v>
      </c>
      <c r="M33" s="99"/>
      <c r="N33" s="99"/>
      <c r="O33" s="99"/>
      <c r="P33" s="99"/>
    </row>
    <row r="34">
      <c r="A34" s="99">
        <f>IFERROR(__xludf.DUMMYFUNCTION("""COMPUTED_VALUE"""),45.0)</f>
        <v>45</v>
      </c>
      <c r="B34" s="99" t="str">
        <f>IFERROR(__xludf.DUMMYFUNCTION("""COMPUTED_VALUE"""),"the vaults is a pub located in the city centre near raja indian cuisine. it serves french food for moderate. it is not family-friendly.")</f>
        <v>the vaults is a pub located in the city centre near raja indian cuisine. it serves french food for moderate. it is not family-friendly.</v>
      </c>
      <c r="C34" s="99" t="str">
        <f>IFERROR(__xludf.DUMMYFUNCTION("""COMPUTED_VALUE"""),"The Vaults|eat_type|pub ++ The Vaults|food|French ++ The Vaults|price_range|moderate ++ The Vaults|area|city centre ++ The Vaults|family_friendly|no ++ The Vaults|near|Raja Indian Cuisine")</f>
        <v>The Vaults|eat_type|pub ++ The Vaults|food|French ++ The Vaults|price_range|moderate ++ The Vaults|area|city centre ++ The Vaults|family_friendly|no ++ The Vaults|near|Raja Indian Cuisine</v>
      </c>
      <c r="D34" s="99">
        <f>IFERROR(__xludf.DUMMYFUNCTION("""COMPUTED_VALUE"""),0.935)</f>
        <v>0.935</v>
      </c>
      <c r="E34" s="99" t="str">
        <f>IFERROR(__xludf.DUMMYFUNCTION("""COMPUTED_VALUE"""),"omission")</f>
        <v>omission</v>
      </c>
      <c r="F34" s="99" t="str">
        <f>IFERROR(__xludf.DUMMYFUNCTION("""COMPUTED_VALUE"""),"OK")</f>
        <v>OK</v>
      </c>
      <c r="G34" s="99"/>
      <c r="H34" s="99"/>
      <c r="I34" s="99" t="str">
        <f>IFERROR(__xludf.DUMMYFUNCTION("""COMPUTED_VALUE"""),"x")</f>
        <v>x</v>
      </c>
      <c r="J34" s="99"/>
      <c r="K34" s="99" t="str">
        <f>IFERROR(__xludf.DUMMYFUNCTION("""COMPUTED_VALUE"""),"x")</f>
        <v>x</v>
      </c>
      <c r="L34" s="99"/>
      <c r="M34" s="99"/>
      <c r="N34" s="99"/>
      <c r="O34" s="99"/>
      <c r="P34" s="99"/>
    </row>
    <row r="35">
      <c r="A35" s="99">
        <f>IFERROR(__xludf.DUMMYFUNCTION("""COMPUTED_VALUE"""),77.0)</f>
        <v>77</v>
      </c>
      <c r="B35" s="99" t="str">
        <f>IFERROR(__xludf.DUMMYFUNCTION("""COMPUTED_VALUE"""),"The Vaults, which is located in the city centre near Raja Indian Cuisine, is a cheap restaurant serving French food. Children are welcome.")</f>
        <v>The Vaults, which is located in the city centre near Raja Indian Cuisine, is a cheap restaurant serving French food. Children are welcome.</v>
      </c>
      <c r="C35" s="99" t="str">
        <f>IFERROR(__xludf.DUMMYFUNCTION("""COMPUTED_VALUE"""),"The Vaults|eat_type|restaurant ++ The Vaults|food|French ++ The Vaults|price_range|less than £20 ++ The Vaults|area|city centre ++ The Vaults|family_friendly|yes ++ The Vaults|near|Raja Indian Cuisine")</f>
        <v>The Vaults|eat_type|restaurant ++ The Vaults|food|French ++ The Vaults|price_range|less than £20 ++ The Vaults|area|city centre ++ The Vaults|family_friendly|yes ++ The Vaults|near|Raja Indian Cuisine</v>
      </c>
      <c r="D35" s="99">
        <f>IFERROR(__xludf.DUMMYFUNCTION("""COMPUTED_VALUE"""),0.053)</f>
        <v>0.053</v>
      </c>
      <c r="E35" s="99" t="str">
        <f>IFERROR(__xludf.DUMMYFUNCTION("""COMPUTED_VALUE"""),"OK")</f>
        <v>OK</v>
      </c>
      <c r="F35" s="99" t="str">
        <f>IFERROR(__xludf.DUMMYFUNCTION("""COMPUTED_VALUE"""),"omission")</f>
        <v>omission</v>
      </c>
      <c r="G35" s="99" t="str">
        <f>IFERROR(__xludf.DUMMYFUNCTION("""COMPUTED_VALUE"""),"x")</f>
        <v>x</v>
      </c>
      <c r="H35" s="99"/>
      <c r="I35" s="99"/>
      <c r="J35" s="99"/>
      <c r="K35" s="99" t="str">
        <f>IFERROR(__xludf.DUMMYFUNCTION("""COMPUTED_VALUE"""),"x")</f>
        <v>x</v>
      </c>
      <c r="L35" s="99"/>
      <c r="M35" s="99"/>
      <c r="N35" s="99"/>
      <c r="O35" s="99"/>
      <c r="P35" s="99"/>
    </row>
    <row r="36">
      <c r="A36" s="99">
        <f>IFERROR(__xludf.DUMMYFUNCTION("""COMPUTED_VALUE"""),102.0)</f>
        <v>102</v>
      </c>
      <c r="B36" s="99" t="str">
        <f>IFERROR(__xludf.DUMMYFUNCTION("""COMPUTED_VALUE"""),"The Vaults is a high pub that serves Italian food. It is not children-friendly and has an average customer rating. It is located in the city centre area near Rainbow Vegetarian CafÃ©.")</f>
        <v>The Vaults is a high pub that serves Italian food. It is not children-friendly and has an average customer rating. It is located in the city centre area near Rainbow Vegetarian CafÃ©.</v>
      </c>
      <c r="C36" s="99" t="str">
        <f>IFERROR(__xludf.DUMMYFUNCTION("""COMPUTED_VALUE"""),"The Vaults|eat_type|pub ++ The Vaults|food|Italian ++ The Vaults|price_range|high ++ The Vaults|rating|average ++ The Vaults|area|city centre ++ The Vaults|family_friendly|no ++ The Vaults|near|Rainbow Vegetarian CafÃ©")</f>
        <v>The Vaults|eat_type|pub ++ The Vaults|food|Italian ++ The Vaults|price_range|high ++ The Vaults|rating|average ++ The Vaults|area|city centre ++ The Vaults|family_friendly|no ++ The Vaults|near|Rainbow Vegetarian CafÃ©</v>
      </c>
      <c r="D36" s="99">
        <f>IFERROR(__xludf.DUMMYFUNCTION("""COMPUTED_VALUE"""),0.918)</f>
        <v>0.918</v>
      </c>
      <c r="E36" s="99" t="str">
        <f>IFERROR(__xludf.DUMMYFUNCTION("""COMPUTED_VALUE"""),"omission")</f>
        <v>omission</v>
      </c>
      <c r="F36" s="99" t="str">
        <f>IFERROR(__xludf.DUMMYFUNCTION("""COMPUTED_VALUE"""),"OK")</f>
        <v>OK</v>
      </c>
      <c r="G36" s="99"/>
      <c r="H36" s="99"/>
      <c r="I36" s="99" t="str">
        <f>IFERROR(__xludf.DUMMYFUNCTION("""COMPUTED_VALUE"""),"x")</f>
        <v>x</v>
      </c>
      <c r="J36" s="99"/>
      <c r="K36" s="99" t="str">
        <f>IFERROR(__xludf.DUMMYFUNCTION("""COMPUTED_VALUE"""),"x")</f>
        <v>x</v>
      </c>
      <c r="L36" s="99"/>
      <c r="M36" s="99"/>
      <c r="N36" s="99"/>
      <c r="O36" s="99"/>
      <c r="P36" s="99"/>
    </row>
    <row r="37">
      <c r="A37" s="99">
        <f>IFERROR(__xludf.DUMMYFUNCTION("""COMPUTED_VALUE"""),82.0)</f>
        <v>82</v>
      </c>
      <c r="B37" s="99" t="str">
        <f>IFERROR(__xludf.DUMMYFUNCTION("""COMPUTED_VALUE"""),"The Cricketers, a kids friendly restaurant with a £20-£25 price range, with a rating of high. It serves English food and is in city centre near All Bar One.")</f>
        <v>The Cricketers, a kids friendly restaurant with a £20-£25 price range, with a rating of high. It serves English food and is in city centre near All Bar One.</v>
      </c>
      <c r="C37" s="99" t="str">
        <f>IFERROR(__xludf.DUMMYFUNCTION("""COMPUTED_VALUE"""),"The Cricketers|eat_type|restaurant ++ The Cricketers|food|English ++ The Cricketers|price_range|£20-25 ++ The Cricketers|rating|high ++ The Cricketers|area|city centre ++ The Cricketers|family_friendly|yes ++ The Cricketers|near|All Bar One")</f>
        <v>The Cricketers|eat_type|restaurant ++ The Cricketers|food|English ++ The Cricketers|price_range|£20-25 ++ The Cricketers|rating|high ++ The Cricketers|area|city centre ++ The Cricketers|family_friendly|yes ++ The Cricketers|near|All Bar One</v>
      </c>
      <c r="D37" s="99">
        <f>IFERROR(__xludf.DUMMYFUNCTION("""COMPUTED_VALUE"""),0.963)</f>
        <v>0.963</v>
      </c>
      <c r="E37" s="99" t="str">
        <f>IFERROR(__xludf.DUMMYFUNCTION("""COMPUTED_VALUE"""),"omission")</f>
        <v>omission</v>
      </c>
      <c r="F37" s="99" t="str">
        <f>IFERROR(__xludf.DUMMYFUNCTION("""COMPUTED_VALUE"""),"OK")</f>
        <v>OK</v>
      </c>
      <c r="G37" s="99"/>
      <c r="H37" s="99" t="str">
        <f>IFERROR(__xludf.DUMMYFUNCTION("""COMPUTED_VALUE"""),"x")</f>
        <v>x</v>
      </c>
      <c r="I37" s="99"/>
      <c r="J37" s="99"/>
      <c r="K37" s="99"/>
      <c r="L37" s="99" t="str">
        <f>IFERROR(__xludf.DUMMYFUNCTION("""COMPUTED_VALUE"""),"x")</f>
        <v>x</v>
      </c>
      <c r="M37" s="99"/>
      <c r="N37" s="99"/>
      <c r="O37" s="99"/>
      <c r="P37" s="99"/>
    </row>
    <row r="38">
      <c r="A38" s="99">
        <f>IFERROR(__xludf.DUMMYFUNCTION("""COMPUTED_VALUE"""),95.0)</f>
        <v>95</v>
      </c>
      <c r="B38" s="99" t="str">
        <f>IFERROR(__xludf.DUMMYFUNCTION("""COMPUTED_VALUE"""),"The Vaults is a pub that serves Italian food and is children friendly. It is in the high price range and has an average customer rating. It is located in the riverside area near Rainbow Vegetarian Café.")</f>
        <v>The Vaults is a pub that serves Italian food and is children friendly. It is in the high price range and has an average customer rating. It is located in the riverside area near Rainbow Vegetarian Café.</v>
      </c>
      <c r="C38" s="99" t="str">
        <f>IFERROR(__xludf.DUMMYFUNCTION("""COMPUTED_VALUE"""),"The Vaults|eat_type|pub ++ The Vaults|food|Italian ++ The Vaults|price_range|high ++ The Vaults|rating|average ++ The Vaults|area|riverside ++ The Vaults|family_friendly|yes ++ The Vaults|near|Rainbow Vegetarian Café")</f>
        <v>The Vaults|eat_type|pub ++ The Vaults|food|Italian ++ The Vaults|price_range|high ++ The Vaults|rating|average ++ The Vaults|area|riverside ++ The Vaults|family_friendly|yes ++ The Vaults|near|Rainbow Vegetarian Café</v>
      </c>
      <c r="D38" s="99">
        <f>IFERROR(__xludf.DUMMYFUNCTION("""COMPUTED_VALUE"""),0.952)</f>
        <v>0.952</v>
      </c>
      <c r="E38" s="99" t="str">
        <f>IFERROR(__xludf.DUMMYFUNCTION("""COMPUTED_VALUE"""),"hallucination")</f>
        <v>hallucination</v>
      </c>
      <c r="F38" s="99" t="str">
        <f>IFERROR(__xludf.DUMMYFUNCTION("""COMPUTED_VALUE"""),"OK")</f>
        <v>OK</v>
      </c>
      <c r="G38" s="99"/>
      <c r="H38" s="99" t="str">
        <f>IFERROR(__xludf.DUMMYFUNCTION("""COMPUTED_VALUE"""),"x")</f>
        <v>x</v>
      </c>
      <c r="I38" s="99"/>
      <c r="J38" s="99"/>
      <c r="K38" s="99"/>
      <c r="L38" s="99"/>
      <c r="M38" s="99"/>
      <c r="N38" s="99"/>
      <c r="O38" s="99" t="str">
        <f>IFERROR(__xludf.DUMMYFUNCTION("""COMPUTED_VALUE"""),"x")</f>
        <v>x</v>
      </c>
      <c r="P38" s="99"/>
    </row>
    <row r="39">
      <c r="A39" s="99">
        <f>IFERROR(__xludf.DUMMYFUNCTION("""COMPUTED_VALUE"""),71.0)</f>
        <v>71</v>
      </c>
      <c r="B39" s="99" t="str">
        <f>IFERROR(__xludf.DUMMYFUNCTION("""COMPUTED_VALUE"""),"There is a pub called The Mill that serves Fast food in the £20-25 price range with a high customer rating in the city centre near Café Rouge and is not kid friendly.")</f>
        <v>There is a pub called The Mill that serves Fast food in the £20-25 price range with a high customer rating in the city centre near Café Rouge and is not kid friendly.</v>
      </c>
      <c r="C39" s="99" t="str">
        <f>IFERROR(__xludf.DUMMYFUNCTION("""COMPUTED_VALUE"""),"The Mill|eat_type|pub ++ The Mill|food|Fast food ++ The Mill|price_range|£20-25 ++ The Mill|rating|high ++ The Mill|area|city centre ++ The Mill|family_friendly|no ++ The Mill|near|Café Rouge")</f>
        <v>The Mill|eat_type|pub ++ The Mill|food|Fast food ++ The Mill|price_range|£20-25 ++ The Mill|rating|high ++ The Mill|area|city centre ++ The Mill|family_friendly|no ++ The Mill|near|Café Rouge</v>
      </c>
      <c r="D39" s="99">
        <f>IFERROR(__xludf.DUMMYFUNCTION("""COMPUTED_VALUE"""),0.976)</f>
        <v>0.976</v>
      </c>
      <c r="E39" s="99" t="str">
        <f>IFERROR(__xludf.DUMMYFUNCTION("""COMPUTED_VALUE"""),"hallucination")</f>
        <v>hallucination</v>
      </c>
      <c r="F39" s="99" t="str">
        <f>IFERROR(__xludf.DUMMYFUNCTION("""COMPUTED_VALUE"""),"OK")</f>
        <v>OK</v>
      </c>
      <c r="G39" s="99"/>
      <c r="H39" s="99" t="str">
        <f>IFERROR(__xludf.DUMMYFUNCTION("""COMPUTED_VALUE"""),"x")</f>
        <v>x</v>
      </c>
      <c r="I39" s="99"/>
      <c r="J39" s="99"/>
      <c r="K39" s="99"/>
      <c r="L39" s="99"/>
      <c r="M39" s="99"/>
      <c r="N39" s="99"/>
      <c r="O39" s="99" t="str">
        <f>IFERROR(__xludf.DUMMYFUNCTION("""COMPUTED_VALUE"""),"x")</f>
        <v>x</v>
      </c>
      <c r="P39" s="99"/>
    </row>
    <row r="40">
      <c r="A40" s="99">
        <f>IFERROR(__xludf.DUMMYFUNCTION("""COMPUTED_VALUE"""),55.0)</f>
        <v>55</v>
      </c>
      <c r="B40" s="99" t="str">
        <f>IFERROR(__xludf.DUMMYFUNCTION("""COMPUTED_VALUE"""),"The Wrestlers, which is located in the city centre near Raja Indian Cuisine, is a cheap restaurant that serves Japanese food. It is not family-friendly.")</f>
        <v>The Wrestlers, which is located in the city centre near Raja Indian Cuisine, is a cheap restaurant that serves Japanese food. It is not family-friendly.</v>
      </c>
      <c r="C40" s="99" t="str">
        <f>IFERROR(__xludf.DUMMYFUNCTION("""COMPUTED_VALUE"""),"The Wrestlers|eat_type|restaurant ++ The Wrestlers|food|Japanese ++ The Wrestlers|price_range|less than £20 ++ The Wrestlers|area|city centre ++ The Wrestlers|family_friendly|no ++ The Wrestlers|near|Raja Indian Cuisine")</f>
        <v>The Wrestlers|eat_type|restaurant ++ The Wrestlers|food|Japanese ++ The Wrestlers|price_range|less than £20 ++ The Wrestlers|area|city centre ++ The Wrestlers|family_friendly|no ++ The Wrestlers|near|Raja Indian Cuisine</v>
      </c>
      <c r="D40" s="99">
        <f>IFERROR(__xludf.DUMMYFUNCTION("""COMPUTED_VALUE"""),0.03)</f>
        <v>0.03</v>
      </c>
      <c r="E40" s="99" t="str">
        <f>IFERROR(__xludf.DUMMYFUNCTION("""COMPUTED_VALUE"""),"OK")</f>
        <v>OK</v>
      </c>
      <c r="F40" s="99" t="str">
        <f>IFERROR(__xludf.DUMMYFUNCTION("""COMPUTED_VALUE"""),"omission")</f>
        <v>omission</v>
      </c>
      <c r="G40" s="99" t="str">
        <f>IFERROR(__xludf.DUMMYFUNCTION("""COMPUTED_VALUE"""),"x")</f>
        <v>x</v>
      </c>
      <c r="H40" s="99"/>
      <c r="I40" s="99"/>
      <c r="J40" s="99"/>
      <c r="K40" s="99" t="str">
        <f>IFERROR(__xludf.DUMMYFUNCTION("""COMPUTED_VALUE"""),"x")</f>
        <v>x</v>
      </c>
      <c r="L40" s="99"/>
      <c r="M40" s="99"/>
      <c r="N40" s="99"/>
      <c r="O40" s="99"/>
      <c r="P40" s="99"/>
    </row>
    <row r="41">
      <c r="A41" s="99">
        <f>IFERROR(__xludf.DUMMYFUNCTION("""COMPUTED_VALUE"""),91.0)</f>
        <v>91</v>
      </c>
      <c r="B41" s="99" t="str">
        <f>IFERROR(__xludf.DUMMYFUNCTION("""COMPUTED_VALUE"""),"Cheap Chinese food for all the family can be found at The Cricketers restaurant, near All Bar One, in the riverside area. Average ratings.")</f>
        <v>Cheap Chinese food for all the family can be found at The Cricketers restaurant, near All Bar One, in the riverside area. Average ratings.</v>
      </c>
      <c r="C41" s="99" t="str">
        <f>IFERROR(__xludf.DUMMYFUNCTION("""COMPUTED_VALUE"""),"The Cricketers|eat_type|restaurant ++ The Cricketers|food|Chinese ++ The Cricketers|price_range|cheap ++ The Cricketers|rating|average ++ The Cricketers|area|riverside ++ The Cricketers|family_friendly|yes ++ The Cricketers|near|All Bar One")</f>
        <v>The Cricketers|eat_type|restaurant ++ The Cricketers|food|Chinese ++ The Cricketers|price_range|cheap ++ The Cricketers|rating|average ++ The Cricketers|area|riverside ++ The Cricketers|family_friendly|yes ++ The Cricketers|near|All Bar One</v>
      </c>
      <c r="D41" s="99">
        <f>IFERROR(__xludf.DUMMYFUNCTION("""COMPUTED_VALUE"""),0.873)</f>
        <v>0.873</v>
      </c>
      <c r="E41" s="99" t="str">
        <f>IFERROR(__xludf.DUMMYFUNCTION("""COMPUTED_VALUE"""),"omission")</f>
        <v>omission</v>
      </c>
      <c r="F41" s="99" t="str">
        <f>IFERROR(__xludf.DUMMYFUNCTION("""COMPUTED_VALUE"""),"OK")</f>
        <v>OK</v>
      </c>
      <c r="G41" s="99"/>
      <c r="H41" s="99" t="str">
        <f>IFERROR(__xludf.DUMMYFUNCTION("""COMPUTED_VALUE"""),"x")</f>
        <v>x</v>
      </c>
      <c r="I41" s="99"/>
      <c r="J41" s="99"/>
      <c r="K41" s="99"/>
      <c r="L41" s="99"/>
      <c r="M41" s="99"/>
      <c r="N41" s="99" t="str">
        <f>IFERROR(__xludf.DUMMYFUNCTION("""COMPUTED_VALUE"""),"x")</f>
        <v>x</v>
      </c>
      <c r="O41" s="99"/>
      <c r="P41" s="99"/>
    </row>
    <row r="42">
      <c r="A42" s="99">
        <f>IFERROR(__xludf.DUMMYFUNCTION("""COMPUTED_VALUE"""),74.0)</f>
        <v>74</v>
      </c>
      <c r="B42" s="99" t="str">
        <f>IFERROR(__xludf.DUMMYFUNCTION("""COMPUTED_VALUE"""),"In the riverside, near Raja Indian Cuisine, you will find The Wrestlers. It is a non children-friendly pub that serves Japanese food. While its price range is quite 1 out of 5, moderate, it has a 1 out of 5 customer ratings.")</f>
        <v>In the riverside, near Raja Indian Cuisine, you will find The Wrestlers. It is a non children-friendly pub that serves Japanese food. While its price range is quite 1 out of 5, moderate, it has a 1 out of 5 customer ratings.</v>
      </c>
      <c r="C42" s="99" t="str">
        <f>IFERROR(__xludf.DUMMYFUNCTION("""COMPUTED_VALUE"""),"The Wrestlers|eat_type|pub ++ The Wrestlers|food|Japanese ++ The Wrestlers|price_range|moderate ++ The Wrestlers|rating|1 out of 5 ++ The Wrestlers|area|riverside ++ The Wrestlers|family_friendly|no ++ The Wrestlers|near|Raja Indian Cuisine")</f>
        <v>The Wrestlers|eat_type|pub ++ The Wrestlers|food|Japanese ++ The Wrestlers|price_range|moderate ++ The Wrestlers|rating|1 out of 5 ++ The Wrestlers|area|riverside ++ The Wrestlers|family_friendly|no ++ The Wrestlers|near|Raja Indian Cuisine</v>
      </c>
      <c r="D42" s="99">
        <f>IFERROR(__xludf.DUMMYFUNCTION("""COMPUTED_VALUE"""),0.975)</f>
        <v>0.975</v>
      </c>
      <c r="E42" s="99" t="str">
        <f>IFERROR(__xludf.DUMMYFUNCTION("""COMPUTED_VALUE"""),"omission")</f>
        <v>omission</v>
      </c>
      <c r="F42" s="99" t="str">
        <f>IFERROR(__xludf.DUMMYFUNCTION("""COMPUTED_VALUE"""),"OK")</f>
        <v>OK</v>
      </c>
      <c r="G42" s="99"/>
      <c r="H42" s="99"/>
      <c r="I42" s="99" t="str">
        <f>IFERROR(__xludf.DUMMYFUNCTION("""COMPUTED_VALUE"""),"x")</f>
        <v>x</v>
      </c>
      <c r="J42" s="99"/>
      <c r="K42" s="99"/>
      <c r="L42" s="99"/>
      <c r="M42" s="99"/>
      <c r="N42" s="99"/>
      <c r="O42" s="99"/>
      <c r="P42" s="99" t="str">
        <f>IFERROR(__xludf.DUMMYFUNCTION("""COMPUTED_VALUE"""),"""price range is quite 1 out of five""")</f>
        <v>"price range is quite 1 out of five"</v>
      </c>
    </row>
    <row r="43">
      <c r="A43" s="99">
        <f>IFERROR(__xludf.DUMMYFUNCTION("""COMPUTED_VALUE"""),115.0)</f>
        <v>115</v>
      </c>
      <c r="B43" s="99" t="str">
        <f>IFERROR(__xludf.DUMMYFUNCTION("""COMPUTED_VALUE"""),"There is a city centre restaurant near Raja Indian Cuisine called The Mill, that serves English food in the less than Â£20 price range. This venue is not suited for families with children.")</f>
        <v>There is a city centre restaurant near Raja Indian Cuisine called The Mill, that serves English food in the less than Â£20 price range. This venue is not suited for families with children.</v>
      </c>
      <c r="C43" s="99" t="str">
        <f>IFERROR(__xludf.DUMMYFUNCTION("""COMPUTED_VALUE"""),"The Mill|eat_type|restaurant ++ The Mill|food|English ++ The Mill|price_range|less than Â£20 ++ The Mill|area|city centre ++ The Mill|family_friendly|no ++ The Mill|near|Raja Indian Cuisine")</f>
        <v>The Mill|eat_type|restaurant ++ The Mill|food|English ++ The Mill|price_range|less than Â£20 ++ The Mill|area|city centre ++ The Mill|family_friendly|no ++ The Mill|near|Raja Indian Cuisine</v>
      </c>
      <c r="D43" s="99">
        <f>IFERROR(__xludf.DUMMYFUNCTION("""COMPUTED_VALUE"""),0.979)</f>
        <v>0.979</v>
      </c>
      <c r="E43" s="99" t="str">
        <f>IFERROR(__xludf.DUMMYFUNCTION("""COMPUTED_VALUE"""),"hallucination+omission")</f>
        <v>hallucination+omission</v>
      </c>
      <c r="F43" s="99" t="str">
        <f>IFERROR(__xludf.DUMMYFUNCTION("""COMPUTED_VALUE"""),"OK")</f>
        <v>OK</v>
      </c>
      <c r="G43" s="99"/>
      <c r="H43" s="99" t="str">
        <f>IFERROR(__xludf.DUMMYFUNCTION("""COMPUTED_VALUE"""),"x")</f>
        <v>x</v>
      </c>
      <c r="I43" s="99"/>
      <c r="J43" s="99"/>
      <c r="K43" s="99"/>
      <c r="L43" s="99"/>
      <c r="M43" s="99"/>
      <c r="N43" s="99" t="str">
        <f>IFERROR(__xludf.DUMMYFUNCTION("""COMPUTED_VALUE"""),"x")</f>
        <v>x</v>
      </c>
      <c r="O43" s="99" t="str">
        <f>IFERROR(__xludf.DUMMYFUNCTION("""COMPUTED_VALUE"""),"x")</f>
        <v>x</v>
      </c>
      <c r="P43" s="99"/>
    </row>
    <row r="44">
      <c r="A44" s="99">
        <f>IFERROR(__xludf.DUMMYFUNCTION("""COMPUTED_VALUE"""),114.0)</f>
        <v>114</v>
      </c>
      <c r="B44" s="99" t="str">
        <f>IFERROR(__xludf.DUMMYFUNCTION("""COMPUTED_VALUE"""),"There is a low rated , family friendly restaurant called The Punter that serves moderately priced Indian food near the river and Express by Holiday Inn .")</f>
        <v>There is a low rated , family friendly restaurant called The Punter that serves moderately priced Indian food near the river and Express by Holiday Inn .</v>
      </c>
      <c r="C44" s="99" t="str">
        <f>IFERROR(__xludf.DUMMYFUNCTION("""COMPUTED_VALUE"""),"The Punter|eat_type|restaurant ++ The Punter|food|Indian ++ The Punter|price_range|cheap ++ The Punter|rating|average ++ The Punter|area|riverside ++ The Punter|family_friendly|yes ++ The Punter|near|Express by Holiday Inn")</f>
        <v>The Punter|eat_type|restaurant ++ The Punter|food|Indian ++ The Punter|price_range|cheap ++ The Punter|rating|average ++ The Punter|area|riverside ++ The Punter|family_friendly|yes ++ The Punter|near|Express by Holiday Inn</v>
      </c>
      <c r="D44" s="99">
        <f>IFERROR(__xludf.DUMMYFUNCTION("""COMPUTED_VALUE"""),0.025)</f>
        <v>0.025</v>
      </c>
      <c r="E44" s="99" t="str">
        <f>IFERROR(__xludf.DUMMYFUNCTION("""COMPUTED_VALUE"""),"hallucination+omission")</f>
        <v>hallucination+omission</v>
      </c>
      <c r="F44" s="99" t="str">
        <f>IFERROR(__xludf.DUMMYFUNCTION("""COMPUTED_VALUE"""),"omission")</f>
        <v>omission</v>
      </c>
      <c r="G44" s="99"/>
      <c r="H44" s="99" t="str">
        <f>IFERROR(__xludf.DUMMYFUNCTION("""COMPUTED_VALUE"""),"x")</f>
        <v>x</v>
      </c>
      <c r="I44" s="99"/>
      <c r="J44" s="99"/>
      <c r="K44" s="99"/>
      <c r="L44" s="99"/>
      <c r="M44" s="99"/>
      <c r="N44" s="99"/>
      <c r="O44" s="99" t="str">
        <f>IFERROR(__xludf.DUMMYFUNCTION("""COMPUTED_VALUE"""),"x")</f>
        <v>x</v>
      </c>
      <c r="P44" s="99"/>
    </row>
    <row r="45">
      <c r="A45" s="99">
        <f>IFERROR(__xludf.DUMMYFUNCTION("""COMPUTED_VALUE"""),112.0)</f>
        <v>112</v>
      </c>
      <c r="B45" s="99" t="str">
        <f>IFERROR(__xludf.DUMMYFUNCTION("""COMPUTED_VALUE"""),"The Phoenix is a high priced french restaurant located in the city centre near Crowne Plaza Hotel. It is not child friendly and has a customer rating of 3 out of 5.'")</f>
        <v>The Phoenix is a high priced french restaurant located in the city centre near Crowne Plaza Hotel. It is not child friendly and has a customer rating of 3 out of 5.'</v>
      </c>
      <c r="C45" s="99" t="str">
        <f>IFERROR(__xludf.DUMMYFUNCTION("""COMPUTED_VALUE"""),"The Phoenix|eat_type|pub ++ The Phoenix|food|French ++ The Phoenix|price_range|high ++ The Phoenix|rating|3 out of 5 ++ The Phoenix|area|city centre ++ The Phoenix|family_friendly|no ++ The Phoenix|near|Crowne Plaza Hotel")</f>
        <v>The Phoenix|eat_type|pub ++ The Phoenix|food|French ++ The Phoenix|price_range|high ++ The Phoenix|rating|3 out of 5 ++ The Phoenix|area|city centre ++ The Phoenix|family_friendly|no ++ The Phoenix|near|Crowne Plaza Hotel</v>
      </c>
      <c r="D45" s="99">
        <f>IFERROR(__xludf.DUMMYFUNCTION("""COMPUTED_VALUE"""),0.001)</f>
        <v>0.001</v>
      </c>
      <c r="E45" s="99" t="str">
        <f>IFERROR(__xludf.DUMMYFUNCTION("""COMPUTED_VALUE"""),"hallucination+omission")</f>
        <v>hallucination+omission</v>
      </c>
      <c r="F45" s="99" t="str">
        <f>IFERROR(__xludf.DUMMYFUNCTION("""COMPUTED_VALUE"""),"omission")</f>
        <v>omission</v>
      </c>
      <c r="G45" s="99"/>
      <c r="H45" s="99"/>
      <c r="I45" s="99" t="str">
        <f>IFERROR(__xludf.DUMMYFUNCTION("""COMPUTED_VALUE"""),"x")</f>
        <v>x</v>
      </c>
      <c r="J45" s="99" t="str">
        <f>IFERROR(__xludf.DUMMYFUNCTION("""COMPUTED_VALUE"""),"x")</f>
        <v>x</v>
      </c>
      <c r="K45" s="99"/>
      <c r="L45" s="99"/>
      <c r="M45" s="99"/>
      <c r="N45" s="99"/>
      <c r="O45" s="99"/>
      <c r="P45" s="99"/>
    </row>
    <row r="46">
      <c r="A46" s="99">
        <f>IFERROR(__xludf.DUMMYFUNCTION("""COMPUTED_VALUE"""),111.0)</f>
        <v>111</v>
      </c>
      <c r="B46" s="99" t="str">
        <f>IFERROR(__xludf.DUMMYFUNCTION("""COMPUTED_VALUE"""),"The Cricketers provides chinese food in the less than Â£20 price range. It is located in the city centre. It is near All Bar One. Its customer rating is low. It is not family-friendly.'")</f>
        <v>The Cricketers provides chinese food in the less than Â£20 price range. It is located in the city centre. It is near All Bar One. Its customer rating is low. It is not family-friendly.'</v>
      </c>
      <c r="C46" s="99" t="str">
        <f>IFERROR(__xludf.DUMMYFUNCTION("""COMPUTED_VALUE"""),"The Cricketers|eat_type|restaurant ++ The Cricketers|food|Chinese ++ The Cricketers|price_range|less than Â£20 ++ The Cricketers|rating|low ++ The Cricketers|area|city centre ++ The Cricketers|family_friendly|no ++ The Cricketers|near|All Bar One")</f>
        <v>The Cricketers|eat_type|restaurant ++ The Cricketers|food|Chinese ++ The Cricketers|price_range|less than Â£20 ++ The Cricketers|rating|low ++ The Cricketers|area|city centre ++ The Cricketers|family_friendly|no ++ The Cricketers|near|All Bar One</v>
      </c>
      <c r="D46" s="99">
        <f>IFERROR(__xludf.DUMMYFUNCTION("""COMPUTED_VALUE"""),0.811)</f>
        <v>0.811</v>
      </c>
      <c r="E46" s="99" t="str">
        <f>IFERROR(__xludf.DUMMYFUNCTION("""COMPUTED_VALUE"""),"omission")</f>
        <v>omission</v>
      </c>
      <c r="F46" s="99" t="str">
        <f>IFERROR(__xludf.DUMMYFUNCTION("""COMPUTED_VALUE"""),"OK")</f>
        <v>OK</v>
      </c>
      <c r="G46" s="99"/>
      <c r="H46" s="99" t="str">
        <f>IFERROR(__xludf.DUMMYFUNCTION("""COMPUTED_VALUE"""),"x")</f>
        <v>x</v>
      </c>
      <c r="I46" s="99"/>
      <c r="J46" s="99"/>
      <c r="K46" s="99"/>
      <c r="L46" s="99"/>
      <c r="M46" s="99"/>
      <c r="N46" s="99" t="str">
        <f>IFERROR(__xludf.DUMMYFUNCTION("""COMPUTED_VALUE"""),"x")</f>
        <v>x</v>
      </c>
      <c r="O46" s="99"/>
      <c r="P46" s="99"/>
    </row>
    <row r="47">
      <c r="A47" s="99">
        <f>IFERROR(__xludf.DUMMYFUNCTION("""COMPUTED_VALUE"""),52.0)</f>
        <v>52</v>
      </c>
      <c r="B47" s="99" t="str">
        <f>IFERROR(__xludf.DUMMYFUNCTION("""COMPUTED_VALUE"""),"The Vaults is a pub serving Japanese food with a high customer rating with meals £20-£25 and is family friendly in city centre area near Rainbow Vegetarian Café.")</f>
        <v>The Vaults is a pub serving Japanese food with a high customer rating with meals £20-£25 and is family friendly in city centre area near Rainbow Vegetarian Café.</v>
      </c>
      <c r="C47" s="99" t="str">
        <f>IFERROR(__xludf.DUMMYFUNCTION("""COMPUTED_VALUE"""),"The Vaults|eat_type|pub ++ The Vaults|food|Japanese ++ The Vaults|price_range|£20-25 ++ The Vaults|rating|high ++ The Vaults|area|city centre ++ The Vaults|family_friendly|yes ++ The Vaults|near|Rainbow Vegetarian Café")</f>
        <v>The Vaults|eat_type|pub ++ The Vaults|food|Japanese ++ The Vaults|price_range|£20-25 ++ The Vaults|rating|high ++ The Vaults|area|city centre ++ The Vaults|family_friendly|yes ++ The Vaults|near|Rainbow Vegetarian Café</v>
      </c>
      <c r="D47" s="99">
        <f>IFERROR(__xludf.DUMMYFUNCTION("""COMPUTED_VALUE"""),0.959)</f>
        <v>0.959</v>
      </c>
      <c r="E47" s="99" t="str">
        <f>IFERROR(__xludf.DUMMYFUNCTION("""COMPUTED_VALUE"""),"omission")</f>
        <v>omission</v>
      </c>
      <c r="F47" s="99" t="str">
        <f>IFERROR(__xludf.DUMMYFUNCTION("""COMPUTED_VALUE"""),"OK")</f>
        <v>OK</v>
      </c>
      <c r="G47" s="99"/>
      <c r="H47" s="99" t="str">
        <f>IFERROR(__xludf.DUMMYFUNCTION("""COMPUTED_VALUE"""),"x")</f>
        <v>x</v>
      </c>
      <c r="I47" s="99"/>
      <c r="J47" s="99"/>
      <c r="K47" s="99"/>
      <c r="L47" s="99"/>
      <c r="M47" s="99"/>
      <c r="N47" s="99" t="str">
        <f>IFERROR(__xludf.DUMMYFUNCTION("""COMPUTED_VALUE"""),"x")</f>
        <v>x</v>
      </c>
      <c r="O47" s="99"/>
      <c r="P47" s="99"/>
    </row>
    <row r="48">
      <c r="A48" s="99">
        <f>IFERROR(__xludf.DUMMYFUNCTION("""COMPUTED_VALUE"""),29.0)</f>
        <v>29</v>
      </c>
      <c r="B48" s="99" t="str">
        <f>IFERROR(__xludf.DUMMYFUNCTION("""COMPUTED_VALUE"""),"Giraffe is a beautiful restaurant close to the Rainbow Vegetarian Café . It is reasonably liked place serves English food and is children friendly .")</f>
        <v>Giraffe is a beautiful restaurant close to the Rainbow Vegetarian Café . It is reasonably liked place serves English food and is children friendly .</v>
      </c>
      <c r="C48" s="99" t="str">
        <f>IFERROR(__xludf.DUMMYFUNCTION("""COMPUTED_VALUE"""),"Giraffe|eat_type|restaurant ++ Giraffe|food|English ++ Giraffe|area|riverside ++ Giraffe|family_friendly|yes ++ Giraffe|near|Rainbow Vegetarian Café")</f>
        <v>Giraffe|eat_type|restaurant ++ Giraffe|food|English ++ Giraffe|area|riverside ++ Giraffe|family_friendly|yes ++ Giraffe|near|Rainbow Vegetarian Café</v>
      </c>
      <c r="D48" s="99">
        <f>IFERROR(__xludf.DUMMYFUNCTION("""COMPUTED_VALUE"""),0.006)</f>
        <v>0.006</v>
      </c>
      <c r="E48" s="99" t="str">
        <f>IFERROR(__xludf.DUMMYFUNCTION("""COMPUTED_VALUE"""),"omission")</f>
        <v>omission</v>
      </c>
      <c r="F48" s="99" t="str">
        <f>IFERROR(__xludf.DUMMYFUNCTION("""COMPUTED_VALUE"""),"hallucination+omission")</f>
        <v>hallucination+omission</v>
      </c>
      <c r="G48" s="99"/>
      <c r="H48" s="99"/>
      <c r="I48" s="99" t="str">
        <f>IFERROR(__xludf.DUMMYFUNCTION("""COMPUTED_VALUE"""),"x")</f>
        <v>x</v>
      </c>
      <c r="J48" s="99"/>
      <c r="K48" s="99"/>
      <c r="L48" s="99"/>
      <c r="M48" s="99"/>
      <c r="N48" s="99"/>
      <c r="O48" s="99"/>
      <c r="P48" s="99" t="str">
        <f>IFERROR(__xludf.DUMMYFUNCTION("""COMPUTED_VALUE"""),"""reasonably liked""")</f>
        <v>"reasonably liked"</v>
      </c>
    </row>
    <row r="49">
      <c r="A49" s="99">
        <f>IFERROR(__xludf.DUMMYFUNCTION("""COMPUTED_VALUE"""),4.0)</f>
        <v>4</v>
      </c>
      <c r="B49" s="99" t="str">
        <f>IFERROR(__xludf.DUMMYFUNCTION("""COMPUTED_VALUE"""),"The Punter is a italian pub in the city centre near Rainbow Vegetarian Café. It has an average customer rating and a high price range. It is not children friendly.")</f>
        <v>The Punter is a italian pub in the city centre near Rainbow Vegetarian Café. It has an average customer rating and a high price range. It is not children friendly.</v>
      </c>
      <c r="C49" s="99" t="str">
        <f>IFERROR(__xludf.DUMMYFUNCTION("""COMPUTED_VALUE"""),"The Punter|eat_type|pub ++ The Punter|food|Italian ++ The Punter|price_range|high ++ The Punter|rating|average ++ The Punter|area|city centre ++ The Punter|family_friendly|no ++ The Punter|near|Rainbow Vegetarian Café")</f>
        <v>The Punter|eat_type|pub ++ The Punter|food|Italian ++ The Punter|price_range|high ++ The Punter|rating|average ++ The Punter|area|city centre ++ The Punter|family_friendly|no ++ The Punter|near|Rainbow Vegetarian Café</v>
      </c>
      <c r="D49" s="99">
        <f>IFERROR(__xludf.DUMMYFUNCTION("""COMPUTED_VALUE"""),0.972)</f>
        <v>0.972</v>
      </c>
      <c r="E49" s="99" t="str">
        <f>IFERROR(__xludf.DUMMYFUNCTION("""COMPUTED_VALUE"""),"hallucination")</f>
        <v>hallucination</v>
      </c>
      <c r="F49" s="99" t="str">
        <f>IFERROR(__xludf.DUMMYFUNCTION("""COMPUTED_VALUE"""),"OK")</f>
        <v>OK</v>
      </c>
      <c r="G49" s="99"/>
      <c r="H49" s="99" t="str">
        <f>IFERROR(__xludf.DUMMYFUNCTION("""COMPUTED_VALUE"""),"x")</f>
        <v>x</v>
      </c>
      <c r="I49" s="99"/>
      <c r="J49" s="99"/>
      <c r="K49" s="99"/>
      <c r="L49" s="99"/>
      <c r="M49" s="99"/>
      <c r="N49" s="99"/>
      <c r="O49" s="99" t="str">
        <f>IFERROR(__xludf.DUMMYFUNCTION("""COMPUTED_VALUE"""),"x")</f>
        <v>x</v>
      </c>
      <c r="P49" s="99"/>
    </row>
    <row r="50">
      <c r="A50" s="99">
        <f>IFERROR(__xludf.DUMMYFUNCTION("""COMPUTED_VALUE"""),62.0)</f>
        <v>62</v>
      </c>
      <c r="B50" s="99" t="str">
        <f>IFERROR(__xludf.DUMMYFUNCTION("""COMPUTED_VALUE"""),"The Mill, which is in the city centre area by Raja Indian Cuisine, is a cheap restaurant offering English cuisine. It is kid-friendly.")</f>
        <v>The Mill, which is in the city centre area by Raja Indian Cuisine, is a cheap restaurant offering English cuisine. It is kid-friendly.</v>
      </c>
      <c r="C50" s="99" t="str">
        <f>IFERROR(__xludf.DUMMYFUNCTION("""COMPUTED_VALUE"""),"The Mill|eat_type|restaurant ++ The Mill|food|English ++ The Mill|price_range|less than £20 ++ The Mill|area|city centre ++ The Mill|family_friendly|yes ++ The Mill|near|Raja Indian Cuisine")</f>
        <v>The Mill|eat_type|restaurant ++ The Mill|food|English ++ The Mill|price_range|less than £20 ++ The Mill|area|city centre ++ The Mill|family_friendly|yes ++ The Mill|near|Raja Indian Cuisine</v>
      </c>
      <c r="D50" s="99">
        <f>IFERROR(__xludf.DUMMYFUNCTION("""COMPUTED_VALUE"""),0.047)</f>
        <v>0.047</v>
      </c>
      <c r="E50" s="99" t="str">
        <f>IFERROR(__xludf.DUMMYFUNCTION("""COMPUTED_VALUE"""),"OK")</f>
        <v>OK</v>
      </c>
      <c r="F50" s="99" t="str">
        <f>IFERROR(__xludf.DUMMYFUNCTION("""COMPUTED_VALUE"""),"omission")</f>
        <v>omission</v>
      </c>
      <c r="G50" s="99" t="str">
        <f>IFERROR(__xludf.DUMMYFUNCTION("""COMPUTED_VALUE"""),"x")</f>
        <v>x</v>
      </c>
      <c r="H50" s="99"/>
      <c r="I50" s="99"/>
      <c r="J50" s="99"/>
      <c r="K50" s="99" t="str">
        <f>IFERROR(__xludf.DUMMYFUNCTION("""COMPUTED_VALUE"""),"x")</f>
        <v>x</v>
      </c>
      <c r="L50" s="99"/>
      <c r="M50" s="99"/>
      <c r="N50" s="99"/>
      <c r="O50" s="99"/>
      <c r="P50" s="99"/>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sheetData>
    <row r="1">
      <c r="A1" s="99" t="str">
        <f>'OD-E2E'!A2</f>
        <v/>
      </c>
      <c r="B1" s="99" t="str">
        <f>'OD-E2E'!B2</f>
        <v>sent</v>
      </c>
      <c r="C1" s="99" t="str">
        <f>'OD-E2E'!C2</f>
        <v>MRs</v>
      </c>
      <c r="D1" s="99" t="str">
        <f>'OD-E2E'!D2</f>
        <v>OK_conf</v>
      </c>
      <c r="E1" s="99" t="str">
        <f>'OD-E2E'!E2</f>
        <v>error_type</v>
      </c>
      <c r="F1" s="99" t="str">
        <f>'OD-E2E'!F2</f>
        <v/>
      </c>
      <c r="G1" s="99" t="str">
        <f>'OD-E2E'!G2</f>
        <v>who is correct</v>
      </c>
      <c r="H1" s="99" t="str">
        <f>'OD-E2E'!H2</f>
        <v/>
      </c>
      <c r="I1" s="99" t="str">
        <f>'OD-E2E'!I2</f>
        <v/>
      </c>
      <c r="J1" s="99" t="str">
        <f>'OD-E2E'!J2</f>
        <v>problem</v>
      </c>
      <c r="K1" s="99" t="str">
        <f>'OD-E2E'!K2</f>
        <v/>
      </c>
      <c r="L1" s="99" t="str">
        <f>'OD-E2E'!L2</f>
        <v/>
      </c>
      <c r="M1" s="99" t="str">
        <f>'OD-E2E'!M2</f>
        <v/>
      </c>
      <c r="N1" s="99" t="str">
        <f>'OD-E2E'!N2</f>
        <v/>
      </c>
      <c r="O1" s="99" t="str">
        <f>'OD-E2E'!O2</f>
        <v/>
      </c>
    </row>
    <row r="2">
      <c r="A2" s="99" t="str">
        <f>'OD-E2E'!A3</f>
        <v>#</v>
      </c>
      <c r="B2" s="99" t="str">
        <f>'OD-E2E'!B3</f>
        <v/>
      </c>
      <c r="C2" s="99" t="str">
        <f>'OD-E2E'!C3</f>
        <v/>
      </c>
      <c r="D2" s="99" t="str">
        <f>'OD-E2E'!D3</f>
        <v/>
      </c>
      <c r="E2" s="99" t="str">
        <f>'OD-E2E'!E3</f>
        <v>gold</v>
      </c>
      <c r="F2" s="99" t="str">
        <f>'OD-E2E'!F3</f>
        <v>NLI</v>
      </c>
      <c r="G2" s="99" t="str">
        <f>'OD-E2E'!G3</f>
        <v>gold</v>
      </c>
      <c r="H2" s="99" t="str">
        <f>'OD-E2E'!H3</f>
        <v>NLI</v>
      </c>
      <c r="I2" s="99" t="str">
        <f>'OD-E2E'!I3</f>
        <v>neither / cannot decide</v>
      </c>
      <c r="J2" s="99" t="str">
        <f>'OD-E2E'!J3</f>
        <v>eatType=restaurant</v>
      </c>
      <c r="K2" s="99" t="str">
        <f>'OD-E2E'!K3</f>
        <v>priceRange</v>
      </c>
      <c r="L2" s="99" t="str">
        <f>'OD-E2E'!L3</f>
        <v>familyFriendly</v>
      </c>
      <c r="M2" s="99" t="str">
        <f>'OD-E2E'!M3</f>
        <v>off-topic blabber</v>
      </c>
      <c r="N2" s="99" t="str">
        <f>'OD-E2E'!N3</f>
        <v>unjustified omission</v>
      </c>
      <c r="O2" s="99" t="str">
        <f>'OD-E2E'!O3</f>
        <v>unjustified hallucination</v>
      </c>
      <c r="P2" s="99" t="str">
        <f>'OD-E2E'!P3</f>
        <v>other</v>
      </c>
    </row>
    <row r="3">
      <c r="A3" s="99">
        <f>'retrieve E2E ZK random'!A5</f>
        <v>2</v>
      </c>
      <c r="B3" s="99" t="str">
        <f>'retrieve E2E ZK random'!B5</f>
        <v>The Phoenix, which offers fast food, is a mid-priced pub. It has a customer rating of 3 out of 5. It is in riverside near Café Sicilia. It is family-friendly.</v>
      </c>
      <c r="C3" s="99" t="str">
        <f>'retrieve E2E ZK random'!C5</f>
        <v>The Phoenix|eat_type|pub ++ The Phoenix|food|Fast food ++ The Phoenix|price_range|moderate ++ The Phoenix|rating|3 out of 5 ++ The Phoenix|area|riverside ++ The Phoenix|family_friendly|yes ++ The Phoenix|near|Café Sicilia</v>
      </c>
      <c r="D3" s="99">
        <f>'retrieve E2E ZK random'!D5</f>
        <v>0.985</v>
      </c>
      <c r="E3" s="99" t="str">
        <f>'retrieve E2E ZK random'!E5</f>
        <v>omission</v>
      </c>
      <c r="F3" s="99" t="str">
        <f>'retrieve E2E ZK random'!F5</f>
        <v>OK</v>
      </c>
      <c r="G3" s="99" t="str">
        <f>'retrieve E2E ZK random'!G5</f>
        <v/>
      </c>
      <c r="H3" s="99" t="str">
        <f>'retrieve E2E ZK random'!H5</f>
        <v>x</v>
      </c>
      <c r="I3" s="99" t="str">
        <f>'retrieve E2E ZK random'!I5</f>
        <v/>
      </c>
      <c r="J3" s="99" t="str">
        <f>'retrieve E2E ZK random'!J5</f>
        <v/>
      </c>
      <c r="K3" s="99" t="str">
        <f>'retrieve E2E ZK random'!K5</f>
        <v>x</v>
      </c>
      <c r="L3" s="99" t="str">
        <f>'retrieve E2E ZK random'!L5</f>
        <v/>
      </c>
      <c r="M3" s="99" t="str">
        <f>'retrieve E2E ZK random'!M5</f>
        <v/>
      </c>
      <c r="N3" s="99" t="str">
        <f>'retrieve E2E ZK random'!N5</f>
        <v/>
      </c>
      <c r="O3" s="99" t="str">
        <f>'retrieve E2E ZK random'!O5</f>
        <v/>
      </c>
      <c r="P3" s="99" t="str">
        <f>'retrieve E2E ZK random'!P5</f>
        <v/>
      </c>
    </row>
    <row r="4">
      <c r="A4" s="99">
        <f>'retrieve E2E OD random'!A31</f>
        <v>3</v>
      </c>
      <c r="B4" s="99" t="str">
        <f>'retrieve E2E OD random'!B31</f>
        <v>The Mill can be found near Café Sicilia . It is a cheap , family friendly pub with a five star rating and full service .</v>
      </c>
      <c r="C4" s="99" t="str">
        <f>'retrieve E2E OD random'!C31</f>
        <v>The Mill|eat_type|pub ++ The Mill|food|Fast food ++ The Mill|price_range|cheap ++ The Mill|rating|5 out of 5 ++ The Mill|area|riverside ++ The Mill|family_friendly|yes ++ The Mill|near|Café Sicilia</v>
      </c>
      <c r="D4" s="99">
        <f>'retrieve E2E OD random'!D31</f>
        <v>0.004</v>
      </c>
      <c r="E4" s="99" t="str">
        <f>'retrieve E2E OD random'!E31</f>
        <v>omission</v>
      </c>
      <c r="F4" s="99" t="str">
        <f>'retrieve E2E OD random'!F31</f>
        <v>hallucination+omission</v>
      </c>
      <c r="G4" s="99" t="str">
        <f>'retrieve E2E OD random'!G31</f>
        <v/>
      </c>
      <c r="H4" s="99" t="str">
        <f>'retrieve E2E OD random'!H31</f>
        <v>x</v>
      </c>
      <c r="I4" s="99" t="str">
        <f>'retrieve E2E OD random'!I31</f>
        <v/>
      </c>
      <c r="J4" s="99" t="str">
        <f>'retrieve E2E OD random'!J31</f>
        <v/>
      </c>
      <c r="K4" s="99" t="str">
        <f>'retrieve E2E OD random'!K31</f>
        <v/>
      </c>
      <c r="L4" s="99" t="str">
        <f>'retrieve E2E OD random'!L31</f>
        <v/>
      </c>
      <c r="M4" s="99" t="str">
        <f>'retrieve E2E OD random'!M31</f>
        <v>x</v>
      </c>
      <c r="N4" s="99" t="str">
        <f>'retrieve E2E OD random'!N31</f>
        <v/>
      </c>
      <c r="O4" s="99" t="str">
        <f>'retrieve E2E OD random'!O31</f>
        <v/>
      </c>
      <c r="P4" s="99" t="str">
        <f>'retrieve E2E OD random'!P31</f>
        <v/>
      </c>
    </row>
    <row r="5">
      <c r="A5" s="99">
        <f>'retrieve E2E ZK random'!A49</f>
        <v>4</v>
      </c>
      <c r="B5" s="99" t="str">
        <f>'retrieve E2E ZK random'!B49</f>
        <v>The Punter is a italian pub in the city centre near Rainbow Vegetarian Café. It has an average customer rating and a high price range. It is not children friendly.</v>
      </c>
      <c r="C5" s="99" t="str">
        <f>'retrieve E2E ZK random'!C49</f>
        <v>The Punter|eat_type|pub ++ The Punter|food|Italian ++ The Punter|price_range|high ++ The Punter|rating|average ++ The Punter|area|city centre ++ The Punter|family_friendly|no ++ The Punter|near|Rainbow Vegetarian Café</v>
      </c>
      <c r="D5" s="99">
        <f>'retrieve E2E ZK random'!D49</f>
        <v>0.972</v>
      </c>
      <c r="E5" s="99" t="str">
        <f>'retrieve E2E ZK random'!E49</f>
        <v>hallucination</v>
      </c>
      <c r="F5" s="99" t="str">
        <f>'retrieve E2E ZK random'!F49</f>
        <v>OK</v>
      </c>
      <c r="G5" s="99" t="str">
        <f>'retrieve E2E ZK random'!G49</f>
        <v/>
      </c>
      <c r="H5" s="99" t="str">
        <f>'retrieve E2E ZK random'!H49</f>
        <v>x</v>
      </c>
      <c r="I5" s="99" t="str">
        <f>'retrieve E2E ZK random'!I49</f>
        <v/>
      </c>
      <c r="J5" s="99" t="str">
        <f>'retrieve E2E ZK random'!J49</f>
        <v/>
      </c>
      <c r="K5" s="99" t="str">
        <f>'retrieve E2E ZK random'!K49</f>
        <v/>
      </c>
      <c r="L5" s="99" t="str">
        <f>'retrieve E2E ZK random'!L49</f>
        <v/>
      </c>
      <c r="M5" s="99" t="str">
        <f>'retrieve E2E ZK random'!M49</f>
        <v/>
      </c>
      <c r="N5" s="99" t="str">
        <f>'retrieve E2E ZK random'!N49</f>
        <v/>
      </c>
      <c r="O5" s="99" t="str">
        <f>'retrieve E2E ZK random'!O49</f>
        <v>x</v>
      </c>
      <c r="P5" s="99" t="str">
        <f>'retrieve E2E ZK random'!P49</f>
        <v/>
      </c>
    </row>
    <row r="6">
      <c r="A6" s="99">
        <f>'retrieve E2E ZK random'!A27</f>
        <v>5</v>
      </c>
      <c r="B6" s="99" t="str">
        <f>'retrieve E2E ZK random'!B27</f>
        <v>For a child-friendly, average-rated restaurant serving Italian, try The Punter, in the riverside area, near Rainbow Vegetarian Café.</v>
      </c>
      <c r="C6" s="99" t="str">
        <f>'retrieve E2E ZK random'!C27</f>
        <v>The Punter|eat_type|restaurant ++ The Punter|food|Italian ++ The Punter|price_range|cheap ++ The Punter|rating|average ++ The Punter|area|riverside ++ The Punter|family_friendly|yes ++ The Punter|near|Rainbow Vegetarian Café</v>
      </c>
      <c r="D6" s="99">
        <f>'retrieve E2E ZK random'!D27</f>
        <v>0.55</v>
      </c>
      <c r="E6" s="99" t="str">
        <f>'retrieve E2E ZK random'!E27</f>
        <v>omission</v>
      </c>
      <c r="F6" s="99" t="str">
        <f>'retrieve E2E ZK random'!F27</f>
        <v>OK</v>
      </c>
      <c r="G6" s="99" t="str">
        <f>'retrieve E2E ZK random'!G27</f>
        <v>x</v>
      </c>
      <c r="H6" s="99" t="str">
        <f>'retrieve E2E ZK random'!H27</f>
        <v/>
      </c>
      <c r="I6" s="99" t="str">
        <f>'retrieve E2E ZK random'!I27</f>
        <v/>
      </c>
      <c r="J6" s="99" t="str">
        <f>'retrieve E2E ZK random'!J27</f>
        <v/>
      </c>
      <c r="K6" s="99" t="str">
        <f>'retrieve E2E ZK random'!K27</f>
        <v>x</v>
      </c>
      <c r="L6" s="99" t="str">
        <f>'retrieve E2E ZK random'!L27</f>
        <v/>
      </c>
      <c r="M6" s="99" t="str">
        <f>'retrieve E2E ZK random'!M27</f>
        <v/>
      </c>
      <c r="N6" s="99" t="str">
        <f>'retrieve E2E ZK random'!N27</f>
        <v/>
      </c>
      <c r="O6" s="99" t="str">
        <f>'retrieve E2E ZK random'!O27</f>
        <v/>
      </c>
      <c r="P6" s="99" t="str">
        <f>'retrieve E2E ZK random'!P27</f>
        <v/>
      </c>
    </row>
    <row r="7">
      <c r="A7" s="99">
        <f>'retrieve E2E OD random'!A37</f>
        <v>6</v>
      </c>
      <c r="B7" s="99" t="str">
        <f>'retrieve E2E OD random'!B37</f>
        <v>The Mill is a high pub that serves fast food. It is not children-friendly and has a rating of 1 out of 5. It is located in the riverside area near Café Sicilia.</v>
      </c>
      <c r="C7" s="99" t="str">
        <f>'retrieve E2E OD random'!C37</f>
        <v>The Mill|eat_type|pub ++ The Mill|food|Fast food ++ The Mill|price_range|high ++ The Mill|rating|1 out of 5 ++ The Mill|area|riverside ++ The Mill|family_friendly|no ++ The Mill|near|Café Sicilia</v>
      </c>
      <c r="D7" s="99">
        <f>'retrieve E2E OD random'!D37</f>
        <v>0.913</v>
      </c>
      <c r="E7" s="99" t="str">
        <f>'retrieve E2E OD random'!E37</f>
        <v>omission</v>
      </c>
      <c r="F7" s="99" t="str">
        <f>'retrieve E2E OD random'!F37</f>
        <v>OK</v>
      </c>
      <c r="G7" s="99" t="str">
        <f>'retrieve E2E OD random'!G37</f>
        <v/>
      </c>
      <c r="H7" s="99" t="str">
        <f>'retrieve E2E OD random'!H37</f>
        <v/>
      </c>
      <c r="I7" s="99" t="str">
        <f>'retrieve E2E OD random'!I37</f>
        <v>x</v>
      </c>
      <c r="J7" s="99" t="str">
        <f>'retrieve E2E OD random'!J37</f>
        <v/>
      </c>
      <c r="K7" s="99" t="str">
        <f>'retrieve E2E OD random'!K37</f>
        <v/>
      </c>
      <c r="L7" s="99" t="str">
        <f>'retrieve E2E OD random'!L37</f>
        <v/>
      </c>
      <c r="M7" s="99" t="str">
        <f>'retrieve E2E OD random'!M37</f>
        <v/>
      </c>
      <c r="N7" s="99" t="str">
        <f>'retrieve E2E OD random'!N37</f>
        <v/>
      </c>
      <c r="O7" s="99" t="str">
        <f>'retrieve E2E OD random'!O37</f>
        <v/>
      </c>
      <c r="P7" s="99" t="str">
        <f>'retrieve E2E OD random'!P37</f>
        <v>edge case "high pub" (= high price range)</v>
      </c>
    </row>
    <row r="8">
      <c r="A8" s="99">
        <f>'retrieve E2E OD random'!A35</f>
        <v>7</v>
      </c>
      <c r="B8" s="99" t="str">
        <f>'retrieve E2E OD random'!B35</f>
        <v>The Punter, which has a low customer rating, is a low-priced restaurant offering Indian cuisine. It is in the riverside area by Express by Holiday Inn. It is not child-friendly.</v>
      </c>
      <c r="C8" s="99" t="str">
        <f>'retrieve E2E OD random'!C35</f>
        <v>The Punter|eat_type|restaurant ++ The Punter|food|Indian ++ The Punter|price_range|less than £20 ++ The Punter|rating|low ++ The Punter|area|riverside ++ The Punter|family_friendly|no ++ The Punter|near|Express by Holiday Inn</v>
      </c>
      <c r="D8" s="99">
        <f>'retrieve E2E OD random'!D35</f>
        <v>0.047</v>
      </c>
      <c r="E8" s="99" t="str">
        <f>'retrieve E2E OD random'!E35</f>
        <v>OK</v>
      </c>
      <c r="F8" s="99" t="str">
        <f>'retrieve E2E OD random'!F35</f>
        <v>omission</v>
      </c>
      <c r="G8" s="99" t="str">
        <f>'retrieve E2E OD random'!G35</f>
        <v>x</v>
      </c>
      <c r="H8" s="99" t="str">
        <f>'retrieve E2E OD random'!H35</f>
        <v/>
      </c>
      <c r="I8" s="99" t="str">
        <f>'retrieve E2E OD random'!I35</f>
        <v/>
      </c>
      <c r="J8" s="99" t="str">
        <f>'retrieve E2E OD random'!J35</f>
        <v/>
      </c>
      <c r="K8" s="99" t="str">
        <f>'retrieve E2E OD random'!K35</f>
        <v>x</v>
      </c>
      <c r="L8" s="99" t="str">
        <f>'retrieve E2E OD random'!L35</f>
        <v/>
      </c>
      <c r="M8" s="99" t="str">
        <f>'retrieve E2E OD random'!M35</f>
        <v/>
      </c>
      <c r="N8" s="99" t="str">
        <f>'retrieve E2E OD random'!N35</f>
        <v/>
      </c>
      <c r="O8" s="99" t="str">
        <f>'retrieve E2E OD random'!O35</f>
        <v/>
      </c>
      <c r="P8" s="99" t="str">
        <f>'retrieve E2E OD random'!P35</f>
        <v/>
      </c>
    </row>
    <row r="9">
      <c r="A9" s="99">
        <f>'retrieve E2E OD random'!A14</f>
        <v>8</v>
      </c>
      <c r="B9" s="99" t="str">
        <f>'retrieve E2E OD random'!B14</f>
        <v>The Mill, which has a low customer rating, is a low-priced restaurant offering English food. It is in city centre near Café Rouge. It is not family-friendly.</v>
      </c>
      <c r="C9" s="99" t="str">
        <f>'retrieve E2E OD random'!C14</f>
        <v>The Mill|eat_type|restaurant ++ The Mill|food|English ++ The Mill|price_range|less than £20 ++ The Mill|rating|low ++ The Mill|area|city centre ++ The Mill|family_friendly|no ++ The Mill|near|Café Rouge</v>
      </c>
      <c r="D9" s="99">
        <f>'retrieve E2E OD random'!D14</f>
        <v>0.033</v>
      </c>
      <c r="E9" s="99" t="str">
        <f>'retrieve E2E OD random'!E14</f>
        <v>OK</v>
      </c>
      <c r="F9" s="99" t="str">
        <f>'retrieve E2E OD random'!F14</f>
        <v>omission</v>
      </c>
      <c r="G9" s="99" t="str">
        <f>'retrieve E2E OD random'!G14</f>
        <v>x</v>
      </c>
      <c r="H9" s="99" t="str">
        <f>'retrieve E2E OD random'!H14</f>
        <v/>
      </c>
      <c r="I9" s="99" t="str">
        <f>'retrieve E2E OD random'!I14</f>
        <v/>
      </c>
      <c r="J9" s="99" t="str">
        <f>'retrieve E2E OD random'!J14</f>
        <v/>
      </c>
      <c r="K9" s="99" t="str">
        <f>'retrieve E2E OD random'!K14</f>
        <v>x</v>
      </c>
      <c r="L9" s="99" t="str">
        <f>'retrieve E2E OD random'!L14</f>
        <v/>
      </c>
      <c r="M9" s="99" t="str">
        <f>'retrieve E2E OD random'!M14</f>
        <v/>
      </c>
      <c r="N9" s="99" t="str">
        <f>'retrieve E2E OD random'!N14</f>
        <v/>
      </c>
      <c r="O9" s="99" t="str">
        <f>'retrieve E2E OD random'!O14</f>
        <v/>
      </c>
      <c r="P9" s="99" t="str">
        <f>'retrieve E2E OD random'!P14</f>
        <v/>
      </c>
    </row>
    <row r="10">
      <c r="A10" s="99">
        <f>'retrieve E2E OD random'!A47</f>
        <v>9</v>
      </c>
      <c r="B10" s="99" t="str">
        <f>'retrieve E2E OD random'!B47</f>
        <v>Giraffe is a French restaurant in the riverside near Raja Indian Cuisine, it is not family-friendly. It is a pub.</v>
      </c>
      <c r="C10" s="99" t="str">
        <f>'retrieve E2E OD random'!C47</f>
        <v>Giraffe|eat_type|pub ++ Giraffe|food|French ++ Giraffe|area|riverside ++ Giraffe|family_friendly|no ++ Giraffe|near|Raja Indian Cuisine</v>
      </c>
      <c r="D10" s="99">
        <f>'retrieve E2E OD random'!D47</f>
        <v>0.771</v>
      </c>
      <c r="E10" s="99" t="str">
        <f>'retrieve E2E OD random'!E47</f>
        <v>hallucination</v>
      </c>
      <c r="F10" s="99" t="str">
        <f>'retrieve E2E OD random'!F47</f>
        <v>OK</v>
      </c>
      <c r="G10" s="99" t="str">
        <f>'retrieve E2E OD random'!G47</f>
        <v/>
      </c>
      <c r="H10" s="99" t="str">
        <f>'retrieve E2E OD random'!H47</f>
        <v>x</v>
      </c>
      <c r="I10" s="99" t="str">
        <f>'retrieve E2E OD random'!I47</f>
        <v/>
      </c>
      <c r="J10" s="99" t="str">
        <f>'retrieve E2E OD random'!J47</f>
        <v>x</v>
      </c>
      <c r="K10" s="99" t="str">
        <f>'retrieve E2E OD random'!K47</f>
        <v/>
      </c>
      <c r="L10" s="99" t="str">
        <f>'retrieve E2E OD random'!L47</f>
        <v/>
      </c>
      <c r="M10" s="99" t="str">
        <f>'retrieve E2E OD random'!M47</f>
        <v/>
      </c>
      <c r="N10" s="99" t="str">
        <f>'retrieve E2E OD random'!N47</f>
        <v/>
      </c>
      <c r="O10" s="99" t="str">
        <f>'retrieve E2E OD random'!O47</f>
        <v/>
      </c>
      <c r="P10" s="99" t="str">
        <f>'retrieve E2E OD random'!P47</f>
        <v/>
      </c>
    </row>
    <row r="11">
      <c r="A11" s="99">
        <f>'retrieve E2E OD random'!A13</f>
        <v>10</v>
      </c>
      <c r="B11" s="99" t="str">
        <f>'retrieve E2E OD random'!B13</f>
        <v>The Cricketers, which has a low customer rating, is a cheap restaurant offering Chinese food. It is in riverside near All Bar One. It is not child-friendly.</v>
      </c>
      <c r="C11" s="99" t="str">
        <f>'retrieve E2E OD random'!C13</f>
        <v>The Cricketers|eat_type|restaurant ++ The Cricketers|food|Chinese ++ The Cricketers|price_range|less than £20 ++ The Cricketers|rating|low ++ The Cricketers|area|riverside ++ The Cricketers|family_friendly|no ++ The Cricketers|near|All Bar One</v>
      </c>
      <c r="D11" s="99">
        <f>'retrieve E2E OD random'!D13</f>
        <v>0.049</v>
      </c>
      <c r="E11" s="99" t="str">
        <f>'retrieve E2E OD random'!E13</f>
        <v>OK</v>
      </c>
      <c r="F11" s="99" t="str">
        <f>'retrieve E2E OD random'!F13</f>
        <v>omission</v>
      </c>
      <c r="G11" s="99" t="str">
        <f>'retrieve E2E OD random'!G13</f>
        <v>x</v>
      </c>
      <c r="H11" s="99" t="str">
        <f>'retrieve E2E OD random'!H13</f>
        <v/>
      </c>
      <c r="I11" s="99" t="str">
        <f>'retrieve E2E OD random'!I13</f>
        <v/>
      </c>
      <c r="J11" s="99" t="str">
        <f>'retrieve E2E OD random'!J13</f>
        <v/>
      </c>
      <c r="K11" s="99" t="str">
        <f>'retrieve E2E OD random'!K13</f>
        <v>x</v>
      </c>
      <c r="L11" s="99" t="str">
        <f>'retrieve E2E OD random'!L13</f>
        <v/>
      </c>
      <c r="M11" s="99" t="str">
        <f>'retrieve E2E OD random'!M13</f>
        <v/>
      </c>
      <c r="N11" s="99" t="str">
        <f>'retrieve E2E OD random'!N13</f>
        <v/>
      </c>
      <c r="O11" s="99" t="str">
        <f>'retrieve E2E OD random'!O13</f>
        <v/>
      </c>
      <c r="P11" s="99" t="str">
        <f>'retrieve E2E OD random'!P13</f>
        <v/>
      </c>
    </row>
    <row r="12">
      <c r="A12" s="99">
        <f>'retrieve E2E ZK random'!A18</f>
        <v>11</v>
      </c>
      <c r="B12" s="99" t="str">
        <f>'retrieve E2E ZK random'!B18</f>
        <v>The Phoenix is a restaurant that also serves Indian food. The price range is £20-£25 and rated a high by customers. The Phoenix is not a kid friendly place but if you would like to try it, it is located by the city centre area near Crowne Plaza Hotel.</v>
      </c>
      <c r="C12" s="99" t="str">
        <f>'retrieve E2E ZK random'!C18</f>
        <v>The Phoenix|eat_type|restaurant ++ The Phoenix|food|Indian ++ The Phoenix|price_range|£20-25 ++ The Phoenix|rating|high ++ The Phoenix|area|city centre ++ The Phoenix|family_friendly|no ++ The Phoenix|near|Crowne Plaza Hotel</v>
      </c>
      <c r="D12" s="99">
        <f>'retrieve E2E ZK random'!D18</f>
        <v>0.967</v>
      </c>
      <c r="E12" s="99" t="str">
        <f>'retrieve E2E ZK random'!E18</f>
        <v>omission</v>
      </c>
      <c r="F12" s="99" t="str">
        <f>'retrieve E2E ZK random'!F18</f>
        <v>OK</v>
      </c>
      <c r="G12" s="99" t="str">
        <f>'retrieve E2E ZK random'!G18</f>
        <v/>
      </c>
      <c r="H12" s="99" t="str">
        <f>'retrieve E2E ZK random'!H18</f>
        <v>x</v>
      </c>
      <c r="I12" s="99" t="str">
        <f>'retrieve E2E ZK random'!I18</f>
        <v/>
      </c>
      <c r="J12" s="99" t="str">
        <f>'retrieve E2E ZK random'!J18</f>
        <v/>
      </c>
      <c r="K12" s="99" t="str">
        <f>'retrieve E2E ZK random'!K18</f>
        <v/>
      </c>
      <c r="L12" s="99" t="str">
        <f>'retrieve E2E ZK random'!L18</f>
        <v/>
      </c>
      <c r="M12" s="99" t="str">
        <f>'retrieve E2E ZK random'!M18</f>
        <v/>
      </c>
      <c r="N12" s="99" t="str">
        <f>'retrieve E2E ZK random'!N18</f>
        <v>x</v>
      </c>
      <c r="O12" s="99" t="str">
        <f>'retrieve E2E ZK random'!O18</f>
        <v/>
      </c>
      <c r="P12" s="99" t="str">
        <f>'retrieve E2E ZK random'!P18</f>
        <v/>
      </c>
    </row>
    <row r="13">
      <c r="A13" s="99">
        <f>'retrieve E2E OD random'!A48</f>
        <v>12</v>
      </c>
      <c r="B13" s="99" t="str">
        <f>'retrieve E2E OD random'!B48</f>
        <v>Located near Café Sicilia in the city centre, The Mill is a Fast food pub with a high price range and an average customer rating and is not child friendly.</v>
      </c>
      <c r="C13" s="99" t="str">
        <f>'retrieve E2E OD random'!C48</f>
        <v>The Mill|eat_type|pub ++ The Mill|food|Fast food ++ The Mill|price_range|high ++ The Mill|rating|average ++ The Mill|area|city centre ++ The Mill|family_friendly|no ++ The Mill|near|Café Sicilia</v>
      </c>
      <c r="D13" s="99">
        <f>'retrieve E2E OD random'!D48</f>
        <v>0.973</v>
      </c>
      <c r="E13" s="99" t="str">
        <f>'retrieve E2E OD random'!E48</f>
        <v>hallucination</v>
      </c>
      <c r="F13" s="99" t="str">
        <f>'retrieve E2E OD random'!F48</f>
        <v>OK</v>
      </c>
      <c r="G13" s="99" t="str">
        <f>'retrieve E2E OD random'!G48</f>
        <v/>
      </c>
      <c r="H13" s="99" t="str">
        <f>'retrieve E2E OD random'!H48</f>
        <v>x</v>
      </c>
      <c r="I13" s="99" t="str">
        <f>'retrieve E2E OD random'!I48</f>
        <v/>
      </c>
      <c r="J13" s="99" t="str">
        <f>'retrieve E2E OD random'!J48</f>
        <v/>
      </c>
      <c r="K13" s="99" t="str">
        <f>'retrieve E2E OD random'!K48</f>
        <v/>
      </c>
      <c r="L13" s="99" t="str">
        <f>'retrieve E2E OD random'!L48</f>
        <v/>
      </c>
      <c r="M13" s="99" t="str">
        <f>'retrieve E2E OD random'!M48</f>
        <v/>
      </c>
      <c r="N13" s="99" t="str">
        <f>'retrieve E2E OD random'!N48</f>
        <v/>
      </c>
      <c r="O13" s="99" t="str">
        <f>'retrieve E2E OD random'!O48</f>
        <v>x</v>
      </c>
      <c r="P13" s="99" t="str">
        <f>'retrieve E2E OD random'!P48</f>
        <v/>
      </c>
    </row>
    <row r="14">
      <c r="A14" s="99">
        <f>'retrieve E2E ZK random'!A17</f>
        <v>13</v>
      </c>
      <c r="B14" s="99" t="str">
        <f>'retrieve E2E ZK random'!B17</f>
        <v>The Phoenix is a moderate priced pub that serves fast food . Kids are located in the city centre near Raja Indian Cuisine . Kids are home .</v>
      </c>
      <c r="C14" s="99" t="str">
        <f>'retrieve E2E ZK random'!C17</f>
        <v>The Phoenix|eat_type|pub ++ The Phoenix|food|Fast food ++ The Phoenix|price_range|moderate ++ The Phoenix|area|city centre ++ The Phoenix|family_friendly|yes ++ The Phoenix|near|Raja Indian Cuisine</v>
      </c>
      <c r="D14" s="99">
        <f>'retrieve E2E ZK random'!D17</f>
        <v>0.722</v>
      </c>
      <c r="E14" s="99" t="str">
        <f>'retrieve E2E ZK random'!E17</f>
        <v>omission</v>
      </c>
      <c r="F14" s="99" t="str">
        <f>'retrieve E2E ZK random'!F17</f>
        <v>OK</v>
      </c>
      <c r="G14" s="99" t="str">
        <f>'retrieve E2E ZK random'!G17</f>
        <v/>
      </c>
      <c r="H14" s="99" t="str">
        <f>'retrieve E2E ZK random'!H17</f>
        <v/>
      </c>
      <c r="I14" s="99" t="str">
        <f>'retrieve E2E ZK random'!I17</f>
        <v>x</v>
      </c>
      <c r="J14" s="99" t="str">
        <f>'retrieve E2E ZK random'!J17</f>
        <v/>
      </c>
      <c r="K14" s="99" t="str">
        <f>'retrieve E2E ZK random'!K17</f>
        <v/>
      </c>
      <c r="L14" s="99" t="str">
        <f>'retrieve E2E ZK random'!L17</f>
        <v>x</v>
      </c>
      <c r="M14" s="99" t="str">
        <f>'retrieve E2E ZK random'!M17</f>
        <v/>
      </c>
      <c r="N14" s="99" t="str">
        <f>'retrieve E2E ZK random'!N17</f>
        <v/>
      </c>
      <c r="O14" s="99" t="str">
        <f>'retrieve E2E ZK random'!O17</f>
        <v/>
      </c>
      <c r="P14" s="99" t="str">
        <f>'retrieve E2E ZK random'!P17</f>
        <v/>
      </c>
    </row>
    <row r="15">
      <c r="A15" s="99">
        <f>'retrieve E2E OD random'!A50</f>
        <v>14</v>
      </c>
      <c r="B15" s="99" t="str">
        <f>'retrieve E2E OD random'!B50</f>
        <v>The Mill is a family - friendly restaurant offering spaghetti and breakfast at prices . It is located near Raja Indian Cuisine .</v>
      </c>
      <c r="C15" s="99" t="str">
        <f>'retrieve E2E OD random'!C50</f>
        <v>The Mill|eat_type|restaurant ++ The Mill|food|English ++ The Mill|price_range|more than £30 ++ The Mill|area|riverside ++ The Mill|family_friendly|yes ++ The Mill|near|Raja Indian Cuisine</v>
      </c>
      <c r="D15" s="99">
        <f>'retrieve E2E OD random'!D50</f>
        <v>0.003</v>
      </c>
      <c r="E15" s="99" t="str">
        <f>'retrieve E2E OD random'!E50</f>
        <v>omission</v>
      </c>
      <c r="F15" s="99" t="str">
        <f>'retrieve E2E OD random'!F50</f>
        <v>hallucination+omission</v>
      </c>
      <c r="G15" s="99" t="str">
        <f>'retrieve E2E OD random'!G50</f>
        <v/>
      </c>
      <c r="H15" s="99" t="str">
        <f>'retrieve E2E OD random'!H50</f>
        <v>x</v>
      </c>
      <c r="I15" s="99" t="str">
        <f>'retrieve E2E OD random'!I50</f>
        <v/>
      </c>
      <c r="J15" s="99" t="str">
        <f>'retrieve E2E OD random'!J50</f>
        <v/>
      </c>
      <c r="K15" s="99" t="str">
        <f>'retrieve E2E OD random'!K50</f>
        <v/>
      </c>
      <c r="L15" s="99" t="str">
        <f>'retrieve E2E OD random'!L50</f>
        <v/>
      </c>
      <c r="M15" s="99" t="str">
        <f>'retrieve E2E OD random'!M50</f>
        <v>x</v>
      </c>
      <c r="N15" s="99" t="str">
        <f>'retrieve E2E OD random'!N50</f>
        <v/>
      </c>
      <c r="O15" s="99" t="str">
        <f>'retrieve E2E OD random'!O50</f>
        <v/>
      </c>
      <c r="P15" s="99" t="str">
        <f>'retrieve E2E OD random'!P50</f>
        <v/>
      </c>
    </row>
    <row r="16">
      <c r="A16" s="99">
        <f>'retrieve E2E OD random'!A15</f>
        <v>15</v>
      </c>
      <c r="B16" s="99" t="str">
        <f>'retrieve E2E OD random'!B15</f>
        <v>The Mill, which is in the riverside area by Raja Indian Cuisine, is a low-priced pub offering English cuisine. It is child-friendly.</v>
      </c>
      <c r="C16" s="99" t="str">
        <f>'retrieve E2E OD random'!C15</f>
        <v>The Mill|eat_type|pub ++ The Mill|food|English ++ The Mill|price_range|less than £20 ++ The Mill|area|riverside ++ The Mill|family_friendly|yes ++ The Mill|near|Raja Indian Cuisine</v>
      </c>
      <c r="D16" s="99">
        <f>'retrieve E2E OD random'!D15</f>
        <v>0.047</v>
      </c>
      <c r="E16" s="99" t="str">
        <f>'retrieve E2E OD random'!E15</f>
        <v>OK</v>
      </c>
      <c r="F16" s="99" t="str">
        <f>'retrieve E2E OD random'!F15</f>
        <v>omission</v>
      </c>
      <c r="G16" s="99" t="str">
        <f>'retrieve E2E OD random'!G15</f>
        <v>x</v>
      </c>
      <c r="H16" s="99" t="str">
        <f>'retrieve E2E OD random'!H15</f>
        <v/>
      </c>
      <c r="I16" s="99" t="str">
        <f>'retrieve E2E OD random'!I15</f>
        <v/>
      </c>
      <c r="J16" s="99" t="str">
        <f>'retrieve E2E OD random'!J15</f>
        <v/>
      </c>
      <c r="K16" s="99" t="str">
        <f>'retrieve E2E OD random'!K15</f>
        <v>x</v>
      </c>
      <c r="L16" s="99" t="str">
        <f>'retrieve E2E OD random'!L15</f>
        <v/>
      </c>
      <c r="M16" s="99" t="str">
        <f>'retrieve E2E OD random'!M15</f>
        <v/>
      </c>
      <c r="N16" s="99" t="str">
        <f>'retrieve E2E OD random'!N15</f>
        <v/>
      </c>
      <c r="O16" s="99" t="str">
        <f>'retrieve E2E OD random'!O15</f>
        <v/>
      </c>
      <c r="P16" s="99" t="str">
        <f>'retrieve E2E OD random'!P15</f>
        <v/>
      </c>
    </row>
    <row r="17">
      <c r="A17" s="99">
        <f>'retrieve E2E OD random'!A8</f>
        <v>16</v>
      </c>
      <c r="B17" s="99" t="str">
        <f>'retrieve E2E OD random'!B8</f>
        <v>For a child-friendly, average-rated restaurant serving English, try The Cricketers, in the riverside area, near Café Rouge.</v>
      </c>
      <c r="C17" s="99" t="str">
        <f>'retrieve E2E OD random'!C8</f>
        <v>The Cricketers|eat_type|restaurant ++ The Cricketers|food|English ++ The Cricketers|price_range|cheap ++ The Cricketers|rating|average ++ The Cricketers|area|riverside ++ The Cricketers|family_friendly|yes ++ The Cricketers|near|Café Rouge</v>
      </c>
      <c r="D17" s="99">
        <f>'retrieve E2E OD random'!D8</f>
        <v>0.742</v>
      </c>
      <c r="E17" s="99" t="str">
        <f>'retrieve E2E OD random'!E8</f>
        <v>omission</v>
      </c>
      <c r="F17" s="99" t="str">
        <f>'retrieve E2E OD random'!F8</f>
        <v>OK</v>
      </c>
      <c r="G17" s="99" t="str">
        <f>'retrieve E2E OD random'!G8</f>
        <v/>
      </c>
      <c r="H17" s="99" t="str">
        <f>'retrieve E2E OD random'!H8</f>
        <v>x</v>
      </c>
      <c r="I17" s="99" t="str">
        <f>'retrieve E2E OD random'!I8</f>
        <v/>
      </c>
      <c r="J17" s="99" t="str">
        <f>'retrieve E2E OD random'!J8</f>
        <v/>
      </c>
      <c r="K17" s="99" t="str">
        <f>'retrieve E2E OD random'!K8</f>
        <v/>
      </c>
      <c r="L17" s="99" t="str">
        <f>'retrieve E2E OD random'!L8</f>
        <v/>
      </c>
      <c r="M17" s="99" t="str">
        <f>'retrieve E2E OD random'!M8</f>
        <v/>
      </c>
      <c r="N17" s="99" t="str">
        <f>'retrieve E2E OD random'!N8</f>
        <v>x</v>
      </c>
      <c r="O17" s="99" t="str">
        <f>'retrieve E2E OD random'!O8</f>
        <v/>
      </c>
      <c r="P17" s="99" t="str">
        <f>'retrieve E2E OD random'!P8</f>
        <v/>
      </c>
    </row>
    <row r="18">
      <c r="A18" s="99">
        <f>'retrieve E2E OD random'!A49</f>
        <v>17</v>
      </c>
      <c r="B18" s="99" t="str">
        <f>'retrieve E2E OD random'!B49</f>
        <v>Less than £20 French food for all the family can be found at The Phoenix pub, near Crowne Plaza Hotel, in the city centre area. Average ratings.</v>
      </c>
      <c r="C18" s="99" t="str">
        <f>'retrieve E2E OD random'!C49</f>
        <v>The Phoenix|eat_type|pub ++ The Phoenix|food|French ++ The Phoenix|price_range|less than £20 ++ The Phoenix|rating|average ++ The Phoenix|area|city centre ++ The Phoenix|family_friendly|yes ++ The Phoenix|near|Crowne Plaza Hotel</v>
      </c>
      <c r="D18" s="99">
        <f>'retrieve E2E OD random'!D49</f>
        <v>0.682</v>
      </c>
      <c r="E18" s="99" t="str">
        <f>'retrieve E2E OD random'!E49</f>
        <v>omission</v>
      </c>
      <c r="F18" s="99" t="str">
        <f>'retrieve E2E OD random'!F49</f>
        <v>OK</v>
      </c>
      <c r="G18" s="99" t="str">
        <f>'retrieve E2E OD random'!G49</f>
        <v/>
      </c>
      <c r="H18" s="99" t="str">
        <f>'retrieve E2E OD random'!H49</f>
        <v>x</v>
      </c>
      <c r="I18" s="99" t="str">
        <f>'retrieve E2E OD random'!I49</f>
        <v/>
      </c>
      <c r="J18" s="99" t="str">
        <f>'retrieve E2E OD random'!J49</f>
        <v/>
      </c>
      <c r="K18" s="99" t="str">
        <f>'retrieve E2E OD random'!K49</f>
        <v/>
      </c>
      <c r="L18" s="99" t="str">
        <f>'retrieve E2E OD random'!L49</f>
        <v>x</v>
      </c>
      <c r="M18" s="99" t="str">
        <f>'retrieve E2E OD random'!M49</f>
        <v/>
      </c>
      <c r="N18" s="99" t="str">
        <f>'retrieve E2E OD random'!N49</f>
        <v/>
      </c>
      <c r="O18" s="99" t="str">
        <f>'retrieve E2E OD random'!O49</f>
        <v/>
      </c>
      <c r="P18" s="99" t="str">
        <f>'retrieve E2E OD random'!P49</f>
        <v/>
      </c>
    </row>
    <row r="19">
      <c r="A19" s="99">
        <f>'retrieve E2E OD random'!A22</f>
        <v>18</v>
      </c>
      <c r="B19" s="99" t="str">
        <f>'retrieve E2E OD random'!B22</f>
        <v>The Wrestlers is a child friendly japanese pub with a high price range and a customer rating of 5 out of 5. It is located near Raja Indian Cuisine in the riverside area.'</v>
      </c>
      <c r="C19" s="99" t="str">
        <f>'retrieve E2E OD random'!C22</f>
        <v>The Wrestlers|eat_type|pub ++ The Wrestlers|food|Japanese ++ The Wrestlers|price_range|more than £30 ++ The Wrestlers|rating|5 out of 5 ++ The Wrestlers|area|riverside ++ The Wrestlers|family_friendly|yes ++ The Wrestlers|near|Raja Indian Cuisine</v>
      </c>
      <c r="D19" s="99">
        <f>'retrieve E2E OD random'!D22</f>
        <v>0.022</v>
      </c>
      <c r="E19" s="99" t="str">
        <f>'retrieve E2E OD random'!E22</f>
        <v>OK</v>
      </c>
      <c r="F19" s="99" t="str">
        <f>'retrieve E2E OD random'!F22</f>
        <v>omission</v>
      </c>
      <c r="G19" s="99" t="str">
        <f>'retrieve E2E OD random'!G22</f>
        <v>x</v>
      </c>
      <c r="H19" s="99" t="str">
        <f>'retrieve E2E OD random'!H22</f>
        <v/>
      </c>
      <c r="I19" s="99" t="str">
        <f>'retrieve E2E OD random'!I22</f>
        <v/>
      </c>
      <c r="J19" s="99" t="str">
        <f>'retrieve E2E OD random'!J22</f>
        <v/>
      </c>
      <c r="K19" s="99" t="str">
        <f>'retrieve E2E OD random'!K22</f>
        <v>x</v>
      </c>
      <c r="L19" s="99" t="str">
        <f>'retrieve E2E OD random'!L22</f>
        <v/>
      </c>
      <c r="M19" s="99" t="str">
        <f>'retrieve E2E OD random'!M22</f>
        <v/>
      </c>
      <c r="N19" s="99" t="str">
        <f>'retrieve E2E OD random'!N22</f>
        <v/>
      </c>
      <c r="O19" s="99" t="str">
        <f>'retrieve E2E OD random'!O22</f>
        <v/>
      </c>
      <c r="P19" s="99" t="str">
        <f>'retrieve E2E OD random'!P22</f>
        <v/>
      </c>
    </row>
    <row r="20">
      <c r="A20" s="99">
        <f>'retrieve E2E ZK random'!A3</f>
        <v>19</v>
      </c>
      <c r="B20" s="99" t="str">
        <f>'retrieve E2E ZK random'!B3</f>
        <v>There is a restaurant, The Punter, serving English food along the city centre near Raja Indian Cuisine. It is not kids friendly and is highly priced.</v>
      </c>
      <c r="C20" s="99" t="str">
        <f>'retrieve E2E ZK random'!C3</f>
        <v>The Punter|eat_type|restaurant ++ The Punter|food|English ++ The Punter|price_range|high ++ The Punter|area|city centre ++ The Punter|family_friendly|no ++ The Punter|near|Raja Indian Cuisine</v>
      </c>
      <c r="D20" s="99">
        <f>'retrieve E2E ZK random'!D3</f>
        <v>0.977</v>
      </c>
      <c r="E20" s="99" t="str">
        <f>'retrieve E2E ZK random'!E3</f>
        <v>omission</v>
      </c>
      <c r="F20" s="99" t="str">
        <f>'retrieve E2E ZK random'!F3</f>
        <v>OK</v>
      </c>
      <c r="G20" s="99" t="str">
        <f>'retrieve E2E ZK random'!G3</f>
        <v/>
      </c>
      <c r="H20" s="99" t="str">
        <f>'retrieve E2E ZK random'!H3</f>
        <v>x</v>
      </c>
      <c r="I20" s="99" t="str">
        <f>'retrieve E2E ZK random'!I3</f>
        <v/>
      </c>
      <c r="J20" s="99" t="str">
        <f>'retrieve E2E ZK random'!J3</f>
        <v/>
      </c>
      <c r="K20" s="99" t="str">
        <f>'retrieve E2E ZK random'!K3</f>
        <v/>
      </c>
      <c r="L20" s="99" t="str">
        <f>'retrieve E2E ZK random'!L3</f>
        <v>x</v>
      </c>
      <c r="M20" s="99" t="str">
        <f>'retrieve E2E ZK random'!M3</f>
        <v/>
      </c>
      <c r="N20" s="99" t="str">
        <f>'retrieve E2E ZK random'!N3</f>
        <v/>
      </c>
      <c r="O20" s="99" t="str">
        <f>'retrieve E2E ZK random'!O3</f>
        <v/>
      </c>
      <c r="P20" s="99" t="str">
        <f>'retrieve E2E ZK random'!P3</f>
        <v/>
      </c>
    </row>
    <row r="21">
      <c r="A21" s="99">
        <f>'retrieve E2E OD random'!A21</f>
        <v>20</v>
      </c>
      <c r="B21" s="99" t="str">
        <f>'retrieve E2E OD random'!B21</f>
        <v>The Mill is a pub serving Fast food in the city centre near Café Sicilia . It has a high price range and an average customer rating . It is not children friendly .</v>
      </c>
      <c r="C21" s="99" t="str">
        <f>'retrieve E2E OD random'!C21</f>
        <v>The Mill|eat_type|pub ++ The Mill|food|Fast food ++ The Mill|price_range|high ++ The Mill|rating|average ++ The Mill|area|city centre ++ The Mill|family_friendly|no ++ The Mill|near|Café Sicilia</v>
      </c>
      <c r="D21" s="99">
        <f>'retrieve E2E OD random'!D21</f>
        <v>0.977</v>
      </c>
      <c r="E21" s="99" t="str">
        <f>'retrieve E2E OD random'!E21</f>
        <v>hallucination</v>
      </c>
      <c r="F21" s="99" t="str">
        <f>'retrieve E2E OD random'!F21</f>
        <v>OK</v>
      </c>
      <c r="G21" s="99" t="str">
        <f>'retrieve E2E OD random'!G21</f>
        <v/>
      </c>
      <c r="H21" s="99" t="str">
        <f>'retrieve E2E OD random'!H21</f>
        <v>x</v>
      </c>
      <c r="I21" s="99" t="str">
        <f>'retrieve E2E OD random'!I21</f>
        <v/>
      </c>
      <c r="J21" s="99" t="str">
        <f>'retrieve E2E OD random'!J21</f>
        <v/>
      </c>
      <c r="K21" s="99" t="str">
        <f>'retrieve E2E OD random'!K21</f>
        <v/>
      </c>
      <c r="L21" s="99" t="str">
        <f>'retrieve E2E OD random'!L21</f>
        <v/>
      </c>
      <c r="M21" s="99" t="str">
        <f>'retrieve E2E OD random'!M21</f>
        <v/>
      </c>
      <c r="N21" s="99" t="str">
        <f>'retrieve E2E OD random'!N21</f>
        <v/>
      </c>
      <c r="O21" s="99" t="str">
        <f>'retrieve E2E OD random'!O21</f>
        <v>x</v>
      </c>
      <c r="P21" s="99" t="str">
        <f>'retrieve E2E OD random'!P21</f>
        <v/>
      </c>
    </row>
    <row r="22">
      <c r="A22" s="99">
        <f>'retrieve E2E OD random'!A26</f>
        <v>21</v>
      </c>
      <c r="B22" s="99" t="str">
        <f>'retrieve E2E OD random'!B26</f>
        <v>The Mill is a pub that serves Fast food. It is located near Café Rouge in the city centre. It is not kid friendly. The price range is £20-£25 and the customer rating is high.</v>
      </c>
      <c r="C22" s="99" t="str">
        <f>'retrieve E2E OD random'!C26</f>
        <v>The Mill|eat_type|pub ++ The Mill|food|Fast food ++ The Mill|price_range|£20-25 ++ The Mill|rating|high ++ The Mill|area|city centre ++ The Mill|family_friendly|no ++ The Mill|near|Café Rouge</v>
      </c>
      <c r="D22" s="99">
        <f>'retrieve E2E OD random'!D26</f>
        <v>0.984</v>
      </c>
      <c r="E22" s="99" t="str">
        <f>'retrieve E2E OD random'!E26</f>
        <v>omission</v>
      </c>
      <c r="F22" s="99" t="str">
        <f>'retrieve E2E OD random'!F26</f>
        <v>OK</v>
      </c>
      <c r="G22" s="99" t="str">
        <f>'retrieve E2E OD random'!G26</f>
        <v/>
      </c>
      <c r="H22" s="99" t="str">
        <f>'retrieve E2E OD random'!H26</f>
        <v>x</v>
      </c>
      <c r="I22" s="99" t="str">
        <f>'retrieve E2E OD random'!I26</f>
        <v/>
      </c>
      <c r="J22" s="99" t="str">
        <f>'retrieve E2E OD random'!J26</f>
        <v/>
      </c>
      <c r="K22" s="99" t="str">
        <f>'retrieve E2E OD random'!K26</f>
        <v/>
      </c>
      <c r="L22" s="99" t="str">
        <f>'retrieve E2E OD random'!L26</f>
        <v/>
      </c>
      <c r="M22" s="99" t="str">
        <f>'retrieve E2E OD random'!M26</f>
        <v/>
      </c>
      <c r="N22" s="99" t="str">
        <f>'retrieve E2E OD random'!N26</f>
        <v>x</v>
      </c>
      <c r="O22" s="99" t="str">
        <f>'retrieve E2E OD random'!O26</f>
        <v/>
      </c>
      <c r="P22" s="99" t="str">
        <f>'retrieve E2E OD random'!P26</f>
        <v/>
      </c>
    </row>
    <row r="23">
      <c r="A23" s="99">
        <f>'retrieve E2E OD random'!A40</f>
        <v>22</v>
      </c>
      <c r="B23" s="99" t="str">
        <f>'retrieve E2E OD random'!B40</f>
        <v>Clowns is a pub located a few steps of The Sorrento.</v>
      </c>
      <c r="C23" s="99" t="str">
        <f>'retrieve E2E OD random'!C40</f>
        <v>Clowns|eat_type|pub ++ Clowns|near|The Sorrento</v>
      </c>
      <c r="D23" s="99">
        <f>'retrieve E2E OD random'!D40</f>
        <v>0.005</v>
      </c>
      <c r="E23" s="99" t="str">
        <f>'retrieve E2E OD random'!E40</f>
        <v>OK</v>
      </c>
      <c r="F23" s="99" t="str">
        <f>'retrieve E2E OD random'!F40</f>
        <v>hallucination</v>
      </c>
      <c r="G23" s="99" t="str">
        <f>'retrieve E2E OD random'!G40</f>
        <v>x</v>
      </c>
      <c r="H23" s="99" t="str">
        <f>'retrieve E2E OD random'!H40</f>
        <v/>
      </c>
      <c r="I23" s="99" t="str">
        <f>'retrieve E2E OD random'!I40</f>
        <v/>
      </c>
      <c r="J23" s="99" t="str">
        <f>'retrieve E2E OD random'!J40</f>
        <v/>
      </c>
      <c r="K23" s="99" t="str">
        <f>'retrieve E2E OD random'!K40</f>
        <v/>
      </c>
      <c r="L23" s="99" t="str">
        <f>'retrieve E2E OD random'!L40</f>
        <v/>
      </c>
      <c r="M23" s="99" t="str">
        <f>'retrieve E2E OD random'!M40</f>
        <v/>
      </c>
      <c r="N23" s="99" t="str">
        <f>'retrieve E2E OD random'!N40</f>
        <v/>
      </c>
      <c r="O23" s="99" t="str">
        <f>'retrieve E2E OD random'!O40</f>
        <v>x</v>
      </c>
      <c r="P23" s="99" t="str">
        <f>'retrieve E2E OD random'!P40</f>
        <v>"a few steps" not identified as equal to "near" by SED</v>
      </c>
    </row>
    <row r="24">
      <c r="A24" s="99">
        <f>'retrieve E2E ZK random'!A28</f>
        <v>23</v>
      </c>
      <c r="B24" s="99" t="str">
        <f>'retrieve E2E ZK random'!B28</f>
        <v>The Mill is a pub that serves Fast food and is children friendly. It is in the high price range and has an average customer rating. It is located in the riverside area near Café Sicilia.</v>
      </c>
      <c r="C24" s="99" t="str">
        <f>'retrieve E2E ZK random'!C28</f>
        <v>The Mill|eat_type|pub ++ The Mill|food|Fast food ++ The Mill|price_range|high ++ The Mill|rating|average ++ The Mill|area|riverside ++ The Mill|family_friendly|yes ++ The Mill|near|Café Sicilia</v>
      </c>
      <c r="D24" s="99">
        <f>'retrieve E2E ZK random'!D28</f>
        <v>0.949</v>
      </c>
      <c r="E24" s="99" t="str">
        <f>'retrieve E2E ZK random'!E28</f>
        <v>hallucination</v>
      </c>
      <c r="F24" s="99" t="str">
        <f>'retrieve E2E ZK random'!F28</f>
        <v>OK</v>
      </c>
      <c r="G24" s="99" t="str">
        <f>'retrieve E2E ZK random'!G28</f>
        <v/>
      </c>
      <c r="H24" s="99" t="str">
        <f>'retrieve E2E ZK random'!H28</f>
        <v>x</v>
      </c>
      <c r="I24" s="99" t="str">
        <f>'retrieve E2E ZK random'!I28</f>
        <v/>
      </c>
      <c r="J24" s="99" t="str">
        <f>'retrieve E2E ZK random'!J28</f>
        <v/>
      </c>
      <c r="K24" s="99" t="str">
        <f>'retrieve E2E ZK random'!K28</f>
        <v/>
      </c>
      <c r="L24" s="99" t="str">
        <f>'retrieve E2E ZK random'!L28</f>
        <v>x</v>
      </c>
      <c r="M24" s="99" t="str">
        <f>'retrieve E2E ZK random'!M28</f>
        <v/>
      </c>
      <c r="N24" s="99" t="str">
        <f>'retrieve E2E ZK random'!N28</f>
        <v/>
      </c>
      <c r="O24" s="99" t="str">
        <f>'retrieve E2E ZK random'!O28</f>
        <v/>
      </c>
      <c r="P24" s="99" t="str">
        <f>'retrieve E2E ZK random'!P28</f>
        <v/>
      </c>
    </row>
    <row r="25">
      <c r="A25" s="99">
        <f>'retrieve E2E ZK random'!A25</f>
        <v>24</v>
      </c>
      <c r="B25" s="99" t="str">
        <f>'retrieve E2E ZK random'!B25</f>
        <v>In the city centre near Café Sicilia there is a cheap Fast food restaurant called The Mill. It has a customer rating of 5 out of 5 and is not family-friendly.</v>
      </c>
      <c r="C25" s="99" t="str">
        <f>'retrieve E2E ZK random'!C25</f>
        <v>The Mill|eat_type|pub ++ The Mill|food|Fast food ++ The Mill|price_range|cheap ++ The Mill|rating|5 out of 5 ++ The Mill|area|city centre ++ The Mill|family_friendly|no ++ The Mill|near|Café Sicilia</v>
      </c>
      <c r="D25" s="99">
        <f>'retrieve E2E ZK random'!D25</f>
        <v>0.002</v>
      </c>
      <c r="E25" s="99" t="str">
        <f>'retrieve E2E ZK random'!E25</f>
        <v>OK</v>
      </c>
      <c r="F25" s="99" t="str">
        <f>'retrieve E2E ZK random'!F25</f>
        <v>omission</v>
      </c>
      <c r="G25" s="99" t="str">
        <f>'retrieve E2E ZK random'!G25</f>
        <v/>
      </c>
      <c r="H25" s="99" t="str">
        <f>'retrieve E2E ZK random'!H25</f>
        <v>x</v>
      </c>
      <c r="I25" s="99" t="str">
        <f>'retrieve E2E ZK random'!I25</f>
        <v/>
      </c>
      <c r="J25" s="99" t="str">
        <f>'retrieve E2E ZK random'!J25</f>
        <v>x</v>
      </c>
      <c r="K25" s="99" t="str">
        <f>'retrieve E2E ZK random'!K25</f>
        <v/>
      </c>
      <c r="L25" s="99" t="str">
        <f>'retrieve E2E ZK random'!L25</f>
        <v/>
      </c>
      <c r="M25" s="99" t="str">
        <f>'retrieve E2E ZK random'!M25</f>
        <v/>
      </c>
      <c r="N25" s="99" t="str">
        <f>'retrieve E2E ZK random'!N25</f>
        <v/>
      </c>
      <c r="O25" s="99" t="str">
        <f>'retrieve E2E ZK random'!O25</f>
        <v/>
      </c>
      <c r="P25" s="99" t="str">
        <f>'retrieve E2E ZK random'!P25</f>
        <v/>
      </c>
    </row>
    <row r="26">
      <c r="A26" s="99">
        <f>'retrieve E2E OD random'!A4</f>
        <v>25</v>
      </c>
      <c r="B26" s="99" t="str">
        <f>'retrieve E2E OD random'!B4</f>
        <v>The Cricketers is a high restaurant that serves English food. Yes it is kids-friendly. It has an average customer rating and is located in the city centre area near Café Rouge.</v>
      </c>
      <c r="C26" s="99" t="str">
        <f>'retrieve E2E OD random'!C4</f>
        <v>The Cricketers|eat_type|restaurant ++ The Cricketers|food|English ++ The Cricketers|price_range|high ++ The Cricketers|rating|average ++ The Cricketers|area|city centre ++ The Cricketers|family_friendly|yes ++ The Cricketers|near|Café Rouge</v>
      </c>
      <c r="D26" s="99">
        <f>'retrieve E2E OD random'!D4</f>
        <v>0.887</v>
      </c>
      <c r="E26" s="99" t="str">
        <f>'retrieve E2E OD random'!E4</f>
        <v>omission</v>
      </c>
      <c r="F26" s="99" t="str">
        <f>'retrieve E2E OD random'!F4</f>
        <v>OK</v>
      </c>
      <c r="G26" s="99" t="str">
        <f>'retrieve E2E OD random'!G4</f>
        <v/>
      </c>
      <c r="H26" s="99" t="str">
        <f>'retrieve E2E OD random'!H4</f>
        <v/>
      </c>
      <c r="I26" s="99" t="str">
        <f>'retrieve E2E OD random'!I4</f>
        <v>x</v>
      </c>
      <c r="J26" s="99" t="str">
        <f>'retrieve E2E OD random'!J4</f>
        <v/>
      </c>
      <c r="K26" s="99" t="str">
        <f>'retrieve E2E OD random'!K4</f>
        <v/>
      </c>
      <c r="L26" s="99" t="str">
        <f>'retrieve E2E OD random'!L4</f>
        <v/>
      </c>
      <c r="M26" s="99" t="str">
        <f>'retrieve E2E OD random'!M4</f>
        <v/>
      </c>
      <c r="N26" s="99" t="str">
        <f>'retrieve E2E OD random'!N4</f>
        <v/>
      </c>
      <c r="O26" s="99" t="str">
        <f>'retrieve E2E OD random'!O4</f>
        <v/>
      </c>
      <c r="P26" s="99" t="str">
        <f>'retrieve E2E OD random'!P4</f>
        <v>edge case: "high restaurant" (as in price range=high)</v>
      </c>
    </row>
    <row r="27">
      <c r="A27" s="99">
        <f>'retrieve E2E OD random'!A33</f>
        <v>27</v>
      </c>
      <c r="B27" s="99" t="str">
        <f>'retrieve E2E OD random'!B33</f>
        <v>The Phoenix restaurant serves Fast food food and is near the riverside and the Raja Indian Cuisine. It is not family-friendly and is priced in the moderate pound range.</v>
      </c>
      <c r="C27" s="99" t="str">
        <f>'retrieve E2E OD random'!C33</f>
        <v>The Phoenix|eat_type|restaurant ++ The Phoenix|food|Fast food ++ The Phoenix|price_range|moderate ++ The Phoenix|area|riverside ++ The Phoenix|family_friendly|no ++ The Phoenix|near|Raja Indian Cuisine</v>
      </c>
      <c r="D27" s="99">
        <f>'retrieve E2E OD random'!D33</f>
        <v>0.717</v>
      </c>
      <c r="E27" s="99" t="str">
        <f>'retrieve E2E OD random'!E33</f>
        <v>omission</v>
      </c>
      <c r="F27" s="99" t="str">
        <f>'retrieve E2E OD random'!F33</f>
        <v>OK</v>
      </c>
      <c r="G27" s="99" t="str">
        <f>'retrieve E2E OD random'!G33</f>
        <v/>
      </c>
      <c r="H27" s="99" t="str">
        <f>'retrieve E2E OD random'!H33</f>
        <v>x</v>
      </c>
      <c r="I27" s="99" t="str">
        <f>'retrieve E2E OD random'!I33</f>
        <v/>
      </c>
      <c r="J27" s="99" t="str">
        <f>'retrieve E2E OD random'!J33</f>
        <v/>
      </c>
      <c r="K27" s="99" t="str">
        <f>'retrieve E2E OD random'!K33</f>
        <v>x</v>
      </c>
      <c r="L27" s="99" t="str">
        <f>'retrieve E2E OD random'!L33</f>
        <v/>
      </c>
      <c r="M27" s="99" t="str">
        <f>'retrieve E2E OD random'!M33</f>
        <v/>
      </c>
      <c r="N27" s="99" t="str">
        <f>'retrieve E2E OD random'!N33</f>
        <v/>
      </c>
      <c r="O27" s="99" t="str">
        <f>'retrieve E2E OD random'!O33</f>
        <v/>
      </c>
      <c r="P27" s="99" t="str">
        <f>'retrieve E2E OD random'!P33</f>
        <v>disfluent text</v>
      </c>
    </row>
    <row r="28">
      <c r="A28" s="99">
        <f>'retrieve E2E ZK random'!A7</f>
        <v>28</v>
      </c>
      <c r="B28" s="99" t="str">
        <f>'retrieve E2E ZK random'!B7</f>
        <v>The Vaults is a italian pub in the city centre near Rainbow Vegetarian Café. It is children friendly and has a high price range and an average customer rating.</v>
      </c>
      <c r="C28" s="99" t="str">
        <f>'retrieve E2E ZK random'!C7</f>
        <v>The Vaults|eat_type|pub ++ The Vaults|food|Italian ++ The Vaults|price_range|high ++ The Vaults|rating|average ++ The Vaults|area|city centre ++ The Vaults|family_friendly|yes ++ The Vaults|near|Rainbow Vegetarian Café</v>
      </c>
      <c r="D28" s="99">
        <f>'retrieve E2E ZK random'!D7</f>
        <v>0.976</v>
      </c>
      <c r="E28" s="99" t="str">
        <f>'retrieve E2E ZK random'!E7</f>
        <v>hallucination</v>
      </c>
      <c r="F28" s="99" t="str">
        <f>'retrieve E2E ZK random'!F7</f>
        <v>OK</v>
      </c>
      <c r="G28" s="99" t="str">
        <f>'retrieve E2E ZK random'!G7</f>
        <v/>
      </c>
      <c r="H28" s="99" t="str">
        <f>'retrieve E2E ZK random'!H7</f>
        <v>x</v>
      </c>
      <c r="I28" s="99" t="str">
        <f>'retrieve E2E ZK random'!I7</f>
        <v/>
      </c>
      <c r="J28" s="99" t="str">
        <f>'retrieve E2E ZK random'!J7</f>
        <v/>
      </c>
      <c r="K28" s="99" t="str">
        <f>'retrieve E2E ZK random'!K7</f>
        <v/>
      </c>
      <c r="L28" s="99" t="str">
        <f>'retrieve E2E ZK random'!L7</f>
        <v/>
      </c>
      <c r="M28" s="99" t="str">
        <f>'retrieve E2E ZK random'!M7</f>
        <v/>
      </c>
      <c r="N28" s="99" t="str">
        <f>'retrieve E2E ZK random'!N7</f>
        <v/>
      </c>
      <c r="O28" s="99" t="str">
        <f>'retrieve E2E ZK random'!O7</f>
        <v>x</v>
      </c>
      <c r="P28" s="99" t="str">
        <f>'retrieve E2E ZK random'!P7</f>
        <v/>
      </c>
    </row>
    <row r="29">
      <c r="A29" s="99">
        <f>'retrieve E2E ZK random'!A48</f>
        <v>29</v>
      </c>
      <c r="B29" s="99" t="str">
        <f>'retrieve E2E ZK random'!B48</f>
        <v>Giraffe is a beautiful restaurant close to the Rainbow Vegetarian Café . It is reasonably liked place serves English food and is children friendly .</v>
      </c>
      <c r="C29" s="99" t="str">
        <f>'retrieve E2E ZK random'!C48</f>
        <v>Giraffe|eat_type|restaurant ++ Giraffe|food|English ++ Giraffe|area|riverside ++ Giraffe|family_friendly|yes ++ Giraffe|near|Rainbow Vegetarian Café</v>
      </c>
      <c r="D29" s="99">
        <f>'retrieve E2E ZK random'!D48</f>
        <v>0.006</v>
      </c>
      <c r="E29" s="99" t="str">
        <f>'retrieve E2E ZK random'!E48</f>
        <v>omission</v>
      </c>
      <c r="F29" s="99" t="str">
        <f>'retrieve E2E ZK random'!F48</f>
        <v>hallucination+omission</v>
      </c>
      <c r="G29" s="99" t="str">
        <f>'retrieve E2E ZK random'!G48</f>
        <v/>
      </c>
      <c r="H29" s="99" t="str">
        <f>'retrieve E2E ZK random'!H48</f>
        <v/>
      </c>
      <c r="I29" s="99" t="str">
        <f>'retrieve E2E ZK random'!I48</f>
        <v>x</v>
      </c>
      <c r="J29" s="99" t="str">
        <f>'retrieve E2E ZK random'!J48</f>
        <v/>
      </c>
      <c r="K29" s="99" t="str">
        <f>'retrieve E2E ZK random'!K48</f>
        <v/>
      </c>
      <c r="L29" s="99" t="str">
        <f>'retrieve E2E ZK random'!L48</f>
        <v/>
      </c>
      <c r="M29" s="99" t="str">
        <f>'retrieve E2E ZK random'!M48</f>
        <v/>
      </c>
      <c r="N29" s="99" t="str">
        <f>'retrieve E2E ZK random'!N48</f>
        <v/>
      </c>
      <c r="O29" s="99" t="str">
        <f>'retrieve E2E ZK random'!O48</f>
        <v/>
      </c>
      <c r="P29" s="99" t="str">
        <f>'retrieve E2E ZK random'!P48</f>
        <v>"reasonably liked"</v>
      </c>
    </row>
    <row r="30">
      <c r="A30" s="99">
        <f>'retrieve E2E ZK random'!A6</f>
        <v>30</v>
      </c>
      <c r="B30" s="99" t="str">
        <f>'retrieve E2E ZK random'!B6</f>
        <v>The Vaults, which has an average customer rating, is a cheap pub that serves Japanese cuisine. It is located in the city centre area and can be found near Raja Indian Cuisine. Children are welcome.</v>
      </c>
      <c r="C30" s="99" t="str">
        <f>'retrieve E2E ZK random'!C6</f>
        <v>The Vaults|eat_type|pub ++ The Vaults|food|Japanese ++ The Vaults|price_range|less than £20 ++ The Vaults|rating|average ++ The Vaults|area|city centre ++ The Vaults|family_friendly|yes ++ The Vaults|near|Raja Indian Cuisine</v>
      </c>
      <c r="D30" s="99">
        <f>'retrieve E2E ZK random'!D6</f>
        <v>0.122</v>
      </c>
      <c r="E30" s="99" t="str">
        <f>'retrieve E2E ZK random'!E6</f>
        <v>OK</v>
      </c>
      <c r="F30" s="99" t="str">
        <f>'retrieve E2E ZK random'!F6</f>
        <v>omission</v>
      </c>
      <c r="G30" s="99" t="str">
        <f>'retrieve E2E ZK random'!G6</f>
        <v>x</v>
      </c>
      <c r="H30" s="99" t="str">
        <f>'retrieve E2E ZK random'!H6</f>
        <v/>
      </c>
      <c r="I30" s="99" t="str">
        <f>'retrieve E2E ZK random'!I6</f>
        <v/>
      </c>
      <c r="J30" s="99" t="str">
        <f>'retrieve E2E ZK random'!J6</f>
        <v/>
      </c>
      <c r="K30" s="99" t="str">
        <f>'retrieve E2E ZK random'!K6</f>
        <v>x</v>
      </c>
      <c r="L30" s="99" t="str">
        <f>'retrieve E2E ZK random'!L6</f>
        <v/>
      </c>
      <c r="M30" s="99" t="str">
        <f>'retrieve E2E ZK random'!M6</f>
        <v/>
      </c>
      <c r="N30" s="99" t="str">
        <f>'retrieve E2E ZK random'!N6</f>
        <v/>
      </c>
      <c r="O30" s="99" t="str">
        <f>'retrieve E2E ZK random'!O6</f>
        <v/>
      </c>
      <c r="P30" s="99" t="str">
        <f>'retrieve E2E ZK random'!P6</f>
        <v/>
      </c>
    </row>
    <row r="31">
      <c r="A31" s="99">
        <f>'retrieve E2E OD random'!A23</f>
        <v>31</v>
      </c>
      <c r="B31" s="99" t="str">
        <f>'retrieve E2E OD random'!B23</f>
        <v>Located near Café Sicilia in the city centre, The Mill is a child friendly Fast food pub with a high price range and average customer rating.</v>
      </c>
      <c r="C31" s="99" t="str">
        <f>'retrieve E2E OD random'!C23</f>
        <v>The Mill|eat_type|pub ++ The Mill|food|Fast food ++ The Mill|price_range|high ++ The Mill|rating|average ++ The Mill|area|city centre ++ The Mill|family_friendly|yes ++ The Mill|near|Café Sicilia</v>
      </c>
      <c r="D31" s="99">
        <f>'retrieve E2E OD random'!D23</f>
        <v>0.971</v>
      </c>
      <c r="E31" s="99" t="str">
        <f>'retrieve E2E OD random'!E23</f>
        <v>hallucination</v>
      </c>
      <c r="F31" s="99" t="str">
        <f>'retrieve E2E OD random'!F23</f>
        <v>OK</v>
      </c>
      <c r="G31" s="99" t="str">
        <f>'retrieve E2E OD random'!G23</f>
        <v/>
      </c>
      <c r="H31" s="99" t="str">
        <f>'retrieve E2E OD random'!H23</f>
        <v>x</v>
      </c>
      <c r="I31" s="99" t="str">
        <f>'retrieve E2E OD random'!I23</f>
        <v/>
      </c>
      <c r="J31" s="99" t="str">
        <f>'retrieve E2E OD random'!J23</f>
        <v/>
      </c>
      <c r="K31" s="99" t="str">
        <f>'retrieve E2E OD random'!K23</f>
        <v/>
      </c>
      <c r="L31" s="99" t="str">
        <f>'retrieve E2E OD random'!L23</f>
        <v/>
      </c>
      <c r="M31" s="99" t="str">
        <f>'retrieve E2E OD random'!M23</f>
        <v/>
      </c>
      <c r="N31" s="99" t="str">
        <f>'retrieve E2E OD random'!N23</f>
        <v/>
      </c>
      <c r="O31" s="99" t="str">
        <f>'retrieve E2E OD random'!O23</f>
        <v>x</v>
      </c>
      <c r="P31" s="99" t="str">
        <f>'retrieve E2E OD random'!P23</f>
        <v/>
      </c>
    </row>
    <row r="32">
      <c r="A32" s="99">
        <f>'retrieve E2E ZK random'!A21</f>
        <v>33</v>
      </c>
      <c r="B32" s="99" t="str">
        <f>'retrieve E2E ZK random'!B21</f>
        <v>The Vaults, which has a high customer rating, is a high-priced pub offering Italian food. It is in riverside near Rainbow Vegetarian Café. It is family-friendly.</v>
      </c>
      <c r="C32" s="99" t="str">
        <f>'retrieve E2E ZK random'!C21</f>
        <v>The Vaults|eat_type|pub ++ The Vaults|food|Italian ++ The Vaults|price_range|more than £30 ++ The Vaults|rating|high ++ The Vaults|area|riverside ++ The Vaults|family_friendly|yes ++ The Vaults|near|Rainbow Vegetarian Café</v>
      </c>
      <c r="D32" s="99">
        <f>'retrieve E2E ZK random'!D21</f>
        <v>0.03</v>
      </c>
      <c r="E32" s="99" t="str">
        <f>'retrieve E2E ZK random'!E21</f>
        <v>OK</v>
      </c>
      <c r="F32" s="99" t="str">
        <f>'retrieve E2E ZK random'!F21</f>
        <v>omission</v>
      </c>
      <c r="G32" s="99" t="str">
        <f>'retrieve E2E ZK random'!G21</f>
        <v>x</v>
      </c>
      <c r="H32" s="99" t="str">
        <f>'retrieve E2E ZK random'!H21</f>
        <v/>
      </c>
      <c r="I32" s="99" t="str">
        <f>'retrieve E2E ZK random'!I21</f>
        <v/>
      </c>
      <c r="J32" s="99" t="str">
        <f>'retrieve E2E ZK random'!J21</f>
        <v/>
      </c>
      <c r="K32" s="99" t="str">
        <f>'retrieve E2E ZK random'!K21</f>
        <v>x</v>
      </c>
      <c r="L32" s="99" t="str">
        <f>'retrieve E2E ZK random'!L21</f>
        <v/>
      </c>
      <c r="M32" s="99" t="str">
        <f>'retrieve E2E ZK random'!M21</f>
        <v/>
      </c>
      <c r="N32" s="99" t="str">
        <f>'retrieve E2E ZK random'!N21</f>
        <v/>
      </c>
      <c r="O32" s="99" t="str">
        <f>'retrieve E2E ZK random'!O21</f>
        <v/>
      </c>
      <c r="P32" s="99" t="str">
        <f>'retrieve E2E ZK random'!P21</f>
        <v/>
      </c>
    </row>
    <row r="33">
      <c r="A33" s="99">
        <f>'retrieve E2E OD random'!A6</f>
        <v>34</v>
      </c>
      <c r="B33" s="99" t="str">
        <f>'retrieve E2E OD random'!B6</f>
        <v>The Cricketers is a moderate restaurant that serves Chinese food. Yes it is kids-friendly. Its customer rating is 1 out of 5. It is located in the riverside area near All Bar One.</v>
      </c>
      <c r="C33" s="99" t="str">
        <f>'retrieve E2E OD random'!C6</f>
        <v>The Cricketers|eat_type|restaurant ++ The Cricketers|food|Chinese ++ The Cricketers|price_range|moderate ++ The Cricketers|rating|1 out of 5 ++ The Cricketers|area|riverside ++ The Cricketers|family_friendly|yes ++ The Cricketers|near|All Bar One</v>
      </c>
      <c r="D33" s="99">
        <f>'retrieve E2E OD random'!D6</f>
        <v>0.854</v>
      </c>
      <c r="E33" s="99" t="str">
        <f>'retrieve E2E OD random'!E6</f>
        <v>omission</v>
      </c>
      <c r="F33" s="99" t="str">
        <f>'retrieve E2E OD random'!F6</f>
        <v>OK</v>
      </c>
      <c r="G33" s="99" t="str">
        <f>'retrieve E2E OD random'!G6</f>
        <v/>
      </c>
      <c r="H33" s="99" t="str">
        <f>'retrieve E2E OD random'!H6</f>
        <v/>
      </c>
      <c r="I33" s="99" t="str">
        <f>'retrieve E2E OD random'!I6</f>
        <v>x</v>
      </c>
      <c r="J33" s="99" t="str">
        <f>'retrieve E2E OD random'!J6</f>
        <v/>
      </c>
      <c r="K33" s="99" t="str">
        <f>'retrieve E2E OD random'!K6</f>
        <v/>
      </c>
      <c r="L33" s="99" t="str">
        <f>'retrieve E2E OD random'!L6</f>
        <v/>
      </c>
      <c r="M33" s="99" t="str">
        <f>'retrieve E2E OD random'!M6</f>
        <v/>
      </c>
      <c r="N33" s="99" t="str">
        <f>'retrieve E2E OD random'!N6</f>
        <v/>
      </c>
      <c r="O33" s="99" t="str">
        <f>'retrieve E2E OD random'!O6</f>
        <v/>
      </c>
      <c r="P33" s="99" t="str">
        <f>'retrieve E2E OD random'!P6</f>
        <v>edge case: "moderate restaurant" (as in price range=moderate)</v>
      </c>
    </row>
    <row r="34">
      <c r="A34" s="99">
        <f>'retrieve E2E OD random'!A2</f>
        <v>36</v>
      </c>
      <c r="B34" s="99" t="str">
        <f>'retrieve E2E OD random'!B2</f>
        <v>Family-friendly The Mill is a low-priced pub serving English cuisine. It is located in the city centre area and can be found near Raja Indian Cuisine.</v>
      </c>
      <c r="C34" s="99" t="str">
        <f>'retrieve E2E OD random'!C2</f>
        <v>The Mill|eat_type|pub ++ The Mill|food|English ++ The Mill|price_range|less than £20 ++ The Mill|area|city centre ++ The Mill|family_friendly|yes ++ The Mill|near|Raja Indian Cuisine</v>
      </c>
      <c r="D34" s="99">
        <f>'retrieve E2E OD random'!D2</f>
        <v>0.137</v>
      </c>
      <c r="E34" s="99" t="str">
        <f>'retrieve E2E OD random'!E2</f>
        <v>OK</v>
      </c>
      <c r="F34" s="99" t="str">
        <f>'retrieve E2E OD random'!F2</f>
        <v>omission</v>
      </c>
      <c r="G34" s="99" t="str">
        <f>'retrieve E2E OD random'!G2</f>
        <v>x</v>
      </c>
      <c r="H34" s="99" t="str">
        <f>'retrieve E2E OD random'!H2</f>
        <v/>
      </c>
      <c r="I34" s="99" t="str">
        <f>'retrieve E2E OD random'!I2</f>
        <v/>
      </c>
      <c r="J34" s="99" t="str">
        <f>'retrieve E2E OD random'!J2</f>
        <v/>
      </c>
      <c r="K34" s="99" t="str">
        <f>'retrieve E2E OD random'!K2</f>
        <v>x</v>
      </c>
      <c r="L34" s="99" t="str">
        <f>'retrieve E2E OD random'!L2</f>
        <v/>
      </c>
      <c r="M34" s="99" t="str">
        <f>'retrieve E2E OD random'!M2</f>
        <v/>
      </c>
      <c r="N34" s="99" t="str">
        <f>'retrieve E2E OD random'!N2</f>
        <v/>
      </c>
      <c r="O34" s="99" t="str">
        <f>'retrieve E2E OD random'!O2</f>
        <v/>
      </c>
      <c r="P34" s="99" t="str">
        <f>'retrieve E2E OD random'!P2</f>
        <v/>
      </c>
    </row>
    <row r="35">
      <c r="A35" s="99">
        <f>'retrieve E2E OD random'!A41</f>
        <v>37</v>
      </c>
      <c r="B35" s="99" t="str">
        <f>'retrieve E2E OD random'!B41</f>
        <v>The Phoenix is a moderately priced French pub located in the city centre near Café Sicilia it is kid friendly and has a customer rating of 3 out of 5.</v>
      </c>
      <c r="C35" s="99" t="str">
        <f>'retrieve E2E OD random'!C41</f>
        <v>The Phoenix|eat_type|pub ++ The Phoenix|food|French ++ The Phoenix|price_range|£20-25 ++ The Phoenix|rating|3 out of 5 ++ The Phoenix|area|city centre ++ The Phoenix|family_friendly|yes ++ The Phoenix|near|Café Sicilia</v>
      </c>
      <c r="D35" s="99">
        <f>'retrieve E2E OD random'!D41</f>
        <v>0.003</v>
      </c>
      <c r="E35" s="99" t="str">
        <f>'retrieve E2E OD random'!E41</f>
        <v>OK</v>
      </c>
      <c r="F35" s="99" t="str">
        <f>'retrieve E2E OD random'!F41</f>
        <v>omission</v>
      </c>
      <c r="G35" s="99" t="str">
        <f>'retrieve E2E OD random'!G41</f>
        <v>x</v>
      </c>
      <c r="H35" s="99" t="str">
        <f>'retrieve E2E OD random'!H41</f>
        <v/>
      </c>
      <c r="I35" s="99" t="str">
        <f>'retrieve E2E OD random'!I41</f>
        <v/>
      </c>
      <c r="J35" s="99" t="str">
        <f>'retrieve E2E OD random'!J41</f>
        <v/>
      </c>
      <c r="K35" s="99" t="str">
        <f>'retrieve E2E OD random'!K41</f>
        <v>x</v>
      </c>
      <c r="L35" s="99" t="str">
        <f>'retrieve E2E OD random'!L41</f>
        <v/>
      </c>
      <c r="M35" s="99" t="str">
        <f>'retrieve E2E OD random'!M41</f>
        <v/>
      </c>
      <c r="N35" s="99" t="str">
        <f>'retrieve E2E OD random'!N41</f>
        <v/>
      </c>
      <c r="O35" s="99" t="str">
        <f>'retrieve E2E OD random'!O41</f>
        <v/>
      </c>
      <c r="P35" s="99" t="str">
        <f>'retrieve E2E OD random'!P41</f>
        <v/>
      </c>
    </row>
    <row r="36">
      <c r="A36" s="99">
        <f>'retrieve E2E OD random'!A1</f>
        <v>38</v>
      </c>
      <c r="B36" s="99" t="str">
        <f>'retrieve E2E OD random'!B1</f>
        <v>The Mill, which serves fast food, is a low-priced pub. It has a low customer rating. Non-kid-friendly The Mill is located in the city centre near Café Sicilia.</v>
      </c>
      <c r="C36" s="99" t="str">
        <f>'retrieve E2E OD random'!C1</f>
        <v>The Mill|eat_type|pub ++ The Mill|food|Fast food ++ The Mill|price_range|less than £20 ++ The Mill|rating|low ++ The Mill|area|city centre ++ The Mill|family_friendly|no ++ The Mill|near|Café Sicilia</v>
      </c>
      <c r="D36" s="99">
        <f>'retrieve E2E OD random'!D1</f>
        <v>0.121</v>
      </c>
      <c r="E36" s="99" t="str">
        <f>'retrieve E2E OD random'!E1</f>
        <v>OK</v>
      </c>
      <c r="F36" s="99" t="str">
        <f>'retrieve E2E OD random'!F1</f>
        <v>omission</v>
      </c>
      <c r="G36" s="99" t="str">
        <f>'retrieve E2E OD random'!G1</f>
        <v>x</v>
      </c>
      <c r="H36" s="99" t="str">
        <f>'retrieve E2E OD random'!H1</f>
        <v/>
      </c>
      <c r="I36" s="99" t="str">
        <f>'retrieve E2E OD random'!I1</f>
        <v/>
      </c>
      <c r="J36" s="99" t="str">
        <f>'retrieve E2E OD random'!J1</f>
        <v/>
      </c>
      <c r="K36" s="99" t="str">
        <f>'retrieve E2E OD random'!K1</f>
        <v>x</v>
      </c>
      <c r="L36" s="99" t="str">
        <f>'retrieve E2E OD random'!L1</f>
        <v/>
      </c>
      <c r="M36" s="99" t="str">
        <f>'retrieve E2E OD random'!M1</f>
        <v/>
      </c>
      <c r="N36" s="99" t="str">
        <f>'retrieve E2E OD random'!N1</f>
        <v/>
      </c>
      <c r="O36" s="99" t="str">
        <f>'retrieve E2E OD random'!O1</f>
        <v/>
      </c>
      <c r="P36" s="99" t="str">
        <f>'retrieve E2E OD random'!P1</f>
        <v/>
      </c>
    </row>
    <row r="37">
      <c r="A37" s="99">
        <f>'retrieve E2E ZK random'!A11</f>
        <v>40</v>
      </c>
      <c r="B37" s="99" t="str">
        <f>'retrieve E2E ZK random'!B11</f>
        <v>The Cricketers is a children friendly English restaurant near Café Rouge in the city centre with an average customer rating and a high price range.</v>
      </c>
      <c r="C37" s="99" t="str">
        <f>'retrieve E2E ZK random'!C11</f>
        <v>The Cricketers|eat_type|restaurant ++ The Cricketers|food|English ++ The Cricketers|price_range|high ++ The Cricketers|rating|average ++ The Cricketers|area|city centre ++ The Cricketers|family_friendly|yes ++ The Cricketers|near|Café Rouge</v>
      </c>
      <c r="D37" s="99">
        <f>'retrieve E2E ZK random'!D11</f>
        <v>0.955</v>
      </c>
      <c r="E37" s="99" t="str">
        <f>'retrieve E2E ZK random'!E11</f>
        <v>hallucination</v>
      </c>
      <c r="F37" s="99" t="str">
        <f>'retrieve E2E ZK random'!F11</f>
        <v>OK</v>
      </c>
      <c r="G37" s="99" t="str">
        <f>'retrieve E2E ZK random'!G11</f>
        <v/>
      </c>
      <c r="H37" s="99" t="str">
        <f>'retrieve E2E ZK random'!H11</f>
        <v>x</v>
      </c>
      <c r="I37" s="99" t="str">
        <f>'retrieve E2E ZK random'!I11</f>
        <v/>
      </c>
      <c r="J37" s="99" t="str">
        <f>'retrieve E2E ZK random'!J11</f>
        <v/>
      </c>
      <c r="K37" s="99" t="str">
        <f>'retrieve E2E ZK random'!K11</f>
        <v/>
      </c>
      <c r="L37" s="99" t="str">
        <f>'retrieve E2E ZK random'!L11</f>
        <v/>
      </c>
      <c r="M37" s="99" t="str">
        <f>'retrieve E2E ZK random'!M11</f>
        <v/>
      </c>
      <c r="N37" s="99" t="str">
        <f>'retrieve E2E ZK random'!N11</f>
        <v/>
      </c>
      <c r="O37" s="99" t="str">
        <f>'retrieve E2E ZK random'!O11</f>
        <v>x</v>
      </c>
      <c r="P37" s="99" t="str">
        <f>'retrieve E2E ZK random'!P11</f>
        <v/>
      </c>
    </row>
    <row r="38">
      <c r="A38" s="99">
        <f>'retrieve E2E OD random'!A11</f>
        <v>41</v>
      </c>
      <c r="B38" s="99" t="str">
        <f>'retrieve E2E OD random'!B11</f>
        <v>The Punter is a high priced, average rated, adult only Indian restaurant located near Express by Holiday Inn in the city centre.</v>
      </c>
      <c r="C38" s="99" t="str">
        <f>'retrieve E2E OD random'!C11</f>
        <v>The Punter|eat_type|restaurant ++ The Punter|food|Indian ++ The Punter|price_range|high ++ The Punter|rating|average ++ The Punter|area|city centre ++ The Punter|family_friendly|no ++ The Punter|near|Express by Holiday Inn</v>
      </c>
      <c r="D38" s="99">
        <f>'retrieve E2E OD random'!D11</f>
        <v>0.061</v>
      </c>
      <c r="E38" s="99" t="str">
        <f>'retrieve E2E OD random'!E11</f>
        <v>OK</v>
      </c>
      <c r="F38" s="99" t="str">
        <f>'retrieve E2E OD random'!F11</f>
        <v>hallucination</v>
      </c>
      <c r="G38" s="99" t="str">
        <f>'retrieve E2E OD random'!G11</f>
        <v>x</v>
      </c>
      <c r="H38" s="99" t="str">
        <f>'retrieve E2E OD random'!H11</f>
        <v/>
      </c>
      <c r="I38" s="99" t="str">
        <f>'retrieve E2E OD random'!I11</f>
        <v/>
      </c>
      <c r="J38" s="99" t="str">
        <f>'retrieve E2E OD random'!J11</f>
        <v/>
      </c>
      <c r="K38" s="99" t="str">
        <f>'retrieve E2E OD random'!K11</f>
        <v/>
      </c>
      <c r="L38" s="99" t="str">
        <f>'retrieve E2E OD random'!L11</f>
        <v>x</v>
      </c>
      <c r="M38" s="99" t="str">
        <f>'retrieve E2E OD random'!M11</f>
        <v/>
      </c>
      <c r="N38" s="99" t="str">
        <f>'retrieve E2E OD random'!N11</f>
        <v/>
      </c>
      <c r="O38" s="99" t="str">
        <f>'retrieve E2E OD random'!O11</f>
        <v/>
      </c>
      <c r="P38" s="99" t="str">
        <f>'retrieve E2E OD random'!P11</f>
        <v/>
      </c>
    </row>
    <row r="39">
      <c r="A39" s="99">
        <f>'retrieve E2E OD random'!A30</f>
        <v>42</v>
      </c>
      <c r="B39" s="99" t="str">
        <f>'retrieve E2E OD random'!B30</f>
        <v>The Cricketers is a non family friendly coffee shop near Crowne Plaza Hotel with an average customer rating of 5 out of 5.</v>
      </c>
      <c r="C39" s="99" t="str">
        <f>'retrieve E2E OD random'!C30</f>
        <v>The Cricketers|eat_type|coffee shop ++ The Cricketers|rating|5 out of 5 ++ The Cricketers|family_friendly|no ++ The Cricketers|near|Crowne Plaza Hotel</v>
      </c>
      <c r="D39" s="99">
        <f>'retrieve E2E OD random'!D30</f>
        <v>0.895</v>
      </c>
      <c r="E39" s="99" t="str">
        <f>'retrieve E2E OD random'!E30</f>
        <v>hallucination</v>
      </c>
      <c r="F39" s="99" t="str">
        <f>'retrieve E2E OD random'!F30</f>
        <v>OK</v>
      </c>
      <c r="G39" s="99" t="str">
        <f>'retrieve E2E OD random'!G30</f>
        <v/>
      </c>
      <c r="H39" s="99" t="str">
        <f>'retrieve E2E OD random'!H30</f>
        <v/>
      </c>
      <c r="I39" s="99" t="str">
        <f>'retrieve E2E OD random'!I30</f>
        <v>x</v>
      </c>
      <c r="J39" s="99" t="str">
        <f>'retrieve E2E OD random'!J30</f>
        <v/>
      </c>
      <c r="K39" s="99" t="str">
        <f>'retrieve E2E OD random'!K30</f>
        <v/>
      </c>
      <c r="L39" s="99" t="str">
        <f>'retrieve E2E OD random'!L30</f>
        <v/>
      </c>
      <c r="M39" s="99" t="str">
        <f>'retrieve E2E OD random'!M30</f>
        <v/>
      </c>
      <c r="N39" s="99" t="str">
        <f>'retrieve E2E OD random'!N30</f>
        <v/>
      </c>
      <c r="O39" s="99" t="str">
        <f>'retrieve E2E OD random'!O30</f>
        <v/>
      </c>
      <c r="P39" s="99" t="str">
        <f>'retrieve E2E OD random'!P30</f>
        <v>edge case: "average customer rating of 5 out of 5" can be interpreted as both "average" (=3/5) and "high" (=5/5)</v>
      </c>
    </row>
    <row r="40">
      <c r="A40" s="99">
        <f>'retrieve E2E OD random'!A44</f>
        <v>43</v>
      </c>
      <c r="B40" s="99" t="str">
        <f>'retrieve E2E OD random'!B44</f>
        <v>There is a Chinese venue in the riverside area near Raja Indian Cuisine . It is kids friendly and has a price range of £ 20 - 25 . It is called The Plough and provide food .</v>
      </c>
      <c r="C40" s="99" t="str">
        <f>'retrieve E2E OD random'!C44</f>
        <v>The Plough|eat_type|restaurant ++ The Plough|food|Chinese ++ The Plough|price_range|£20-25 ++ The Plough|area|riverside ++ The Plough|family_friendly|yes ++ The Plough|near|Raja Indian Cuisine</v>
      </c>
      <c r="D40" s="99">
        <f>'retrieve E2E OD random'!D44</f>
        <v>0.928</v>
      </c>
      <c r="E40" s="99" t="str">
        <f>'retrieve E2E OD random'!E44</f>
        <v>omission</v>
      </c>
      <c r="F40" s="99" t="str">
        <f>'retrieve E2E OD random'!F44</f>
        <v>OK</v>
      </c>
      <c r="G40" s="99" t="str">
        <f>'retrieve E2E OD random'!G44</f>
        <v>x</v>
      </c>
      <c r="H40" s="99" t="str">
        <f>'retrieve E2E OD random'!H44</f>
        <v/>
      </c>
      <c r="I40" s="99" t="str">
        <f>'retrieve E2E OD random'!I44</f>
        <v/>
      </c>
      <c r="J40" s="99" t="str">
        <f>'retrieve E2E OD random'!J44</f>
        <v>x</v>
      </c>
      <c r="K40" s="99" t="str">
        <f>'retrieve E2E OD random'!K44</f>
        <v/>
      </c>
      <c r="L40" s="99" t="str">
        <f>'retrieve E2E OD random'!L44</f>
        <v/>
      </c>
      <c r="M40" s="99" t="str">
        <f>'retrieve E2E OD random'!M44</f>
        <v/>
      </c>
      <c r="N40" s="99" t="str">
        <f>'retrieve E2E OD random'!N44</f>
        <v/>
      </c>
      <c r="O40" s="99" t="str">
        <f>'retrieve E2E OD random'!O44</f>
        <v/>
      </c>
      <c r="P40" s="99" t="str">
        <f>'retrieve E2E OD random'!P44</f>
        <v/>
      </c>
    </row>
    <row r="41">
      <c r="A41" s="99">
        <f>'retrieve E2E ZK random'!A19</f>
        <v>44</v>
      </c>
      <c r="B41" s="99" t="str">
        <f>'retrieve E2E ZK random'!B19</f>
        <v>The Mill is a cheap English restaurant in the city centre near Raja Indian Cuisine. It is not family-friendly.</v>
      </c>
      <c r="C41" s="99" t="str">
        <f>'retrieve E2E ZK random'!C19</f>
        <v>The Mill|eat_type|restaurant ++ The Mill|food|English ++ The Mill|price_range|less than £20 ++ The Mill|area|city centre ++ The Mill|family_friendly|no ++ The Mill|near|Raja Indian Cuisine</v>
      </c>
      <c r="D41" s="99">
        <f>'retrieve E2E ZK random'!D19</f>
        <v>0.165</v>
      </c>
      <c r="E41" s="99" t="str">
        <f>'retrieve E2E ZK random'!E19</f>
        <v>OK</v>
      </c>
      <c r="F41" s="99" t="str">
        <f>'retrieve E2E ZK random'!F19</f>
        <v>omission</v>
      </c>
      <c r="G41" s="99" t="str">
        <f>'retrieve E2E ZK random'!G19</f>
        <v>x</v>
      </c>
      <c r="H41" s="99" t="str">
        <f>'retrieve E2E ZK random'!H19</f>
        <v/>
      </c>
      <c r="I41" s="99" t="str">
        <f>'retrieve E2E ZK random'!I19</f>
        <v/>
      </c>
      <c r="J41" s="99" t="str">
        <f>'retrieve E2E ZK random'!J19</f>
        <v/>
      </c>
      <c r="K41" s="99" t="str">
        <f>'retrieve E2E ZK random'!K19</f>
        <v>x</v>
      </c>
      <c r="L41" s="99" t="str">
        <f>'retrieve E2E ZK random'!L19</f>
        <v/>
      </c>
      <c r="M41" s="99" t="str">
        <f>'retrieve E2E ZK random'!M19</f>
        <v/>
      </c>
      <c r="N41" s="99" t="str">
        <f>'retrieve E2E ZK random'!N19</f>
        <v/>
      </c>
      <c r="O41" s="99" t="str">
        <f>'retrieve E2E ZK random'!O19</f>
        <v/>
      </c>
      <c r="P41" s="99" t="str">
        <f>'retrieve E2E ZK random'!P19</f>
        <v/>
      </c>
    </row>
    <row r="42">
      <c r="A42" s="99">
        <f>'retrieve E2E ZK random'!A34</f>
        <v>45</v>
      </c>
      <c r="B42" s="99" t="str">
        <f>'retrieve E2E ZK random'!B34</f>
        <v>the vaults is a pub located in the city centre near raja indian cuisine. it serves french food for moderate. it is not family-friendly.</v>
      </c>
      <c r="C42" s="99" t="str">
        <f>'retrieve E2E ZK random'!C34</f>
        <v>The Vaults|eat_type|pub ++ The Vaults|food|French ++ The Vaults|price_range|moderate ++ The Vaults|area|city centre ++ The Vaults|family_friendly|no ++ The Vaults|near|Raja Indian Cuisine</v>
      </c>
      <c r="D42" s="99">
        <f>'retrieve E2E ZK random'!D34</f>
        <v>0.935</v>
      </c>
      <c r="E42" s="99" t="str">
        <f>'retrieve E2E ZK random'!E34</f>
        <v>omission</v>
      </c>
      <c r="F42" s="99" t="str">
        <f>'retrieve E2E ZK random'!F34</f>
        <v>OK</v>
      </c>
      <c r="G42" s="99" t="str">
        <f>'retrieve E2E ZK random'!G34</f>
        <v/>
      </c>
      <c r="H42" s="99" t="str">
        <f>'retrieve E2E ZK random'!H34</f>
        <v/>
      </c>
      <c r="I42" s="99" t="str">
        <f>'retrieve E2E ZK random'!I34</f>
        <v>x</v>
      </c>
      <c r="J42" s="99" t="str">
        <f>'retrieve E2E ZK random'!J34</f>
        <v/>
      </c>
      <c r="K42" s="99" t="str">
        <f>'retrieve E2E ZK random'!K34</f>
        <v>x</v>
      </c>
      <c r="L42" s="99" t="str">
        <f>'retrieve E2E ZK random'!L34</f>
        <v/>
      </c>
      <c r="M42" s="99" t="str">
        <f>'retrieve E2E ZK random'!M34</f>
        <v/>
      </c>
      <c r="N42" s="99" t="str">
        <f>'retrieve E2E ZK random'!N34</f>
        <v/>
      </c>
      <c r="O42" s="99" t="str">
        <f>'retrieve E2E ZK random'!O34</f>
        <v/>
      </c>
      <c r="P42" s="99" t="str">
        <f>'retrieve E2E ZK random'!P34</f>
        <v/>
      </c>
    </row>
    <row r="43">
      <c r="A43" s="99">
        <f>'retrieve E2E OD random'!A25</f>
        <v>46</v>
      </c>
      <c r="B43" s="99" t="str">
        <f>'retrieve E2E OD random'!B25</f>
        <v>The Phoenix, which has a low customer rating, is a high-priced pub that serves French cuisine. It is located in the city centre area and can be found near Crowne Plaza Hotel. It is family-friendly.</v>
      </c>
      <c r="C43" s="99" t="str">
        <f>'retrieve E2E OD random'!C25</f>
        <v>The Phoenix|eat_type|pub ++ The Phoenix|food|French ++ The Phoenix|price_range|more than £30 ++ The Phoenix|rating|low ++ The Phoenix|area|city centre ++ The Phoenix|family_friendly|yes ++ The Phoenix|near|Crowne Plaza Hotel</v>
      </c>
      <c r="D43" s="99">
        <f>'retrieve E2E OD random'!D25</f>
        <v>0.047</v>
      </c>
      <c r="E43" s="99" t="str">
        <f>'retrieve E2E OD random'!E25</f>
        <v>OK</v>
      </c>
      <c r="F43" s="99" t="str">
        <f>'retrieve E2E OD random'!F25</f>
        <v>omission</v>
      </c>
      <c r="G43" s="99" t="str">
        <f>'retrieve E2E OD random'!G25</f>
        <v>x</v>
      </c>
      <c r="H43" s="99" t="str">
        <f>'retrieve E2E OD random'!H25</f>
        <v/>
      </c>
      <c r="I43" s="99" t="str">
        <f>'retrieve E2E OD random'!I25</f>
        <v/>
      </c>
      <c r="J43" s="99" t="str">
        <f>'retrieve E2E OD random'!J25</f>
        <v/>
      </c>
      <c r="K43" s="99" t="str">
        <f>'retrieve E2E OD random'!K25</f>
        <v>x</v>
      </c>
      <c r="L43" s="99" t="str">
        <f>'retrieve E2E OD random'!L25</f>
        <v/>
      </c>
      <c r="M43" s="99" t="str">
        <f>'retrieve E2E OD random'!M25</f>
        <v/>
      </c>
      <c r="N43" s="99" t="str">
        <f>'retrieve E2E OD random'!N25</f>
        <v/>
      </c>
      <c r="O43" s="99" t="str">
        <f>'retrieve E2E OD random'!O25</f>
        <v/>
      </c>
      <c r="P43" s="99" t="str">
        <f>'retrieve E2E OD random'!P25</f>
        <v/>
      </c>
    </row>
    <row r="44">
      <c r="A44" s="99">
        <f>'retrieve E2E OD random'!A43</f>
        <v>47</v>
      </c>
      <c r="B44" s="99" t="str">
        <f>'retrieve E2E OD random'!B43</f>
        <v>The Mill is a pub serving English food in the low price range it is located in the riverside near Raja Indian Cuisine it is not family-friendly.</v>
      </c>
      <c r="C44" s="99" t="str">
        <f>'retrieve E2E OD random'!C43</f>
        <v>The Mill|eat_type|pub ++ The Mill|food|English ++ The Mill|price_range|less than £20 ++ The Mill|area|riverside ++ The Mill|family_friendly|no ++ The Mill|near|Raja Indian Cuisine</v>
      </c>
      <c r="D44" s="99">
        <f>'retrieve E2E OD random'!D43</f>
        <v>0.052</v>
      </c>
      <c r="E44" s="99" t="str">
        <f>'retrieve E2E OD random'!E43</f>
        <v>OK</v>
      </c>
      <c r="F44" s="99" t="str">
        <f>'retrieve E2E OD random'!F43</f>
        <v>omission</v>
      </c>
      <c r="G44" s="99" t="str">
        <f>'retrieve E2E OD random'!G43</f>
        <v>x</v>
      </c>
      <c r="H44" s="99" t="str">
        <f>'retrieve E2E OD random'!H43</f>
        <v/>
      </c>
      <c r="I44" s="99" t="str">
        <f>'retrieve E2E OD random'!I43</f>
        <v/>
      </c>
      <c r="J44" s="99" t="str">
        <f>'retrieve E2E OD random'!J43</f>
        <v/>
      </c>
      <c r="K44" s="99" t="str">
        <f>'retrieve E2E OD random'!K43</f>
        <v>x</v>
      </c>
      <c r="L44" s="99" t="str">
        <f>'retrieve E2E OD random'!L43</f>
        <v/>
      </c>
      <c r="M44" s="99" t="str">
        <f>'retrieve E2E OD random'!M43</f>
        <v/>
      </c>
      <c r="N44" s="99" t="str">
        <f>'retrieve E2E OD random'!N43</f>
        <v/>
      </c>
      <c r="O44" s="99" t="str">
        <f>'retrieve E2E OD random'!O43</f>
        <v/>
      </c>
      <c r="P44" s="99" t="str">
        <f>'retrieve E2E OD random'!P43</f>
        <v/>
      </c>
    </row>
    <row r="45">
      <c r="A45" s="99">
        <f>'retrieve E2E ZK random'!A32</f>
        <v>48</v>
      </c>
      <c r="B45" s="99" t="str">
        <f>'retrieve E2E ZK random'!B32</f>
        <v>Come to the family friendly Wildwood Indian pup in the riverside area near Raja Indian Cuisine .</v>
      </c>
      <c r="C45" s="99" t="str">
        <f>'retrieve E2E ZK random'!C32</f>
        <v>Wildwood|eat_type|restaurant ++ Wildwood|food|Indian ++ Wildwood|area|riverside ++ Wildwood|family_friendly|yes ++ Wildwood|near|Raja Indian Cuisine</v>
      </c>
      <c r="D45" s="99">
        <f>'retrieve E2E ZK random'!D32</f>
        <v>0.455</v>
      </c>
      <c r="E45" s="99" t="str">
        <f>'retrieve E2E ZK random'!E32</f>
        <v>omission</v>
      </c>
      <c r="F45" s="99" t="str">
        <f>'retrieve E2E ZK random'!F32</f>
        <v>OK</v>
      </c>
      <c r="G45" s="99" t="str">
        <f>'retrieve E2E ZK random'!G32</f>
        <v>x</v>
      </c>
      <c r="H45" s="99" t="str">
        <f>'retrieve E2E ZK random'!H32</f>
        <v/>
      </c>
      <c r="I45" s="99" t="str">
        <f>'retrieve E2E ZK random'!I32</f>
        <v/>
      </c>
      <c r="J45" s="99" t="str">
        <f>'retrieve E2E ZK random'!J32</f>
        <v>x</v>
      </c>
      <c r="K45" s="99" t="str">
        <f>'retrieve E2E ZK random'!K32</f>
        <v/>
      </c>
      <c r="L45" s="99" t="str">
        <f>'retrieve E2E ZK random'!L32</f>
        <v/>
      </c>
      <c r="M45" s="99" t="str">
        <f>'retrieve E2E ZK random'!M32</f>
        <v/>
      </c>
      <c r="N45" s="99" t="str">
        <f>'retrieve E2E ZK random'!N32</f>
        <v/>
      </c>
      <c r="O45" s="99" t="str">
        <f>'retrieve E2E ZK random'!O32</f>
        <v/>
      </c>
      <c r="P45" s="99" t="str">
        <f>'retrieve E2E ZK random'!P32</f>
        <v/>
      </c>
    </row>
    <row r="46">
      <c r="A46" s="99">
        <f>'retrieve E2E OD random'!A24</f>
        <v>49</v>
      </c>
      <c r="B46" s="99" t="str">
        <f>'retrieve E2E OD random'!B24</f>
        <v>The Cricketers restaurant serves Chinese food for high in the riverside near All Bar One. It is children friendly but has a 1 out of 5 customer rating.</v>
      </c>
      <c r="C46" s="99" t="str">
        <f>'retrieve E2E OD random'!C24</f>
        <v>The Cricketers|eat_type|restaurant ++ The Cricketers|food|Chinese ++ The Cricketers|price_range|high ++ The Cricketers|rating|1 out of 5 ++ The Cricketers|area|riverside ++ The Cricketers|family_friendly|yes ++ The Cricketers|near|All Bar One</v>
      </c>
      <c r="D46" s="99">
        <f>'retrieve E2E OD random'!D24</f>
        <v>0.594</v>
      </c>
      <c r="E46" s="99" t="str">
        <f>'retrieve E2E OD random'!E24</f>
        <v>omission</v>
      </c>
      <c r="F46" s="99" t="str">
        <f>'retrieve E2E OD random'!F24</f>
        <v>OK</v>
      </c>
      <c r="G46" s="99" t="str">
        <f>'retrieve E2E OD random'!G24</f>
        <v/>
      </c>
      <c r="H46" s="99" t="str">
        <f>'retrieve E2E OD random'!H24</f>
        <v/>
      </c>
      <c r="I46" s="99" t="str">
        <f>'retrieve E2E OD random'!I24</f>
        <v>x</v>
      </c>
      <c r="J46" s="99" t="str">
        <f>'retrieve E2E OD random'!J24</f>
        <v/>
      </c>
      <c r="K46" s="99" t="str">
        <f>'retrieve E2E OD random'!K24</f>
        <v/>
      </c>
      <c r="L46" s="99" t="str">
        <f>'retrieve E2E OD random'!L24</f>
        <v/>
      </c>
      <c r="M46" s="99" t="str">
        <f>'retrieve E2E OD random'!M24</f>
        <v/>
      </c>
      <c r="N46" s="99" t="str">
        <f>'retrieve E2E OD random'!N24</f>
        <v/>
      </c>
      <c r="O46" s="99" t="str">
        <f>'retrieve E2E OD random'!O24</f>
        <v/>
      </c>
      <c r="P46" s="99" t="str">
        <f>'retrieve E2E OD random'!P24</f>
        <v>edge case: "serves Chinese food for high" = high prices</v>
      </c>
    </row>
    <row r="47">
      <c r="A47" s="99">
        <f>'retrieve E2E OD random'!A34</f>
        <v>51</v>
      </c>
      <c r="B47" s="99" t="str">
        <f>'retrieve E2E OD random'!B34</f>
        <v>The Waterman restaurant near Raja Indian Cuisine in the riverside sells Indian food and is less than £20 priced no kids allowed.</v>
      </c>
      <c r="C47" s="99" t="str">
        <f>'retrieve E2E OD random'!C34</f>
        <v>The Waterman|eat_type|restaurant ++ The Waterman|food|Indian ++ The Waterman|price_range|less than £20 ++ The Waterman|area|riverside ++ The Waterman|family_friendly|no ++ The Waterman|near|Raja Indian Cuisine</v>
      </c>
      <c r="D47" s="99">
        <f>'retrieve E2E OD random'!D34</f>
        <v>0.346</v>
      </c>
      <c r="E47" s="99" t="str">
        <f>'retrieve E2E OD random'!E34</f>
        <v>OK</v>
      </c>
      <c r="F47" s="99" t="str">
        <f>'retrieve E2E OD random'!F34</f>
        <v>hallucination</v>
      </c>
      <c r="G47" s="99" t="str">
        <f>'retrieve E2E OD random'!G34</f>
        <v>x</v>
      </c>
      <c r="H47" s="99" t="str">
        <f>'retrieve E2E OD random'!H34</f>
        <v/>
      </c>
      <c r="I47" s="99" t="str">
        <f>'retrieve E2E OD random'!I34</f>
        <v/>
      </c>
      <c r="J47" s="99" t="str">
        <f>'retrieve E2E OD random'!J34</f>
        <v/>
      </c>
      <c r="K47" s="99" t="str">
        <f>'retrieve E2E OD random'!K34</f>
        <v/>
      </c>
      <c r="L47" s="99" t="str">
        <f>'retrieve E2E OD random'!L34</f>
        <v>x</v>
      </c>
      <c r="M47" s="99" t="str">
        <f>'retrieve E2E OD random'!M34</f>
        <v/>
      </c>
      <c r="N47" s="99" t="str">
        <f>'retrieve E2E OD random'!N34</f>
        <v/>
      </c>
      <c r="O47" s="99" t="str">
        <f>'retrieve E2E OD random'!O34</f>
        <v/>
      </c>
      <c r="P47" s="99" t="str">
        <f>'retrieve E2E OD random'!P34</f>
        <v/>
      </c>
    </row>
    <row r="48">
      <c r="A48" s="99">
        <f>'retrieve E2E ZK random'!A47</f>
        <v>52</v>
      </c>
      <c r="B48" s="99" t="str">
        <f>'retrieve E2E ZK random'!B47</f>
        <v>The Vaults is a pub serving Japanese food with a high customer rating with meals £20-£25 and is family friendly in city centre area near Rainbow Vegetarian Café.</v>
      </c>
      <c r="C48" s="99" t="str">
        <f>'retrieve E2E ZK random'!C47</f>
        <v>The Vaults|eat_type|pub ++ The Vaults|food|Japanese ++ The Vaults|price_range|£20-25 ++ The Vaults|rating|high ++ The Vaults|area|city centre ++ The Vaults|family_friendly|yes ++ The Vaults|near|Rainbow Vegetarian Café</v>
      </c>
      <c r="D48" s="99">
        <f>'retrieve E2E ZK random'!D47</f>
        <v>0.959</v>
      </c>
      <c r="E48" s="99" t="str">
        <f>'retrieve E2E ZK random'!E47</f>
        <v>omission</v>
      </c>
      <c r="F48" s="99" t="str">
        <f>'retrieve E2E ZK random'!F47</f>
        <v>OK</v>
      </c>
      <c r="G48" s="99" t="str">
        <f>'retrieve E2E ZK random'!G47</f>
        <v/>
      </c>
      <c r="H48" s="99" t="str">
        <f>'retrieve E2E ZK random'!H47</f>
        <v>x</v>
      </c>
      <c r="I48" s="99" t="str">
        <f>'retrieve E2E ZK random'!I47</f>
        <v/>
      </c>
      <c r="J48" s="99" t="str">
        <f>'retrieve E2E ZK random'!J47</f>
        <v/>
      </c>
      <c r="K48" s="99" t="str">
        <f>'retrieve E2E ZK random'!K47</f>
        <v/>
      </c>
      <c r="L48" s="99" t="str">
        <f>'retrieve E2E ZK random'!L47</f>
        <v/>
      </c>
      <c r="M48" s="99" t="str">
        <f>'retrieve E2E ZK random'!M47</f>
        <v/>
      </c>
      <c r="N48" s="99" t="str">
        <f>'retrieve E2E ZK random'!N47</f>
        <v>x</v>
      </c>
      <c r="O48" s="99" t="str">
        <f>'retrieve E2E ZK random'!O47</f>
        <v/>
      </c>
      <c r="P48" s="99" t="str">
        <f>'retrieve E2E ZK random'!P47</f>
        <v/>
      </c>
    </row>
    <row r="49">
      <c r="A49" s="99">
        <f>'retrieve E2E OD random'!A19</f>
        <v>54</v>
      </c>
      <c r="B49" s="99" t="str">
        <f>'retrieve E2E OD random'!B19</f>
        <v>There is a French, pub located near Raja Indian Cuisine in riverside called The Phoenix. The pub is in the £20-£25 price range and is children friendly.</v>
      </c>
      <c r="C49" s="99" t="str">
        <f>'retrieve E2E OD random'!C19</f>
        <v>The Phoenix|eat_type|pub ++ The Phoenix|food|French ++ The Phoenix|price_range|£20-25 ++ The Phoenix|area|riverside ++ The Phoenix|family_friendly|yes ++ The Phoenix|near|Raja Indian Cuisine</v>
      </c>
      <c r="D49" s="99">
        <f>'retrieve E2E OD random'!D19</f>
        <v>0.943</v>
      </c>
      <c r="E49" s="99" t="str">
        <f>'retrieve E2E OD random'!E19</f>
        <v>omission</v>
      </c>
      <c r="F49" s="99" t="str">
        <f>'retrieve E2E OD random'!F19</f>
        <v>OK</v>
      </c>
      <c r="G49" s="99" t="str">
        <f>'retrieve E2E OD random'!G19</f>
        <v/>
      </c>
      <c r="H49" s="99" t="str">
        <f>'retrieve E2E OD random'!H19</f>
        <v>x</v>
      </c>
      <c r="I49" s="99" t="str">
        <f>'retrieve E2E OD random'!I19</f>
        <v/>
      </c>
      <c r="J49" s="99" t="str">
        <f>'retrieve E2E OD random'!J19</f>
        <v/>
      </c>
      <c r="K49" s="99" t="str">
        <f>'retrieve E2E OD random'!K19</f>
        <v/>
      </c>
      <c r="L49" s="99" t="str">
        <f>'retrieve E2E OD random'!L19</f>
        <v/>
      </c>
      <c r="M49" s="99" t="str">
        <f>'retrieve E2E OD random'!M19</f>
        <v/>
      </c>
      <c r="N49" s="99" t="str">
        <f>'retrieve E2E OD random'!N19</f>
        <v>x</v>
      </c>
      <c r="O49" s="99" t="str">
        <f>'retrieve E2E OD random'!O19</f>
        <v/>
      </c>
      <c r="P49" s="99" t="str">
        <f>'retrieve E2E OD random'!P19</f>
        <v/>
      </c>
    </row>
    <row r="50">
      <c r="A50" s="99">
        <f>'retrieve E2E ZK random'!A40</f>
        <v>55</v>
      </c>
      <c r="B50" s="99" t="str">
        <f>'retrieve E2E ZK random'!B40</f>
        <v>The Wrestlers, which is located in the city centre near Raja Indian Cuisine, is a cheap restaurant that serves Japanese food. It is not family-friendly.</v>
      </c>
      <c r="C50" s="99" t="str">
        <f>'retrieve E2E ZK random'!C40</f>
        <v>The Wrestlers|eat_type|restaurant ++ The Wrestlers|food|Japanese ++ The Wrestlers|price_range|less than £20 ++ The Wrestlers|area|city centre ++ The Wrestlers|family_friendly|no ++ The Wrestlers|near|Raja Indian Cuisine</v>
      </c>
      <c r="D50" s="99">
        <f>'retrieve E2E ZK random'!D40</f>
        <v>0.03</v>
      </c>
      <c r="E50" s="99" t="str">
        <f>'retrieve E2E ZK random'!E40</f>
        <v>OK</v>
      </c>
      <c r="F50" s="99" t="str">
        <f>'retrieve E2E ZK random'!F40</f>
        <v>omission</v>
      </c>
      <c r="G50" s="99" t="str">
        <f>'retrieve E2E ZK random'!G40</f>
        <v>x</v>
      </c>
      <c r="H50" s="99" t="str">
        <f>'retrieve E2E ZK random'!H40</f>
        <v/>
      </c>
      <c r="I50" s="99" t="str">
        <f>'retrieve E2E ZK random'!I40</f>
        <v/>
      </c>
      <c r="J50" s="99" t="str">
        <f>'retrieve E2E ZK random'!J40</f>
        <v/>
      </c>
      <c r="K50" s="99" t="str">
        <f>'retrieve E2E ZK random'!K40</f>
        <v>x</v>
      </c>
      <c r="L50" s="99" t="str">
        <f>'retrieve E2E ZK random'!L40</f>
        <v/>
      </c>
      <c r="M50" s="99" t="str">
        <f>'retrieve E2E ZK random'!M40</f>
        <v/>
      </c>
      <c r="N50" s="99" t="str">
        <f>'retrieve E2E ZK random'!N40</f>
        <v/>
      </c>
      <c r="O50" s="99" t="str">
        <f>'retrieve E2E ZK random'!O40</f>
        <v/>
      </c>
      <c r="P50" s="99" t="str">
        <f>'retrieve E2E ZK random'!P40</f>
        <v/>
      </c>
    </row>
    <row r="51">
      <c r="A51" s="99">
        <f>'retrieve E2E OD random'!A16</f>
        <v>56</v>
      </c>
      <c r="B51" s="99" t="str">
        <f>'retrieve E2E OD random'!B16</f>
        <v>The Wrestlers is a low - cost , family - friendly pub located in Luton near Raja Indian Cuisine . It has Italian food and a place to Euros .</v>
      </c>
      <c r="C51" s="99" t="str">
        <f>'retrieve E2E OD random'!C16</f>
        <v>The Wrestlers|eat_type|pub ++ The Wrestlers|food|Italian ++ The Wrestlers|price_range|less than £20 ++ The Wrestlers|area|riverside ++ The Wrestlers|family_friendly|yes ++ The Wrestlers|near|Raja Indian Cuisine</v>
      </c>
      <c r="D51" s="99">
        <f>'retrieve E2E OD random'!D16</f>
        <v>0.01</v>
      </c>
      <c r="E51" s="99" t="str">
        <f>'retrieve E2E OD random'!E16</f>
        <v>omission</v>
      </c>
      <c r="F51" s="99" t="str">
        <f>'retrieve E2E OD random'!F16</f>
        <v>hallucination+omission</v>
      </c>
      <c r="G51" s="99" t="str">
        <f>'retrieve E2E OD random'!G16</f>
        <v/>
      </c>
      <c r="H51" s="99" t="str">
        <f>'retrieve E2E OD random'!H16</f>
        <v>x</v>
      </c>
      <c r="I51" s="99" t="str">
        <f>'retrieve E2E OD random'!I16</f>
        <v/>
      </c>
      <c r="J51" s="99" t="str">
        <f>'retrieve E2E OD random'!J16</f>
        <v/>
      </c>
      <c r="K51" s="99" t="str">
        <f>'retrieve E2E OD random'!K16</f>
        <v/>
      </c>
      <c r="L51" s="99" t="str">
        <f>'retrieve E2E OD random'!L16</f>
        <v/>
      </c>
      <c r="M51" s="99" t="str">
        <f>'retrieve E2E OD random'!M16</f>
        <v>x</v>
      </c>
      <c r="N51" s="99" t="str">
        <f>'retrieve E2E OD random'!N16</f>
        <v/>
      </c>
      <c r="O51" s="99" t="str">
        <f>'retrieve E2E OD random'!O16</f>
        <v/>
      </c>
      <c r="P51" s="99" t="str">
        <f>'retrieve E2E OD random'!P16</f>
        <v/>
      </c>
    </row>
    <row r="52">
      <c r="A52" s="99">
        <f>'retrieve E2E ZK random'!A10</f>
        <v>57</v>
      </c>
      <c r="B52" s="99" t="str">
        <f>'retrieve E2E ZK random'!B10</f>
        <v>The Punter is a family friendly restaurant in the town centre near Raja Indian Cuisine . It is inexpensive and serves Chinese food .</v>
      </c>
      <c r="C52" s="99" t="str">
        <f>'retrieve E2E ZK random'!C10</f>
        <v>The Punter|eat_type|restaurant ++ The Punter|food|Chinese ++ The Punter|price_range|less than £20 ++ The Punter|area|city centre ++ The Punter|family_friendly|yes ++ The Punter|near|Raja Indian Cuisine</v>
      </c>
      <c r="D52" s="99">
        <f>'retrieve E2E ZK random'!D10</f>
        <v>0.209</v>
      </c>
      <c r="E52" s="99" t="str">
        <f>'retrieve E2E ZK random'!E10</f>
        <v>OK</v>
      </c>
      <c r="F52" s="99" t="str">
        <f>'retrieve E2E ZK random'!F10</f>
        <v>omission</v>
      </c>
      <c r="G52" s="99" t="str">
        <f>'retrieve E2E ZK random'!G10</f>
        <v>x</v>
      </c>
      <c r="H52" s="99" t="str">
        <f>'retrieve E2E ZK random'!H10</f>
        <v/>
      </c>
      <c r="I52" s="99" t="str">
        <f>'retrieve E2E ZK random'!I10</f>
        <v/>
      </c>
      <c r="J52" s="99" t="str">
        <f>'retrieve E2E ZK random'!J10</f>
        <v/>
      </c>
      <c r="K52" s="99" t="str">
        <f>'retrieve E2E ZK random'!K10</f>
        <v>x</v>
      </c>
      <c r="L52" s="99" t="str">
        <f>'retrieve E2E ZK random'!L10</f>
        <v/>
      </c>
      <c r="M52" s="99" t="str">
        <f>'retrieve E2E ZK random'!M10</f>
        <v/>
      </c>
      <c r="N52" s="99" t="str">
        <f>'retrieve E2E ZK random'!N10</f>
        <v/>
      </c>
      <c r="O52" s="99" t="str">
        <f>'retrieve E2E ZK random'!O10</f>
        <v/>
      </c>
      <c r="P52" s="99" t="str">
        <f>'retrieve E2E ZK random'!P10</f>
        <v/>
      </c>
    </row>
    <row r="53">
      <c r="A53" s="99">
        <f>'retrieve E2E ZK random'!A30</f>
        <v>58</v>
      </c>
      <c r="B53" s="99" t="str">
        <f>'retrieve E2E ZK random'!B30</f>
        <v>If you are looking for a coffee shop near Café Sicilia then the Cocum is a highly rated restaurant.</v>
      </c>
      <c r="C53" s="99" t="str">
        <f>'retrieve E2E ZK random'!C30</f>
        <v>Cocum|eat_type|coffee shop ++ Cocum|rating|high ++ Cocum|near|Café Sicilia</v>
      </c>
      <c r="D53" s="99">
        <f>'retrieve E2E ZK random'!D30</f>
        <v>0.862</v>
      </c>
      <c r="E53" s="99" t="str">
        <f>'retrieve E2E ZK random'!E30</f>
        <v>hallucination</v>
      </c>
      <c r="F53" s="99" t="str">
        <f>'retrieve E2E ZK random'!F30</f>
        <v>OK</v>
      </c>
      <c r="G53" s="99" t="str">
        <f>'retrieve E2E ZK random'!G30</f>
        <v/>
      </c>
      <c r="H53" s="99" t="str">
        <f>'retrieve E2E ZK random'!H30</f>
        <v>x</v>
      </c>
      <c r="I53" s="99" t="str">
        <f>'retrieve E2E ZK random'!I30</f>
        <v/>
      </c>
      <c r="J53" s="99" t="str">
        <f>'retrieve E2E ZK random'!J30</f>
        <v/>
      </c>
      <c r="K53" s="99" t="str">
        <f>'retrieve E2E ZK random'!K30</f>
        <v/>
      </c>
      <c r="L53" s="99" t="str">
        <f>'retrieve E2E ZK random'!L30</f>
        <v/>
      </c>
      <c r="M53" s="99" t="str">
        <f>'retrieve E2E ZK random'!M30</f>
        <v/>
      </c>
      <c r="N53" s="99" t="str">
        <f>'retrieve E2E ZK random'!N30</f>
        <v/>
      </c>
      <c r="O53" s="99" t="str">
        <f>'retrieve E2E ZK random'!O30</f>
        <v>x</v>
      </c>
      <c r="P53" s="99" t="str">
        <f>'retrieve E2E ZK random'!P30</f>
        <v/>
      </c>
    </row>
    <row r="54">
      <c r="A54" s="99">
        <f>'retrieve E2E OD random'!A9</f>
        <v>59</v>
      </c>
      <c r="B54" s="99" t="str">
        <f>'retrieve E2E OD random'!B9</f>
        <v>The Mill is a moderate restaurant that serves English food. It is not children-friendly and has a rating of 1 out of 5. It is located in the riverside area near Café Rouge.</v>
      </c>
      <c r="C54" s="99" t="str">
        <f>'retrieve E2E OD random'!C9</f>
        <v>The Mill|eat_type|restaurant ++ The Mill|food|English ++ The Mill|price_range|moderate ++ The Mill|rating|1 out of 5 ++ The Mill|area|riverside ++ The Mill|family_friendly|no ++ The Mill|near|Café Rouge</v>
      </c>
      <c r="D54" s="99">
        <f>'retrieve E2E OD random'!D9</f>
        <v>0.834</v>
      </c>
      <c r="E54" s="99" t="str">
        <f>'retrieve E2E OD random'!E9</f>
        <v>omission</v>
      </c>
      <c r="F54" s="99" t="str">
        <f>'retrieve E2E OD random'!F9</f>
        <v>OK</v>
      </c>
      <c r="G54" s="99" t="str">
        <f>'retrieve E2E OD random'!G9</f>
        <v/>
      </c>
      <c r="H54" s="99" t="str">
        <f>'retrieve E2E OD random'!H9</f>
        <v/>
      </c>
      <c r="I54" s="99" t="str">
        <f>'retrieve E2E OD random'!I9</f>
        <v>x</v>
      </c>
      <c r="J54" s="99" t="str">
        <f>'retrieve E2E OD random'!J9</f>
        <v/>
      </c>
      <c r="K54" s="99" t="str">
        <f>'retrieve E2E OD random'!K9</f>
        <v/>
      </c>
      <c r="L54" s="99" t="str">
        <f>'retrieve E2E OD random'!L9</f>
        <v/>
      </c>
      <c r="M54" s="99" t="str">
        <f>'retrieve E2E OD random'!M9</f>
        <v/>
      </c>
      <c r="N54" s="99" t="str">
        <f>'retrieve E2E OD random'!N9</f>
        <v/>
      </c>
      <c r="O54" s="99" t="str">
        <f>'retrieve E2E OD random'!O9</f>
        <v/>
      </c>
      <c r="P54" s="99" t="str">
        <f>'retrieve E2E OD random'!P9</f>
        <v>edge case: "moderate restaurant" (as in price range=moderate)</v>
      </c>
    </row>
    <row r="55">
      <c r="A55" s="99">
        <f>'retrieve E2E ZK random'!A12</f>
        <v>61</v>
      </c>
      <c r="B55" s="99" t="str">
        <f>'retrieve E2E ZK random'!B12</f>
        <v>If you 're looking for a new place to eat , Wildwood is a short called the road and the road from Raja Indian Cuisine .</v>
      </c>
      <c r="C55" s="99" t="str">
        <f>'retrieve E2E ZK random'!C12</f>
        <v>Wildwood|eat_type|restaurant ++ Wildwood|food|Italian ++ Wildwood|area|riverside ++ Wildwood|family_friendly|no ++ Wildwood|near|Raja Indian Cuisine</v>
      </c>
      <c r="D55" s="99">
        <f>'retrieve E2E ZK random'!D12</f>
        <v>0.003</v>
      </c>
      <c r="E55" s="99" t="str">
        <f>'retrieve E2E ZK random'!E12</f>
        <v>omission</v>
      </c>
      <c r="F55" s="99" t="str">
        <f>'retrieve E2E ZK random'!F12</f>
        <v>hallucination+omission</v>
      </c>
      <c r="G55" s="99" t="str">
        <f>'retrieve E2E ZK random'!G12</f>
        <v/>
      </c>
      <c r="H55" s="99" t="str">
        <f>'retrieve E2E ZK random'!H12</f>
        <v>x</v>
      </c>
      <c r="I55" s="99" t="str">
        <f>'retrieve E2E ZK random'!I12</f>
        <v/>
      </c>
      <c r="J55" s="99" t="str">
        <f>'retrieve E2E ZK random'!J12</f>
        <v/>
      </c>
      <c r="K55" s="99" t="str">
        <f>'retrieve E2E ZK random'!K12</f>
        <v/>
      </c>
      <c r="L55" s="99" t="str">
        <f>'retrieve E2E ZK random'!L12</f>
        <v/>
      </c>
      <c r="M55" s="99" t="str">
        <f>'retrieve E2E ZK random'!M12</f>
        <v/>
      </c>
      <c r="N55" s="99" t="str">
        <f>'retrieve E2E ZK random'!N12</f>
        <v/>
      </c>
      <c r="O55" s="99" t="str">
        <f>'retrieve E2E ZK random'!O12</f>
        <v/>
      </c>
      <c r="P55" s="99" t="str">
        <f>'retrieve E2E ZK random'!P12</f>
        <v>nonsensical sentence</v>
      </c>
    </row>
    <row r="56">
      <c r="A56" s="99">
        <f>'retrieve E2E ZK random'!A50</f>
        <v>62</v>
      </c>
      <c r="B56" s="99" t="str">
        <f>'retrieve E2E ZK random'!B50</f>
        <v>The Mill, which is in the city centre area by Raja Indian Cuisine, is a cheap restaurant offering English cuisine. It is kid-friendly.</v>
      </c>
      <c r="C56" s="99" t="str">
        <f>'retrieve E2E ZK random'!C50</f>
        <v>The Mill|eat_type|restaurant ++ The Mill|food|English ++ The Mill|price_range|less than £20 ++ The Mill|area|city centre ++ The Mill|family_friendly|yes ++ The Mill|near|Raja Indian Cuisine</v>
      </c>
      <c r="D56" s="99">
        <f>'retrieve E2E ZK random'!D50</f>
        <v>0.047</v>
      </c>
      <c r="E56" s="99" t="str">
        <f>'retrieve E2E ZK random'!E50</f>
        <v>OK</v>
      </c>
      <c r="F56" s="99" t="str">
        <f>'retrieve E2E ZK random'!F50</f>
        <v>omission</v>
      </c>
      <c r="G56" s="99" t="str">
        <f>'retrieve E2E ZK random'!G50</f>
        <v>x</v>
      </c>
      <c r="H56" s="99" t="str">
        <f>'retrieve E2E ZK random'!H50</f>
        <v/>
      </c>
      <c r="I56" s="99" t="str">
        <f>'retrieve E2E ZK random'!I50</f>
        <v/>
      </c>
      <c r="J56" s="99" t="str">
        <f>'retrieve E2E ZK random'!J50</f>
        <v/>
      </c>
      <c r="K56" s="99" t="str">
        <f>'retrieve E2E ZK random'!K50</f>
        <v>x</v>
      </c>
      <c r="L56" s="99" t="str">
        <f>'retrieve E2E ZK random'!L50</f>
        <v/>
      </c>
      <c r="M56" s="99" t="str">
        <f>'retrieve E2E ZK random'!M50</f>
        <v/>
      </c>
      <c r="N56" s="99" t="str">
        <f>'retrieve E2E ZK random'!N50</f>
        <v/>
      </c>
      <c r="O56" s="99" t="str">
        <f>'retrieve E2E ZK random'!O50</f>
        <v/>
      </c>
      <c r="P56" s="99" t="str">
        <f>'retrieve E2E ZK random'!P50</f>
        <v/>
      </c>
    </row>
    <row r="57">
      <c r="A57" s="99">
        <f>'retrieve E2E ZK random'!A26</f>
        <v>63</v>
      </c>
      <c r="B57" s="99" t="str">
        <f>'retrieve E2E ZK random'!B26</f>
        <v>The Mill is a cheap English pub in the city centre near Raja Indian Cuisine. It is not family-friendly.</v>
      </c>
      <c r="C57" s="99" t="str">
        <f>'retrieve E2E ZK random'!C26</f>
        <v>The Mill|eat_type|pub ++ The Mill|food|English ++ The Mill|price_range|less than £20 ++ The Mill|area|city centre ++ The Mill|family_friendly|no ++ The Mill|near|Raja Indian Cuisine</v>
      </c>
      <c r="D57" s="99">
        <f>'retrieve E2E ZK random'!D26</f>
        <v>0.205</v>
      </c>
      <c r="E57" s="99" t="str">
        <f>'retrieve E2E ZK random'!E26</f>
        <v>OK</v>
      </c>
      <c r="F57" s="99" t="str">
        <f>'retrieve E2E ZK random'!F26</f>
        <v>omission</v>
      </c>
      <c r="G57" s="99" t="str">
        <f>'retrieve E2E ZK random'!G26</f>
        <v>x</v>
      </c>
      <c r="H57" s="99" t="str">
        <f>'retrieve E2E ZK random'!H26</f>
        <v/>
      </c>
      <c r="I57" s="99" t="str">
        <f>'retrieve E2E ZK random'!I26</f>
        <v/>
      </c>
      <c r="J57" s="99" t="str">
        <f>'retrieve E2E ZK random'!J26</f>
        <v/>
      </c>
      <c r="K57" s="99" t="str">
        <f>'retrieve E2E ZK random'!K26</f>
        <v>x</v>
      </c>
      <c r="L57" s="99" t="str">
        <f>'retrieve E2E ZK random'!L26</f>
        <v/>
      </c>
      <c r="M57" s="99" t="str">
        <f>'retrieve E2E ZK random'!M26</f>
        <v/>
      </c>
      <c r="N57" s="99" t="str">
        <f>'retrieve E2E ZK random'!N26</f>
        <v/>
      </c>
      <c r="O57" s="99" t="str">
        <f>'retrieve E2E ZK random'!O26</f>
        <v/>
      </c>
      <c r="P57" s="99" t="str">
        <f>'retrieve E2E ZK random'!P26</f>
        <v/>
      </c>
    </row>
    <row r="58">
      <c r="A58" s="99">
        <f>'retrieve E2E OD random'!A7</f>
        <v>64</v>
      </c>
      <c r="B58" s="99" t="str">
        <f>'retrieve E2E OD random'!B7</f>
        <v>Conveniently located in riverside near Raja Indian Cuisine there is a moderately priced pub serving Japanese food with a rating of 1 out of 5 called The Wrestlers. Children are permitted.</v>
      </c>
      <c r="C58" s="99" t="str">
        <f>'retrieve E2E OD random'!C7</f>
        <v>The Wrestlers|eat_type|pub ++ The Wrestlers|food|Japanese ++ The Wrestlers|price_range|moderate ++ The Wrestlers|rating|1 out of 5 ++ The Wrestlers|area|riverside ++ The Wrestlers|family_friendly|yes ++ The Wrestlers|near|Raja Indian Cuisine</v>
      </c>
      <c r="D58" s="99">
        <f>'retrieve E2E OD random'!D7</f>
        <v>0.901</v>
      </c>
      <c r="E58" s="99" t="str">
        <f>'retrieve E2E OD random'!E7</f>
        <v>omission</v>
      </c>
      <c r="F58" s="99" t="str">
        <f>'retrieve E2E OD random'!F7</f>
        <v>OK</v>
      </c>
      <c r="G58" s="99" t="str">
        <f>'retrieve E2E OD random'!G7</f>
        <v/>
      </c>
      <c r="H58" s="99" t="str">
        <f>'retrieve E2E OD random'!H7</f>
        <v>x</v>
      </c>
      <c r="I58" s="99" t="str">
        <f>'retrieve E2E OD random'!I7</f>
        <v/>
      </c>
      <c r="J58" s="99" t="str">
        <f>'retrieve E2E OD random'!J7</f>
        <v/>
      </c>
      <c r="K58" s="99" t="str">
        <f>'retrieve E2E OD random'!K7</f>
        <v/>
      </c>
      <c r="L58" s="99" t="str">
        <f>'retrieve E2E OD random'!L7</f>
        <v>x</v>
      </c>
      <c r="M58" s="99" t="str">
        <f>'retrieve E2E OD random'!M7</f>
        <v/>
      </c>
      <c r="N58" s="99" t="str">
        <f>'retrieve E2E OD random'!N7</f>
        <v/>
      </c>
      <c r="O58" s="99" t="str">
        <f>'retrieve E2E OD random'!O7</f>
        <v/>
      </c>
      <c r="P58" s="99" t="str">
        <f>'retrieve E2E OD random'!P7</f>
        <v/>
      </c>
    </row>
    <row r="59">
      <c r="A59" s="99">
        <f>'retrieve E2E OD random'!A45</f>
        <v>66</v>
      </c>
      <c r="B59" s="99" t="str">
        <f>'retrieve E2E OD random'!B45</f>
        <v>The Vaults, which is in the city centre area by Raja Indian Cuisine, is a low-priced restaurant offering French cuisine. Children are not welcome.</v>
      </c>
      <c r="C59" s="99" t="str">
        <f>'retrieve E2E OD random'!C45</f>
        <v>The Vaults|eat_type|restaurant ++ The Vaults|food|French ++ The Vaults|price_range|less than £20 ++ The Vaults|area|city centre ++ The Vaults|family_friendly|no ++ The Vaults|near|Raja Indian Cuisine</v>
      </c>
      <c r="D59" s="99">
        <f>'retrieve E2E OD random'!D45</f>
        <v>0.029</v>
      </c>
      <c r="E59" s="99" t="str">
        <f>'retrieve E2E OD random'!E45</f>
        <v>OK</v>
      </c>
      <c r="F59" s="99" t="str">
        <f>'retrieve E2E OD random'!F45</f>
        <v>omission</v>
      </c>
      <c r="G59" s="99" t="str">
        <f>'retrieve E2E OD random'!G45</f>
        <v>x</v>
      </c>
      <c r="H59" s="99" t="str">
        <f>'retrieve E2E OD random'!H45</f>
        <v/>
      </c>
      <c r="I59" s="99" t="str">
        <f>'retrieve E2E OD random'!I45</f>
        <v/>
      </c>
      <c r="J59" s="99" t="str">
        <f>'retrieve E2E OD random'!J45</f>
        <v/>
      </c>
      <c r="K59" s="99" t="str">
        <f>'retrieve E2E OD random'!K45</f>
        <v>x</v>
      </c>
      <c r="L59" s="99" t="str">
        <f>'retrieve E2E OD random'!L45</f>
        <v/>
      </c>
      <c r="M59" s="99" t="str">
        <f>'retrieve E2E OD random'!M45</f>
        <v/>
      </c>
      <c r="N59" s="99" t="str">
        <f>'retrieve E2E OD random'!N45</f>
        <v/>
      </c>
      <c r="O59" s="99" t="str">
        <f>'retrieve E2E OD random'!O45</f>
        <v/>
      </c>
      <c r="P59" s="99" t="str">
        <f>'retrieve E2E OD random'!P45</f>
        <v/>
      </c>
    </row>
    <row r="60">
      <c r="A60" s="99">
        <f>'retrieve E2E ZK random'!A16</f>
        <v>67</v>
      </c>
      <c r="B60" s="99" t="str">
        <f>'retrieve E2E ZK random'!B16</f>
        <v>The Vaults is a children friendly Italian pub near Rainbow Vegetarian Café with a high price range and an average customer rating.</v>
      </c>
      <c r="C60" s="99" t="str">
        <f>'retrieve E2E ZK random'!C16</f>
        <v>The Vaults|eat_type|pub ++ The Vaults|food|Italian ++ The Vaults|price_range|high ++ The Vaults|rating|average ++ The Vaults|area|riverside ++ The Vaults|family_friendly|yes ++ The Vaults|near|Rainbow Vegetarian Café</v>
      </c>
      <c r="D60" s="99">
        <f>'retrieve E2E ZK random'!D16</f>
        <v>0.003</v>
      </c>
      <c r="E60" s="99" t="str">
        <f>'retrieve E2E ZK random'!E16</f>
        <v>hallucination+omission</v>
      </c>
      <c r="F60" s="99" t="str">
        <f>'retrieve E2E ZK random'!F16</f>
        <v>omission</v>
      </c>
      <c r="G60" s="99" t="str">
        <f>'retrieve E2E ZK random'!G16</f>
        <v/>
      </c>
      <c r="H60" s="99" t="str">
        <f>'retrieve E2E ZK random'!H16</f>
        <v>x</v>
      </c>
      <c r="I60" s="99" t="str">
        <f>'retrieve E2E ZK random'!I16</f>
        <v/>
      </c>
      <c r="J60" s="99" t="str">
        <f>'retrieve E2E ZK random'!J16</f>
        <v/>
      </c>
      <c r="K60" s="99" t="str">
        <f>'retrieve E2E ZK random'!K16</f>
        <v/>
      </c>
      <c r="L60" s="99" t="str">
        <f>'retrieve E2E ZK random'!L16</f>
        <v/>
      </c>
      <c r="M60" s="99" t="str">
        <f>'retrieve E2E ZK random'!M16</f>
        <v/>
      </c>
      <c r="N60" s="99" t="str">
        <f>'retrieve E2E ZK random'!N16</f>
        <v/>
      </c>
      <c r="O60" s="99" t="str">
        <f>'retrieve E2E ZK random'!O16</f>
        <v>x</v>
      </c>
      <c r="P60" s="99" t="str">
        <f>'retrieve E2E ZK random'!P16</f>
        <v/>
      </c>
    </row>
    <row r="61">
      <c r="A61" s="99">
        <f>'retrieve E2E OD random'!A42</f>
        <v>69</v>
      </c>
      <c r="B61" s="99" t="str">
        <f>'retrieve E2E OD random'!B42</f>
        <v>The Cricketers is a restaurant near Ranch. It has a low rating and is for adults only.</v>
      </c>
      <c r="C61" s="99" t="str">
        <f>'retrieve E2E OD random'!C42</f>
        <v>The Cricketers|eat_type|restaurant ++ The Cricketers|rating|low ++ The Cricketers|family_friendly|no ++ The Cricketers|near|Ranch</v>
      </c>
      <c r="D61" s="99">
        <f>'retrieve E2E OD random'!D42</f>
        <v>0.012</v>
      </c>
      <c r="E61" s="99" t="str">
        <f>'retrieve E2E OD random'!E42</f>
        <v>OK</v>
      </c>
      <c r="F61" s="99" t="str">
        <f>'retrieve E2E OD random'!F42</f>
        <v>hallucination</v>
      </c>
      <c r="G61" s="99" t="str">
        <f>'retrieve E2E OD random'!G42</f>
        <v>x</v>
      </c>
      <c r="H61" s="99" t="str">
        <f>'retrieve E2E OD random'!H42</f>
        <v/>
      </c>
      <c r="I61" s="99" t="str">
        <f>'retrieve E2E OD random'!I42</f>
        <v/>
      </c>
      <c r="J61" s="99" t="str">
        <f>'retrieve E2E OD random'!J42</f>
        <v/>
      </c>
      <c r="K61" s="99" t="str">
        <f>'retrieve E2E OD random'!K42</f>
        <v/>
      </c>
      <c r="L61" s="99" t="str">
        <f>'retrieve E2E OD random'!L42</f>
        <v>x</v>
      </c>
      <c r="M61" s="99" t="str">
        <f>'retrieve E2E OD random'!M42</f>
        <v/>
      </c>
      <c r="N61" s="99" t="str">
        <f>'retrieve E2E OD random'!N42</f>
        <v/>
      </c>
      <c r="O61" s="99" t="str">
        <f>'retrieve E2E OD random'!O42</f>
        <v/>
      </c>
      <c r="P61" s="99" t="str">
        <f>'retrieve E2E OD random'!P42</f>
        <v/>
      </c>
    </row>
    <row r="62">
      <c r="A62" s="99">
        <f>'retrieve E2E OD random'!A5</f>
        <v>70</v>
      </c>
      <c r="B62" s="99" t="str">
        <f>'retrieve E2E OD random'!B5</f>
        <v>The Cricketers is a chinese restaurant in the riverside area near All Bar One. It is children friendly and has an average customer rating and a high price range.</v>
      </c>
      <c r="C62" s="99" t="str">
        <f>'retrieve E2E OD random'!C5</f>
        <v>The Cricketers|eat_type|restaurant ++ The Cricketers|food|Chinese ++ The Cricketers|price_range|high ++ The Cricketers|rating|average ++ The Cricketers|area|riverside ++ The Cricketers|family_friendly|yes ++ The Cricketers|near|All Bar One</v>
      </c>
      <c r="D62" s="99">
        <f>'retrieve E2E OD random'!D5</f>
        <v>0.97</v>
      </c>
      <c r="E62" s="99" t="str">
        <f>'retrieve E2E OD random'!E5</f>
        <v>hallucination</v>
      </c>
      <c r="F62" s="99" t="str">
        <f>'retrieve E2E OD random'!F5</f>
        <v>OK</v>
      </c>
      <c r="G62" s="99" t="str">
        <f>'retrieve E2E OD random'!G5</f>
        <v/>
      </c>
      <c r="H62" s="99" t="str">
        <f>'retrieve E2E OD random'!H5</f>
        <v>x</v>
      </c>
      <c r="I62" s="99" t="str">
        <f>'retrieve E2E OD random'!I5</f>
        <v/>
      </c>
      <c r="J62" s="99" t="str">
        <f>'retrieve E2E OD random'!J5</f>
        <v/>
      </c>
      <c r="K62" s="99" t="str">
        <f>'retrieve E2E OD random'!K5</f>
        <v/>
      </c>
      <c r="L62" s="99" t="str">
        <f>'retrieve E2E OD random'!L5</f>
        <v/>
      </c>
      <c r="M62" s="99" t="str">
        <f>'retrieve E2E OD random'!M5</f>
        <v/>
      </c>
      <c r="N62" s="99" t="str">
        <f>'retrieve E2E OD random'!N5</f>
        <v/>
      </c>
      <c r="O62" s="99" t="str">
        <f>'retrieve E2E OD random'!O5</f>
        <v>x</v>
      </c>
      <c r="P62" s="99" t="str">
        <f>'retrieve E2E OD random'!P5</f>
        <v/>
      </c>
    </row>
    <row r="63">
      <c r="A63" s="99">
        <f>'retrieve E2E ZK random'!A39</f>
        <v>71</v>
      </c>
      <c r="B63" s="99" t="str">
        <f>'retrieve E2E ZK random'!B39</f>
        <v>There is a pub called The Mill that serves Fast food in the £20-25 price range with a high customer rating in the city centre near Café Rouge and is not kid friendly.</v>
      </c>
      <c r="C63" s="99" t="str">
        <f>'retrieve E2E ZK random'!C39</f>
        <v>The Mill|eat_type|pub ++ The Mill|food|Fast food ++ The Mill|price_range|£20-25 ++ The Mill|rating|high ++ The Mill|area|city centre ++ The Mill|family_friendly|no ++ The Mill|near|Café Rouge</v>
      </c>
      <c r="D63" s="99">
        <f>'retrieve E2E ZK random'!D39</f>
        <v>0.976</v>
      </c>
      <c r="E63" s="99" t="str">
        <f>'retrieve E2E ZK random'!E39</f>
        <v>hallucination</v>
      </c>
      <c r="F63" s="99" t="str">
        <f>'retrieve E2E ZK random'!F39</f>
        <v>OK</v>
      </c>
      <c r="G63" s="99" t="str">
        <f>'retrieve E2E ZK random'!G39</f>
        <v/>
      </c>
      <c r="H63" s="99" t="str">
        <f>'retrieve E2E ZK random'!H39</f>
        <v>x</v>
      </c>
      <c r="I63" s="99" t="str">
        <f>'retrieve E2E ZK random'!I39</f>
        <v/>
      </c>
      <c r="J63" s="99" t="str">
        <f>'retrieve E2E ZK random'!J39</f>
        <v/>
      </c>
      <c r="K63" s="99" t="str">
        <f>'retrieve E2E ZK random'!K39</f>
        <v/>
      </c>
      <c r="L63" s="99" t="str">
        <f>'retrieve E2E ZK random'!L39</f>
        <v/>
      </c>
      <c r="M63" s="99" t="str">
        <f>'retrieve E2E ZK random'!M39</f>
        <v/>
      </c>
      <c r="N63" s="99" t="str">
        <f>'retrieve E2E ZK random'!N39</f>
        <v/>
      </c>
      <c r="O63" s="99" t="str">
        <f>'retrieve E2E ZK random'!O39</f>
        <v>x</v>
      </c>
      <c r="P63" s="99" t="str">
        <f>'retrieve E2E ZK random'!P39</f>
        <v/>
      </c>
    </row>
    <row r="64">
      <c r="A64" s="99">
        <f>'retrieve E2E ZK random'!A24</f>
        <v>72</v>
      </c>
      <c r="B64" s="99" t="str">
        <f>'retrieve E2E ZK random'!B24</f>
        <v>There is a pub called The Wrestlers that is located near Raja Indian Cuisine . It has wonderful food although it is within the high price range .</v>
      </c>
      <c r="C64" s="99" t="str">
        <f>'retrieve E2E ZK random'!C24</f>
        <v>The Wrestlers|eat_type|pub ++ The Wrestlers|food|Japanese ++ The Wrestlers|price_range|more than £30 ++ The Wrestlers|rating|low ++ The Wrestlers|area|riverside ++ The Wrestlers|family_friendly|yes ++ The Wrestlers|near|Raja Indian Cuisine</v>
      </c>
      <c r="D64" s="99">
        <f>'retrieve E2E ZK random'!D24</f>
        <v>0.001</v>
      </c>
      <c r="E64" s="99" t="str">
        <f>'retrieve E2E ZK random'!E24</f>
        <v>omission</v>
      </c>
      <c r="F64" s="99" t="str">
        <f>'retrieve E2E ZK random'!F24</f>
        <v>hallucination+omission</v>
      </c>
      <c r="G64" s="99" t="str">
        <f>'retrieve E2E ZK random'!G24</f>
        <v/>
      </c>
      <c r="H64" s="99" t="str">
        <f>'retrieve E2E ZK random'!H24</f>
        <v>x</v>
      </c>
      <c r="I64" s="99" t="str">
        <f>'retrieve E2E ZK random'!I24</f>
        <v/>
      </c>
      <c r="J64" s="99" t="str">
        <f>'retrieve E2E ZK random'!J24</f>
        <v/>
      </c>
      <c r="K64" s="99" t="str">
        <f>'retrieve E2E ZK random'!K24</f>
        <v/>
      </c>
      <c r="L64" s="99" t="str">
        <f>'retrieve E2E ZK random'!L24</f>
        <v/>
      </c>
      <c r="M64" s="99" t="str">
        <f>'retrieve E2E ZK random'!M24</f>
        <v>x</v>
      </c>
      <c r="N64" s="99" t="str">
        <f>'retrieve E2E ZK random'!N24</f>
        <v/>
      </c>
      <c r="O64" s="99" t="str">
        <f>'retrieve E2E ZK random'!O24</f>
        <v/>
      </c>
      <c r="P64" s="99" t="str">
        <f>'retrieve E2E ZK random'!P24</f>
        <v/>
      </c>
    </row>
    <row r="65">
      <c r="A65" s="99">
        <f>'retrieve E2E ZK random'!A8</f>
        <v>73</v>
      </c>
      <c r="B65" s="99" t="str">
        <f>'retrieve E2E ZK random'!B8</f>
        <v>The Punter is a restaurant in the riverside area that has a 1 out of 5 customer rating. Although it has a higher price range, it is children friendly, serves Italian food and is near the Rainbow Vegetarian Café.</v>
      </c>
      <c r="C65" s="99" t="str">
        <f>'retrieve E2E ZK random'!C8</f>
        <v>The Punter|eat_type|restaurant ++ The Punter|food|Italian ++ The Punter|price_range|high ++ The Punter|rating|1 out of 5 ++ The Punter|area|riverside ++ The Punter|family_friendly|yes ++ The Punter|near|Rainbow Vegetarian Café</v>
      </c>
      <c r="D65" s="99">
        <f>'retrieve E2E ZK random'!D8</f>
        <v>0.966</v>
      </c>
      <c r="E65" s="99" t="str">
        <f>'retrieve E2E ZK random'!E8</f>
        <v>omission</v>
      </c>
      <c r="F65" s="99" t="str">
        <f>'retrieve E2E ZK random'!F8</f>
        <v>OK</v>
      </c>
      <c r="G65" s="99" t="str">
        <f>'retrieve E2E ZK random'!G8</f>
        <v/>
      </c>
      <c r="H65" s="99" t="str">
        <f>'retrieve E2E ZK random'!H8</f>
        <v>x</v>
      </c>
      <c r="I65" s="99" t="str">
        <f>'retrieve E2E ZK random'!I8</f>
        <v/>
      </c>
      <c r="J65" s="99" t="str">
        <f>'retrieve E2E ZK random'!J8</f>
        <v/>
      </c>
      <c r="K65" s="99" t="str">
        <f>'retrieve E2E ZK random'!K8</f>
        <v/>
      </c>
      <c r="L65" s="99" t="str">
        <f>'retrieve E2E ZK random'!L8</f>
        <v/>
      </c>
      <c r="M65" s="99" t="str">
        <f>'retrieve E2E ZK random'!M8</f>
        <v/>
      </c>
      <c r="N65" s="99" t="str">
        <f>'retrieve E2E ZK random'!N8</f>
        <v>x</v>
      </c>
      <c r="O65" s="99" t="str">
        <f>'retrieve E2E ZK random'!O8</f>
        <v/>
      </c>
      <c r="P65" s="99" t="str">
        <f>'retrieve E2E ZK random'!P8</f>
        <v/>
      </c>
    </row>
    <row r="66">
      <c r="A66" s="99">
        <f>'retrieve E2E ZK random'!A42</f>
        <v>74</v>
      </c>
      <c r="B66" s="99" t="str">
        <f>'retrieve E2E ZK random'!B42</f>
        <v>In the riverside, near Raja Indian Cuisine, you will find The Wrestlers. It is a non children-friendly pub that serves Japanese food. While its price range is quite 1 out of 5, moderate, it has a 1 out of 5 customer ratings.</v>
      </c>
      <c r="C66" s="99" t="str">
        <f>'retrieve E2E ZK random'!C42</f>
        <v>The Wrestlers|eat_type|pub ++ The Wrestlers|food|Japanese ++ The Wrestlers|price_range|moderate ++ The Wrestlers|rating|1 out of 5 ++ The Wrestlers|area|riverside ++ The Wrestlers|family_friendly|no ++ The Wrestlers|near|Raja Indian Cuisine</v>
      </c>
      <c r="D66" s="99">
        <f>'retrieve E2E ZK random'!D42</f>
        <v>0.975</v>
      </c>
      <c r="E66" s="99" t="str">
        <f>'retrieve E2E ZK random'!E42</f>
        <v>omission</v>
      </c>
      <c r="F66" s="99" t="str">
        <f>'retrieve E2E ZK random'!F42</f>
        <v>OK</v>
      </c>
      <c r="G66" s="99" t="str">
        <f>'retrieve E2E ZK random'!G42</f>
        <v/>
      </c>
      <c r="H66" s="99" t="str">
        <f>'retrieve E2E ZK random'!H42</f>
        <v/>
      </c>
      <c r="I66" s="99" t="str">
        <f>'retrieve E2E ZK random'!I42</f>
        <v>x</v>
      </c>
      <c r="J66" s="99" t="str">
        <f>'retrieve E2E ZK random'!J42</f>
        <v/>
      </c>
      <c r="K66" s="99" t="str">
        <f>'retrieve E2E ZK random'!K42</f>
        <v/>
      </c>
      <c r="L66" s="99" t="str">
        <f>'retrieve E2E ZK random'!L42</f>
        <v/>
      </c>
      <c r="M66" s="99" t="str">
        <f>'retrieve E2E ZK random'!M42</f>
        <v/>
      </c>
      <c r="N66" s="99" t="str">
        <f>'retrieve E2E ZK random'!N42</f>
        <v/>
      </c>
      <c r="O66" s="99" t="str">
        <f>'retrieve E2E ZK random'!O42</f>
        <v/>
      </c>
      <c r="P66" s="99" t="str">
        <f>'retrieve E2E ZK random'!P42</f>
        <v>"price range is quite 1 out of five"</v>
      </c>
    </row>
    <row r="67">
      <c r="A67" s="99">
        <f>'retrieve E2E ZK random'!A9</f>
        <v>75</v>
      </c>
      <c r="B67" s="99" t="str">
        <f>'retrieve E2E ZK random'!B9</f>
        <v>Non-kid-friendly The Waterman is a low-priced pub serving Italian cuisine. It is located in the city centre area and can be found near Raja Indian Cuisine.</v>
      </c>
      <c r="C67" s="99" t="str">
        <f>'retrieve E2E ZK random'!C9</f>
        <v>The Waterman|eat_type|pub ++ The Waterman|food|Italian ++ The Waterman|price_range|less than £20 ++ The Waterman|area|city centre ++ The Waterman|family_friendly|no ++ The Waterman|near|Raja Indian Cuisine</v>
      </c>
      <c r="D67" s="99">
        <f>'retrieve E2E ZK random'!D9</f>
        <v>0.154</v>
      </c>
      <c r="E67" s="99" t="str">
        <f>'retrieve E2E ZK random'!E9</f>
        <v>OK</v>
      </c>
      <c r="F67" s="99" t="str">
        <f>'retrieve E2E ZK random'!F9</f>
        <v>omission</v>
      </c>
      <c r="G67" s="99" t="str">
        <f>'retrieve E2E ZK random'!G9</f>
        <v>x</v>
      </c>
      <c r="H67" s="99" t="str">
        <f>'retrieve E2E ZK random'!H9</f>
        <v/>
      </c>
      <c r="I67" s="99" t="str">
        <f>'retrieve E2E ZK random'!I9</f>
        <v/>
      </c>
      <c r="J67" s="99" t="str">
        <f>'retrieve E2E ZK random'!J9</f>
        <v/>
      </c>
      <c r="K67" s="99" t="str">
        <f>'retrieve E2E ZK random'!K9</f>
        <v>x</v>
      </c>
      <c r="L67" s="99" t="str">
        <f>'retrieve E2E ZK random'!L9</f>
        <v/>
      </c>
      <c r="M67" s="99" t="str">
        <f>'retrieve E2E ZK random'!M9</f>
        <v/>
      </c>
      <c r="N67" s="99" t="str">
        <f>'retrieve E2E ZK random'!N9</f>
        <v/>
      </c>
      <c r="O67" s="99" t="str">
        <f>'retrieve E2E ZK random'!O9</f>
        <v/>
      </c>
      <c r="P67" s="99" t="str">
        <f>'retrieve E2E ZK random'!P9</f>
        <v/>
      </c>
    </row>
    <row r="68">
      <c r="A68" s="99">
        <f>'retrieve E2E ZK random'!A13</f>
        <v>76</v>
      </c>
      <c r="B68" s="99" t="str">
        <f>'retrieve E2E ZK random'!B13</f>
        <v>the plough is a highly priced chinese restaurant in the riverside area near raja indian cuisine. it is not family friendly.</v>
      </c>
      <c r="C68" s="99" t="str">
        <f>'retrieve E2E ZK random'!C13</f>
        <v>The Plough|eat_type|restaurant ++ The Plough|food|Chinese ++ The Plough|price_range|high ++ The Plough|area|riverside ++ The Plough|family_friendly|no ++ The Plough|near|Raja Indian Cuisine</v>
      </c>
      <c r="D68" s="99">
        <f>'retrieve E2E ZK random'!D13</f>
        <v>0.97</v>
      </c>
      <c r="E68" s="99" t="str">
        <f>'retrieve E2E ZK random'!E13</f>
        <v>omission</v>
      </c>
      <c r="F68" s="99" t="str">
        <f>'retrieve E2E ZK random'!F13</f>
        <v>OK</v>
      </c>
      <c r="G68" s="99" t="str">
        <f>'retrieve E2E ZK random'!G13</f>
        <v/>
      </c>
      <c r="H68" s="99" t="str">
        <f>'retrieve E2E ZK random'!H13</f>
        <v>x</v>
      </c>
      <c r="I68" s="99" t="str">
        <f>'retrieve E2E ZK random'!I13</f>
        <v/>
      </c>
      <c r="J68" s="99" t="str">
        <f>'retrieve E2E ZK random'!J13</f>
        <v/>
      </c>
      <c r="K68" s="99" t="str">
        <f>'retrieve E2E ZK random'!K13</f>
        <v/>
      </c>
      <c r="L68" s="99" t="str">
        <f>'retrieve E2E ZK random'!L13</f>
        <v/>
      </c>
      <c r="M68" s="99" t="str">
        <f>'retrieve E2E ZK random'!M13</f>
        <v/>
      </c>
      <c r="N68" s="99" t="str">
        <f>'retrieve E2E ZK random'!N13</f>
        <v>x</v>
      </c>
      <c r="O68" s="99" t="str">
        <f>'retrieve E2E ZK random'!O13</f>
        <v/>
      </c>
      <c r="P68" s="99" t="str">
        <f>'retrieve E2E ZK random'!P13</f>
        <v/>
      </c>
    </row>
    <row r="69">
      <c r="A69" s="99">
        <f>'retrieve E2E ZK random'!A35</f>
        <v>77</v>
      </c>
      <c r="B69" s="99" t="str">
        <f>'retrieve E2E ZK random'!B35</f>
        <v>The Vaults, which is located in the city centre near Raja Indian Cuisine, is a cheap restaurant serving French food. Children are welcome.</v>
      </c>
      <c r="C69" s="99" t="str">
        <f>'retrieve E2E ZK random'!C35</f>
        <v>The Vaults|eat_type|restaurant ++ The Vaults|food|French ++ The Vaults|price_range|less than £20 ++ The Vaults|area|city centre ++ The Vaults|family_friendly|yes ++ The Vaults|near|Raja Indian Cuisine</v>
      </c>
      <c r="D69" s="99">
        <f>'retrieve E2E ZK random'!D35</f>
        <v>0.053</v>
      </c>
      <c r="E69" s="99" t="str">
        <f>'retrieve E2E ZK random'!E35</f>
        <v>OK</v>
      </c>
      <c r="F69" s="99" t="str">
        <f>'retrieve E2E ZK random'!F35</f>
        <v>omission</v>
      </c>
      <c r="G69" s="99" t="str">
        <f>'retrieve E2E ZK random'!G35</f>
        <v>x</v>
      </c>
      <c r="H69" s="99" t="str">
        <f>'retrieve E2E ZK random'!H35</f>
        <v/>
      </c>
      <c r="I69" s="99" t="str">
        <f>'retrieve E2E ZK random'!I35</f>
        <v/>
      </c>
      <c r="J69" s="99" t="str">
        <f>'retrieve E2E ZK random'!J35</f>
        <v/>
      </c>
      <c r="K69" s="99" t="str">
        <f>'retrieve E2E ZK random'!K35</f>
        <v>x</v>
      </c>
      <c r="L69" s="99" t="str">
        <f>'retrieve E2E ZK random'!L35</f>
        <v/>
      </c>
      <c r="M69" s="99" t="str">
        <f>'retrieve E2E ZK random'!M35</f>
        <v/>
      </c>
      <c r="N69" s="99" t="str">
        <f>'retrieve E2E ZK random'!N35</f>
        <v/>
      </c>
      <c r="O69" s="99" t="str">
        <f>'retrieve E2E ZK random'!O35</f>
        <v/>
      </c>
      <c r="P69" s="99" t="str">
        <f>'retrieve E2E ZK random'!P35</f>
        <v/>
      </c>
    </row>
    <row r="70">
      <c r="A70" s="99">
        <f>'retrieve E2E ZK random'!A31</f>
        <v>78</v>
      </c>
      <c r="B70" s="99" t="str">
        <f>'retrieve E2E ZK random'!B31</f>
        <v>The Punter is a family friendly English restaurant in the riverside area near Raja Indian Cuisine with a price range of less than £20.</v>
      </c>
      <c r="C70" s="99" t="str">
        <f>'retrieve E2E ZK random'!C31</f>
        <v>The Punter|eat_type|restaurant ++ The Punter|food|English ++ The Punter|price_range|cheap ++ The Punter|area|riverside ++ The Punter|family_friendly|yes ++ The Punter|near|Raja Indian Cuisine</v>
      </c>
      <c r="D70" s="99">
        <f>'retrieve E2E ZK random'!D31</f>
        <v>0.006</v>
      </c>
      <c r="E70" s="99" t="str">
        <f>'retrieve E2E ZK random'!E31</f>
        <v>OK</v>
      </c>
      <c r="F70" s="99" t="str">
        <f>'retrieve E2E ZK random'!F31</f>
        <v>hallucination</v>
      </c>
      <c r="G70" s="99" t="str">
        <f>'retrieve E2E ZK random'!G31</f>
        <v>x</v>
      </c>
      <c r="H70" s="99" t="str">
        <f>'retrieve E2E ZK random'!H31</f>
        <v/>
      </c>
      <c r="I70" s="99" t="str">
        <f>'retrieve E2E ZK random'!I31</f>
        <v/>
      </c>
      <c r="J70" s="99" t="str">
        <f>'retrieve E2E ZK random'!J31</f>
        <v/>
      </c>
      <c r="K70" s="99" t="str">
        <f>'retrieve E2E ZK random'!K31</f>
        <v>x</v>
      </c>
      <c r="L70" s="99" t="str">
        <f>'retrieve E2E ZK random'!L31</f>
        <v/>
      </c>
      <c r="M70" s="99" t="str">
        <f>'retrieve E2E ZK random'!M31</f>
        <v/>
      </c>
      <c r="N70" s="99" t="str">
        <f>'retrieve E2E ZK random'!N31</f>
        <v/>
      </c>
      <c r="O70" s="99" t="str">
        <f>'retrieve E2E ZK random'!O31</f>
        <v/>
      </c>
      <c r="P70" s="99" t="str">
        <f>'retrieve E2E ZK random'!P31</f>
        <v/>
      </c>
    </row>
    <row r="71">
      <c r="A71" s="99">
        <f>'retrieve E2E ZK random'!A14</f>
        <v>79</v>
      </c>
      <c r="B71" s="99" t="str">
        <f>'retrieve E2E ZK random'!B14</f>
        <v>The Phoenix is a moderately priced French pub located in the riverside near Raja Indian Cuisine it is family friendly.</v>
      </c>
      <c r="C71" s="99" t="str">
        <f>'retrieve E2E ZK random'!C14</f>
        <v>The Phoenix|eat_type|pub ++ The Phoenix|food|French ++ The Phoenix|price_range|£20-25 ++ The Phoenix|area|riverside ++ The Phoenix|family_friendly|yes ++ The Phoenix|near|Raja Indian Cuisine</v>
      </c>
      <c r="D71" s="99">
        <f>'retrieve E2E ZK random'!D14</f>
        <v>0.004</v>
      </c>
      <c r="E71" s="99" t="str">
        <f>'retrieve E2E ZK random'!E14</f>
        <v>OK</v>
      </c>
      <c r="F71" s="99" t="str">
        <f>'retrieve E2E ZK random'!F14</f>
        <v>omission</v>
      </c>
      <c r="G71" s="99" t="str">
        <f>'retrieve E2E ZK random'!G14</f>
        <v>x</v>
      </c>
      <c r="H71" s="99" t="str">
        <f>'retrieve E2E ZK random'!H14</f>
        <v/>
      </c>
      <c r="I71" s="99" t="str">
        <f>'retrieve E2E ZK random'!I14</f>
        <v/>
      </c>
      <c r="J71" s="99" t="str">
        <f>'retrieve E2E ZK random'!J14</f>
        <v/>
      </c>
      <c r="K71" s="99" t="str">
        <f>'retrieve E2E ZK random'!K14</f>
        <v>x</v>
      </c>
      <c r="L71" s="99" t="str">
        <f>'retrieve E2E ZK random'!L14</f>
        <v/>
      </c>
      <c r="M71" s="99" t="str">
        <f>'retrieve E2E ZK random'!M14</f>
        <v/>
      </c>
      <c r="N71" s="99" t="str">
        <f>'retrieve E2E ZK random'!N14</f>
        <v/>
      </c>
      <c r="O71" s="99" t="str">
        <f>'retrieve E2E ZK random'!O14</f>
        <v/>
      </c>
      <c r="P71" s="99" t="str">
        <f>'retrieve E2E ZK random'!P14</f>
        <v/>
      </c>
    </row>
    <row r="72">
      <c r="A72" s="99">
        <f>'retrieve E2E ZK random'!A20</f>
        <v>80</v>
      </c>
      <c r="B72" s="99" t="str">
        <f>'retrieve E2E ZK random'!B20</f>
        <v>The Mill is a fast food pub in the city centre near Café Sicilia. It is not children friendly and has a high price range and an average customer rating.</v>
      </c>
      <c r="C72" s="99" t="str">
        <f>'retrieve E2E ZK random'!C20</f>
        <v>The Mill|eat_type|pub ++ The Mill|food|Fast food ++ The Mill|price_range|high ++ The Mill|rating|average ++ The Mill|area|city centre ++ The Mill|family_friendly|no ++ The Mill|near|Café Sicilia</v>
      </c>
      <c r="D72" s="99">
        <f>'retrieve E2E ZK random'!D20</f>
        <v>0.962</v>
      </c>
      <c r="E72" s="99" t="str">
        <f>'retrieve E2E ZK random'!E20</f>
        <v>hallucination</v>
      </c>
      <c r="F72" s="99" t="str">
        <f>'retrieve E2E ZK random'!F20</f>
        <v>OK</v>
      </c>
      <c r="G72" s="99" t="str">
        <f>'retrieve E2E ZK random'!G20</f>
        <v/>
      </c>
      <c r="H72" s="99" t="str">
        <f>'retrieve E2E ZK random'!H20</f>
        <v>x</v>
      </c>
      <c r="I72" s="99" t="str">
        <f>'retrieve E2E ZK random'!I20</f>
        <v/>
      </c>
      <c r="J72" s="99" t="str">
        <f>'retrieve E2E ZK random'!J20</f>
        <v/>
      </c>
      <c r="K72" s="99" t="str">
        <f>'retrieve E2E ZK random'!K20</f>
        <v/>
      </c>
      <c r="L72" s="99" t="str">
        <f>'retrieve E2E ZK random'!L20</f>
        <v/>
      </c>
      <c r="M72" s="99" t="str">
        <f>'retrieve E2E ZK random'!M20</f>
        <v/>
      </c>
      <c r="N72" s="99" t="str">
        <f>'retrieve E2E ZK random'!N20</f>
        <v/>
      </c>
      <c r="O72" s="99" t="str">
        <f>'retrieve E2E ZK random'!O20</f>
        <v>x</v>
      </c>
      <c r="P72" s="99" t="str">
        <f>'retrieve E2E ZK random'!P20</f>
        <v/>
      </c>
    </row>
    <row r="73">
      <c r="A73" s="99">
        <f>'retrieve E2E OD random'!A28</f>
        <v>81</v>
      </c>
      <c r="B73" s="99" t="str">
        <f>'retrieve E2E OD random'!B28</f>
        <v>A pub named Wildwood is located in the city centre. It is for adults and is close to Raja Indian Cuisine. They offer Indian food.</v>
      </c>
      <c r="C73" s="99" t="str">
        <f>'retrieve E2E OD random'!C28</f>
        <v>Wildwood|eat_type|pub ++ Wildwood|food|Indian ++ Wildwood|area|city centre ++ Wildwood|family_friendly|no ++ Wildwood|near|Raja Indian Cuisine</v>
      </c>
      <c r="D73" s="99">
        <f>'retrieve E2E OD random'!D28</f>
        <v>0.652</v>
      </c>
      <c r="E73" s="99" t="str">
        <f>'retrieve E2E OD random'!E28</f>
        <v>omission</v>
      </c>
      <c r="F73" s="99" t="str">
        <f>'retrieve E2E OD random'!F28</f>
        <v>OK</v>
      </c>
      <c r="G73" s="99" t="str">
        <f>'retrieve E2E OD random'!G28</f>
        <v/>
      </c>
      <c r="H73" s="99" t="str">
        <f>'retrieve E2E OD random'!H28</f>
        <v>x</v>
      </c>
      <c r="I73" s="99" t="str">
        <f>'retrieve E2E OD random'!I28</f>
        <v/>
      </c>
      <c r="J73" s="99" t="str">
        <f>'retrieve E2E OD random'!J28</f>
        <v/>
      </c>
      <c r="K73" s="99" t="str">
        <f>'retrieve E2E OD random'!K28</f>
        <v/>
      </c>
      <c r="L73" s="99" t="str">
        <f>'retrieve E2E OD random'!L28</f>
        <v>x</v>
      </c>
      <c r="M73" s="99" t="str">
        <f>'retrieve E2E OD random'!M28</f>
        <v/>
      </c>
      <c r="N73" s="99" t="str">
        <f>'retrieve E2E OD random'!N28</f>
        <v/>
      </c>
      <c r="O73" s="99" t="str">
        <f>'retrieve E2E OD random'!O28</f>
        <v/>
      </c>
      <c r="P73" s="99" t="str">
        <f>'retrieve E2E OD random'!P28</f>
        <v/>
      </c>
    </row>
    <row r="74">
      <c r="A74" s="99">
        <f>'retrieve E2E ZK random'!A37</f>
        <v>82</v>
      </c>
      <c r="B74" s="99" t="str">
        <f>'retrieve E2E ZK random'!B37</f>
        <v>The Cricketers, a kids friendly restaurant with a £20-£25 price range, with a rating of high. It serves English food and is in city centre near All Bar One.</v>
      </c>
      <c r="C74" s="99" t="str">
        <f>'retrieve E2E ZK random'!C37</f>
        <v>The Cricketers|eat_type|restaurant ++ The Cricketers|food|English ++ The Cricketers|price_range|£20-25 ++ The Cricketers|rating|high ++ The Cricketers|area|city centre ++ The Cricketers|family_friendly|yes ++ The Cricketers|near|All Bar One</v>
      </c>
      <c r="D74" s="99">
        <f>'retrieve E2E ZK random'!D37</f>
        <v>0.963</v>
      </c>
      <c r="E74" s="99" t="str">
        <f>'retrieve E2E ZK random'!E37</f>
        <v>omission</v>
      </c>
      <c r="F74" s="99" t="str">
        <f>'retrieve E2E ZK random'!F37</f>
        <v>OK</v>
      </c>
      <c r="G74" s="99" t="str">
        <f>'retrieve E2E ZK random'!G37</f>
        <v/>
      </c>
      <c r="H74" s="99" t="str">
        <f>'retrieve E2E ZK random'!H37</f>
        <v>x</v>
      </c>
      <c r="I74" s="99" t="str">
        <f>'retrieve E2E ZK random'!I37</f>
        <v/>
      </c>
      <c r="J74" s="99" t="str">
        <f>'retrieve E2E ZK random'!J37</f>
        <v/>
      </c>
      <c r="K74" s="99" t="str">
        <f>'retrieve E2E ZK random'!K37</f>
        <v/>
      </c>
      <c r="L74" s="99" t="str">
        <f>'retrieve E2E ZK random'!L37</f>
        <v>x</v>
      </c>
      <c r="M74" s="99" t="str">
        <f>'retrieve E2E ZK random'!M37</f>
        <v/>
      </c>
      <c r="N74" s="99" t="str">
        <f>'retrieve E2E ZK random'!N37</f>
        <v/>
      </c>
      <c r="O74" s="99" t="str">
        <f>'retrieve E2E ZK random'!O37</f>
        <v/>
      </c>
      <c r="P74" s="99" t="str">
        <f>'retrieve E2E ZK random'!P37</f>
        <v/>
      </c>
    </row>
    <row r="75">
      <c r="A75" s="99">
        <f>'retrieve E2E OD random'!A17</f>
        <v>83</v>
      </c>
      <c r="B75" s="99" t="str">
        <f>'retrieve E2E OD random'!B17</f>
        <v>The Cricketers is a high restaurant that serves English food. Yes it is kids-friendly. Its customer rating is 1 out of 5. It is located in the riverside area near Café Rouge.</v>
      </c>
      <c r="C75" s="99" t="str">
        <f>'retrieve E2E OD random'!C17</f>
        <v>The Cricketers|eat_type|restaurant ++ The Cricketers|food|English ++ The Cricketers|price_range|high ++ The Cricketers|rating|1 out of 5 ++ The Cricketers|area|riverside ++ The Cricketers|family_friendly|yes ++ The Cricketers|near|Café Rouge</v>
      </c>
      <c r="D75" s="99">
        <f>'retrieve E2E OD random'!D17</f>
        <v>0.873</v>
      </c>
      <c r="E75" s="99" t="str">
        <f>'retrieve E2E OD random'!E17</f>
        <v>omission</v>
      </c>
      <c r="F75" s="99" t="str">
        <f>'retrieve E2E OD random'!F17</f>
        <v>OK</v>
      </c>
      <c r="G75" s="99" t="str">
        <f>'retrieve E2E OD random'!G17</f>
        <v/>
      </c>
      <c r="H75" s="99" t="str">
        <f>'retrieve E2E OD random'!H17</f>
        <v/>
      </c>
      <c r="I75" s="99" t="str">
        <f>'retrieve E2E OD random'!I17</f>
        <v>x</v>
      </c>
      <c r="J75" s="99" t="str">
        <f>'retrieve E2E OD random'!J17</f>
        <v/>
      </c>
      <c r="K75" s="99" t="str">
        <f>'retrieve E2E OD random'!K17</f>
        <v/>
      </c>
      <c r="L75" s="99" t="str">
        <f>'retrieve E2E OD random'!L17</f>
        <v/>
      </c>
      <c r="M75" s="99" t="str">
        <f>'retrieve E2E OD random'!M17</f>
        <v/>
      </c>
      <c r="N75" s="99" t="str">
        <f>'retrieve E2E OD random'!N17</f>
        <v/>
      </c>
      <c r="O75" s="99" t="str">
        <f>'retrieve E2E OD random'!O17</f>
        <v/>
      </c>
      <c r="P75" s="99" t="str">
        <f>'retrieve E2E OD random'!P17</f>
        <v>edge case: "high restaurant" (as in price range=high)</v>
      </c>
    </row>
    <row r="76">
      <c r="A76" s="99">
        <f>'retrieve E2E ZK random'!A23</f>
        <v>86</v>
      </c>
      <c r="B76" s="99" t="str">
        <f>'retrieve E2E ZK random'!B23</f>
        <v>The Mill is a moderate restaurant that serves English food. Yes it is kids-friendly. Its customer rating is 3 out of 5. It is located in the riverside area near Café Rouge.</v>
      </c>
      <c r="C76" s="99" t="str">
        <f>'retrieve E2E ZK random'!C23</f>
        <v>The Mill|eat_type|restaurant ++ The Mill|food|English ++ The Mill|price_range|moderate ++ The Mill|rating|3 out of 5 ++ The Mill|area|riverside ++ The Mill|family_friendly|yes ++ The Mill|near|Café Rouge</v>
      </c>
      <c r="D76" s="99">
        <f>'retrieve E2E ZK random'!D23</f>
        <v>0.784</v>
      </c>
      <c r="E76" s="99" t="str">
        <f>'retrieve E2E ZK random'!E23</f>
        <v>omission</v>
      </c>
      <c r="F76" s="99" t="str">
        <f>'retrieve E2E ZK random'!F23</f>
        <v>OK</v>
      </c>
      <c r="G76" s="99" t="str">
        <f>'retrieve E2E ZK random'!G23</f>
        <v/>
      </c>
      <c r="H76" s="99" t="str">
        <f>'retrieve E2E ZK random'!H23</f>
        <v/>
      </c>
      <c r="I76" s="99" t="str">
        <f>'retrieve E2E ZK random'!I23</f>
        <v>x</v>
      </c>
      <c r="J76" s="99" t="str">
        <f>'retrieve E2E ZK random'!J23</f>
        <v/>
      </c>
      <c r="K76" s="99" t="str">
        <f>'retrieve E2E ZK random'!K23</f>
        <v>x</v>
      </c>
      <c r="L76" s="99" t="str">
        <f>'retrieve E2E ZK random'!L23</f>
        <v/>
      </c>
      <c r="M76" s="99" t="str">
        <f>'retrieve E2E ZK random'!M23</f>
        <v/>
      </c>
      <c r="N76" s="99" t="str">
        <f>'retrieve E2E ZK random'!N23</f>
        <v/>
      </c>
      <c r="O76" s="99" t="str">
        <f>'retrieve E2E ZK random'!O23</f>
        <v/>
      </c>
      <c r="P76" s="99" t="str">
        <f>'retrieve E2E ZK random'!P23</f>
        <v/>
      </c>
    </row>
    <row r="77">
      <c r="A77" s="99">
        <f>'retrieve E2E ZK random'!A15</f>
        <v>89</v>
      </c>
      <c r="B77" s="99" t="str">
        <f>'retrieve E2E ZK random'!B15</f>
        <v>The Cricketers is a english restaurant in the city centre near Café Rouge. It is children friendly and has an average customer rating and a high price range.</v>
      </c>
      <c r="C77" s="99" t="str">
        <f>'retrieve E2E ZK random'!C15</f>
        <v>The Cricketers|eat_type|restaurant ++ The Cricketers|food|English ++ The Cricketers|price_range|high ++ The Cricketers|rating|average ++ The Cricketers|area|city centre ++ The Cricketers|family_friendly|yes ++ The Cricketers|near|Café Rouge</v>
      </c>
      <c r="D77" s="99">
        <f>'retrieve E2E ZK random'!D15</f>
        <v>0.966</v>
      </c>
      <c r="E77" s="99" t="str">
        <f>'retrieve E2E ZK random'!E15</f>
        <v>hallucination</v>
      </c>
      <c r="F77" s="99" t="str">
        <f>'retrieve E2E ZK random'!F15</f>
        <v>OK</v>
      </c>
      <c r="G77" s="99" t="str">
        <f>'retrieve E2E ZK random'!G15</f>
        <v/>
      </c>
      <c r="H77" s="99" t="str">
        <f>'retrieve E2E ZK random'!H15</f>
        <v>x</v>
      </c>
      <c r="I77" s="99" t="str">
        <f>'retrieve E2E ZK random'!I15</f>
        <v/>
      </c>
      <c r="J77" s="99" t="str">
        <f>'retrieve E2E ZK random'!J15</f>
        <v/>
      </c>
      <c r="K77" s="99" t="str">
        <f>'retrieve E2E ZK random'!K15</f>
        <v/>
      </c>
      <c r="L77" s="99" t="str">
        <f>'retrieve E2E ZK random'!L15</f>
        <v/>
      </c>
      <c r="M77" s="99" t="str">
        <f>'retrieve E2E ZK random'!M15</f>
        <v/>
      </c>
      <c r="N77" s="99" t="str">
        <f>'retrieve E2E ZK random'!N15</f>
        <v/>
      </c>
      <c r="O77" s="99" t="str">
        <f>'retrieve E2E ZK random'!O15</f>
        <v>x</v>
      </c>
      <c r="P77" s="99" t="str">
        <f>'retrieve E2E ZK random'!P15</f>
        <v/>
      </c>
    </row>
    <row r="78">
      <c r="A78" s="99">
        <f>'retrieve E2E OD random'!A39</f>
        <v>90</v>
      </c>
      <c r="B78" s="99" t="str">
        <f>'retrieve E2E OD random'!B39</f>
        <v>For good prices , bring your family to The Waterman pub . It offers Indian cuisine and is located in the city center near Raja Indian Cuisine .</v>
      </c>
      <c r="C78" s="99" t="str">
        <f>'retrieve E2E OD random'!C39</f>
        <v>The Waterman|eat_type|pub ++ The Waterman|food|Indian ++ The Waterman|price_range|less than £20 ++ The Waterman|area|city centre ++ The Waterman|family_friendly|no ++ The Waterman|near|Raja Indian Cuisine</v>
      </c>
      <c r="D78" s="99">
        <f>'retrieve E2E OD random'!D39</f>
        <v>0</v>
      </c>
      <c r="E78" s="99" t="str">
        <f>'retrieve E2E OD random'!E39</f>
        <v>omission</v>
      </c>
      <c r="F78" s="99" t="str">
        <f>'retrieve E2E OD random'!F39</f>
        <v>hallucination+omission</v>
      </c>
      <c r="G78" s="99" t="str">
        <f>'retrieve E2E OD random'!G39</f>
        <v/>
      </c>
      <c r="H78" s="99" t="str">
        <f>'retrieve E2E OD random'!H39</f>
        <v>x</v>
      </c>
      <c r="I78" s="99" t="str">
        <f>'retrieve E2E OD random'!I39</f>
        <v/>
      </c>
      <c r="J78" s="99" t="str">
        <f>'retrieve E2E OD random'!J39</f>
        <v/>
      </c>
      <c r="K78" s="99" t="str">
        <f>'retrieve E2E OD random'!K39</f>
        <v/>
      </c>
      <c r="L78" s="99" t="str">
        <f>'retrieve E2E OD random'!L39</f>
        <v>x</v>
      </c>
      <c r="M78" s="99" t="str">
        <f>'retrieve E2E OD random'!M39</f>
        <v/>
      </c>
      <c r="N78" s="99" t="str">
        <f>'retrieve E2E OD random'!N39</f>
        <v/>
      </c>
    </row>
    <row r="79">
      <c r="A79" s="99">
        <f>'retrieve E2E ZK random'!A41</f>
        <v>91</v>
      </c>
      <c r="B79" s="99" t="str">
        <f>'retrieve E2E ZK random'!B41</f>
        <v>Cheap Chinese food for all the family can be found at The Cricketers restaurant, near All Bar One, in the riverside area. Average ratings.</v>
      </c>
      <c r="C79" s="99" t="str">
        <f>'retrieve E2E ZK random'!C41</f>
        <v>The Cricketers|eat_type|restaurant ++ The Cricketers|food|Chinese ++ The Cricketers|price_range|cheap ++ The Cricketers|rating|average ++ The Cricketers|area|riverside ++ The Cricketers|family_friendly|yes ++ The Cricketers|near|All Bar One</v>
      </c>
      <c r="D79" s="99">
        <f>'retrieve E2E ZK random'!D41</f>
        <v>0.873</v>
      </c>
      <c r="E79" s="99" t="str">
        <f>'retrieve E2E ZK random'!E41</f>
        <v>omission</v>
      </c>
      <c r="F79" s="99" t="str">
        <f>'retrieve E2E ZK random'!F41</f>
        <v>OK</v>
      </c>
      <c r="G79" s="99" t="str">
        <f>'retrieve E2E ZK random'!G41</f>
        <v/>
      </c>
      <c r="H79" s="99" t="str">
        <f>'retrieve E2E ZK random'!H41</f>
        <v>x</v>
      </c>
      <c r="I79" s="99" t="str">
        <f>'retrieve E2E ZK random'!I41</f>
        <v/>
      </c>
      <c r="J79" s="99" t="str">
        <f>'retrieve E2E ZK random'!J41</f>
        <v/>
      </c>
      <c r="K79" s="99" t="str">
        <f>'retrieve E2E ZK random'!K41</f>
        <v/>
      </c>
      <c r="L79" s="99" t="str">
        <f>'retrieve E2E ZK random'!L41</f>
        <v/>
      </c>
      <c r="M79" s="99" t="str">
        <f>'retrieve E2E ZK random'!M41</f>
        <v/>
      </c>
      <c r="N79" s="99" t="str">
        <f>'retrieve E2E ZK random'!N41</f>
        <v>x</v>
      </c>
      <c r="O79" s="99" t="str">
        <f>'retrieve E2E OD random'!O39</f>
        <v/>
      </c>
      <c r="P79" s="99" t="str">
        <f>'retrieve E2E ZK random'!P41</f>
        <v/>
      </c>
    </row>
    <row r="80">
      <c r="A80" s="99">
        <f>'retrieve E2E OD random'!A3</f>
        <v>92</v>
      </c>
      <c r="B80" s="99" t="str">
        <f>'retrieve E2E OD random'!B3</f>
        <v>The Mill is a Fast food pub. It is located in city centre, near Café Sicilia. It has 1 out of 5 customer rating since it is not family-friendly, but offer dishes for moderate.</v>
      </c>
      <c r="C80" s="99" t="str">
        <f>'retrieve E2E OD random'!C3</f>
        <v>The Mill|eat_type|pub ++ The Mill|food|Fast food ++ The Mill|price_range|moderate ++ The Mill|rating|1 out of 5 ++ The Mill|area|city centre ++ The Mill|family_friendly|no ++ The Mill|near|Café Sicilia</v>
      </c>
      <c r="D80" s="99">
        <f>'retrieve E2E OD random'!D3</f>
        <v>0.434</v>
      </c>
      <c r="E80" s="99" t="str">
        <f>'retrieve E2E OD random'!E3</f>
        <v>omission</v>
      </c>
      <c r="F80" s="99" t="str">
        <f>'retrieve E2E OD random'!F3</f>
        <v>hallucination</v>
      </c>
      <c r="G80" s="99" t="str">
        <f>'retrieve E2E OD random'!G3</f>
        <v>x</v>
      </c>
      <c r="H80" s="99" t="str">
        <f>'retrieve E2E OD random'!H3</f>
        <v/>
      </c>
      <c r="I80" s="99" t="str">
        <f>'retrieve E2E OD random'!I3</f>
        <v/>
      </c>
      <c r="J80" s="99" t="str">
        <f>'retrieve E2E OD random'!J3</f>
        <v/>
      </c>
      <c r="K80" s="99" t="str">
        <f>'retrieve E2E OD random'!K3</f>
        <v/>
      </c>
      <c r="L80" s="99" t="str">
        <f>'retrieve E2E OD random'!L3</f>
        <v/>
      </c>
      <c r="M80" s="99" t="str">
        <f>'retrieve E2E OD random'!M3</f>
        <v/>
      </c>
      <c r="N80" s="99" t="str">
        <f>'retrieve E2E OD random'!N3</f>
        <v/>
      </c>
      <c r="O80" s="99" t="str">
        <f>'retrieve E2E OD random'!O3</f>
        <v/>
      </c>
      <c r="P80" s="99" t="str">
        <f>'retrieve E2E OD random'!P3</f>
        <v/>
      </c>
    </row>
    <row r="81">
      <c r="A81" s="99">
        <f>'retrieve E2E OD random'!A36</f>
        <v>94</v>
      </c>
      <c r="B81" s="99" t="str">
        <f>'retrieve E2E OD random'!B36</f>
        <v>The Cricketers is a high restaurant that serves Chinese food. It is not children-friendly and has a rating of 1 out of 5. It is located in the riverside area near All Bar One.</v>
      </c>
      <c r="C81" s="99" t="str">
        <f>'retrieve E2E OD random'!C36</f>
        <v>The Cricketers|eat_type|restaurant ++ The Cricketers|food|Chinese ++ The Cricketers|price_range|high ++ The Cricketers|rating|1 out of 5 ++ The Cricketers|area|riverside ++ The Cricketers|family_friendly|no ++ The Cricketers|near|All Bar One</v>
      </c>
      <c r="D81" s="99">
        <f>'retrieve E2E OD random'!D36</f>
        <v>0.932</v>
      </c>
      <c r="E81" s="99" t="str">
        <f>'retrieve E2E OD random'!E36</f>
        <v>omission</v>
      </c>
      <c r="F81" s="99" t="str">
        <f>'retrieve E2E OD random'!F36</f>
        <v>OK</v>
      </c>
      <c r="G81" s="99" t="str">
        <f>'retrieve E2E OD random'!G36</f>
        <v/>
      </c>
      <c r="H81" s="99" t="str">
        <f>'retrieve E2E OD random'!H36</f>
        <v/>
      </c>
      <c r="I81" s="99" t="str">
        <f>'retrieve E2E OD random'!I36</f>
        <v>x</v>
      </c>
      <c r="J81" s="99" t="str">
        <f>'retrieve E2E OD random'!J36</f>
        <v/>
      </c>
      <c r="K81" s="99" t="str">
        <f>'retrieve E2E OD random'!K36</f>
        <v/>
      </c>
      <c r="L81" s="99" t="str">
        <f>'retrieve E2E OD random'!L36</f>
        <v/>
      </c>
      <c r="M81" s="99" t="str">
        <f>'retrieve E2E OD random'!M36</f>
        <v/>
      </c>
      <c r="N81" s="99" t="str">
        <f>'retrieve E2E OD random'!N36</f>
        <v/>
      </c>
      <c r="O81" s="99" t="str">
        <f>'retrieve E2E OD random'!O36</f>
        <v/>
      </c>
      <c r="P81" s="99" t="str">
        <f>'retrieve E2E OD random'!P36</f>
        <v>edge case: "high restaurant" (as in price range=high)</v>
      </c>
    </row>
    <row r="82">
      <c r="A82" s="99">
        <f>'retrieve E2E ZK random'!A38</f>
        <v>95</v>
      </c>
      <c r="B82" s="99" t="str">
        <f>'retrieve E2E ZK random'!B38</f>
        <v>The Vaults is a pub that serves Italian food and is children friendly. It is in the high price range and has an average customer rating. It is located in the riverside area near Rainbow Vegetarian Café.</v>
      </c>
      <c r="C82" s="99" t="str">
        <f>'retrieve E2E ZK random'!C38</f>
        <v>The Vaults|eat_type|pub ++ The Vaults|food|Italian ++ The Vaults|price_range|high ++ The Vaults|rating|average ++ The Vaults|area|riverside ++ The Vaults|family_friendly|yes ++ The Vaults|near|Rainbow Vegetarian Café</v>
      </c>
      <c r="D82" s="99">
        <f>'retrieve E2E ZK random'!D38</f>
        <v>0.952</v>
      </c>
      <c r="E82" s="99" t="str">
        <f>'retrieve E2E ZK random'!E38</f>
        <v>hallucination</v>
      </c>
      <c r="F82" s="99" t="str">
        <f>'retrieve E2E ZK random'!F38</f>
        <v>OK</v>
      </c>
      <c r="G82" s="99" t="str">
        <f>'retrieve E2E ZK random'!G38</f>
        <v/>
      </c>
      <c r="H82" s="99" t="str">
        <f>'retrieve E2E ZK random'!H38</f>
        <v>x</v>
      </c>
      <c r="I82" s="99" t="str">
        <f>'retrieve E2E ZK random'!I38</f>
        <v/>
      </c>
      <c r="J82" s="99" t="str">
        <f>'retrieve E2E ZK random'!J38</f>
        <v/>
      </c>
      <c r="K82" s="99" t="str">
        <f>'retrieve E2E ZK random'!K38</f>
        <v/>
      </c>
      <c r="L82" s="99" t="str">
        <f>'retrieve E2E ZK random'!L38</f>
        <v/>
      </c>
      <c r="M82" s="99" t="str">
        <f>'retrieve E2E ZK random'!M38</f>
        <v/>
      </c>
      <c r="N82" s="99" t="str">
        <f>'retrieve E2E ZK random'!N38</f>
        <v/>
      </c>
      <c r="O82" s="99" t="str">
        <f>'retrieve E2E ZK random'!O38</f>
        <v>x</v>
      </c>
      <c r="P82" s="99" t="str">
        <f>'retrieve E2E ZK random'!P38</f>
        <v/>
      </c>
    </row>
    <row r="83">
      <c r="A83" s="99">
        <f>'retrieve E2E OD random'!A38</f>
        <v>96</v>
      </c>
      <c r="B83" s="99" t="str">
        <f>'retrieve E2E OD random'!B38</f>
        <v>The Vaults is a high-priced, highly rated italian pub located near Rainbow Vegetarian Café in the riverside area. It is not child friendly.'</v>
      </c>
      <c r="C83" s="99" t="str">
        <f>'retrieve E2E OD random'!C38</f>
        <v>The Vaults|eat_type|pub ++ The Vaults|food|Italian ++ The Vaults|price_range|more than £30 ++ The Vaults|rating|high ++ The Vaults|area|riverside ++ The Vaults|family_friendly|no ++ The Vaults|near|Rainbow Vegetarian Café</v>
      </c>
      <c r="D83" s="99">
        <f>'retrieve E2E OD random'!D38</f>
        <v>0.054</v>
      </c>
      <c r="E83" s="99" t="str">
        <f>'retrieve E2E OD random'!E38</f>
        <v>OK</v>
      </c>
      <c r="F83" s="99" t="str">
        <f>'retrieve E2E OD random'!F38</f>
        <v>omission</v>
      </c>
      <c r="G83" s="99" t="str">
        <f>'retrieve E2E OD random'!G38</f>
        <v>x</v>
      </c>
      <c r="H83" s="99" t="str">
        <f>'retrieve E2E OD random'!H38</f>
        <v/>
      </c>
      <c r="I83" s="99" t="str">
        <f>'retrieve E2E OD random'!I38</f>
        <v/>
      </c>
      <c r="J83" s="99" t="str">
        <f>'retrieve E2E OD random'!J38</f>
        <v/>
      </c>
      <c r="K83" s="99" t="str">
        <f>'retrieve E2E OD random'!K38</f>
        <v>x</v>
      </c>
      <c r="L83" s="99" t="str">
        <f>'retrieve E2E OD random'!L38</f>
        <v/>
      </c>
      <c r="M83" s="99" t="str">
        <f>'retrieve E2E OD random'!M38</f>
        <v/>
      </c>
      <c r="N83" s="99" t="str">
        <f>'retrieve E2E OD random'!N38</f>
        <v/>
      </c>
      <c r="O83" s="99" t="str">
        <f>'retrieve E2E OD random'!O38</f>
        <v/>
      </c>
      <c r="P83" s="99" t="str">
        <f>'retrieve E2E OD random'!P38</f>
        <v/>
      </c>
    </row>
    <row r="84">
      <c r="A84" s="99">
        <f>'retrieve E2E OD random'!A20</f>
        <v>98</v>
      </c>
      <c r="B84" s="99" t="str">
        <f>'retrieve E2E OD random'!B20</f>
        <v>The Waterman is a cheap Italian restaurant located in the city centre near Raja Indian Cuisine . It is not family-friendly .</v>
      </c>
      <c r="C84" s="99" t="str">
        <f>'retrieve E2E OD random'!C20</f>
        <v>The Waterman|eat_type|restaurant ++ The Waterman|food|Italian ++ The Waterman|price_range|less than £20 ++ The Waterman|area|city centre ++ The Waterman|family_friendly|no ++ The Waterman|near|Raja Indian Cuisine</v>
      </c>
      <c r="D84" s="99">
        <f>'retrieve E2E OD random'!D20</f>
        <v>0.147</v>
      </c>
      <c r="E84" s="99" t="str">
        <f>'retrieve E2E OD random'!E20</f>
        <v>OK</v>
      </c>
      <c r="F84" s="99" t="str">
        <f>'retrieve E2E OD random'!F20</f>
        <v>omission</v>
      </c>
      <c r="G84" s="99" t="str">
        <f>'retrieve E2E OD random'!G20</f>
        <v>x</v>
      </c>
      <c r="H84" s="99" t="str">
        <f>'retrieve E2E OD random'!H20</f>
        <v/>
      </c>
      <c r="I84" s="99" t="str">
        <f>'retrieve E2E OD random'!I20</f>
        <v/>
      </c>
      <c r="J84" s="99" t="str">
        <f>'retrieve E2E OD random'!J20</f>
        <v/>
      </c>
      <c r="K84" s="99" t="str">
        <f>'retrieve E2E OD random'!K20</f>
        <v>x</v>
      </c>
      <c r="L84" s="99" t="str">
        <f>'retrieve E2E OD random'!L20</f>
        <v/>
      </c>
      <c r="M84" s="99" t="str">
        <f>'retrieve E2E OD random'!M20</f>
        <v/>
      </c>
      <c r="N84" s="99" t="str">
        <f>'retrieve E2E OD random'!N20</f>
        <v/>
      </c>
      <c r="O84" s="99" t="str">
        <f>'retrieve E2E OD random'!O20</f>
        <v/>
      </c>
      <c r="P84" s="99" t="str">
        <f>'retrieve E2E OD random'!P20</f>
        <v/>
      </c>
    </row>
    <row r="85">
      <c r="A85" s="99">
        <f>'retrieve E2E ZK random'!A1</f>
        <v>99</v>
      </c>
      <c r="B85" s="99" t="str">
        <f>'retrieve E2E ZK random'!B1</f>
        <v>The Mill is a child friendly English restaurant in the riverside area near Café Rouge. It has a high price range and an average customer rating.</v>
      </c>
      <c r="C85" s="99" t="str">
        <f>'retrieve E2E ZK random'!C1</f>
        <v>The Mill|eat_type|restaurant ++ The Mill|food|English ++ The Mill|price_range|high ++ The Mill|rating|average ++ The Mill|area|riverside ++ The Mill|family_friendly|yes ++ The Mill|near|Café Rouge</v>
      </c>
      <c r="D85" s="99">
        <f>'retrieve E2E ZK random'!D1</f>
        <v>0.973</v>
      </c>
      <c r="E85" s="99" t="str">
        <f>'retrieve E2E ZK random'!E1</f>
        <v>hallucination</v>
      </c>
      <c r="F85" s="99" t="str">
        <f>'retrieve E2E ZK random'!F1</f>
        <v>OK</v>
      </c>
      <c r="G85" s="99" t="str">
        <f>'retrieve E2E ZK random'!G1</f>
        <v/>
      </c>
      <c r="H85" s="99" t="str">
        <f>'retrieve E2E ZK random'!H1</f>
        <v>x</v>
      </c>
      <c r="I85" s="99" t="str">
        <f>'retrieve E2E ZK random'!I1</f>
        <v/>
      </c>
      <c r="J85" s="99" t="str">
        <f>'retrieve E2E ZK random'!J1</f>
        <v/>
      </c>
      <c r="K85" s="99" t="str">
        <f>'retrieve E2E ZK random'!K1</f>
        <v/>
      </c>
      <c r="L85" s="99" t="str">
        <f>'retrieve E2E ZK random'!L1</f>
        <v/>
      </c>
      <c r="M85" s="99" t="str">
        <f>'retrieve E2E ZK random'!M1</f>
        <v/>
      </c>
      <c r="N85" s="99" t="str">
        <f>'retrieve E2E ZK random'!N1</f>
        <v/>
      </c>
      <c r="O85" s="99" t="str">
        <f>'retrieve E2E ZK random'!O1</f>
        <v>x</v>
      </c>
      <c r="P85" s="99" t="str">
        <f>'retrieve E2E ZK random'!P1</f>
        <v/>
      </c>
    </row>
    <row r="86">
      <c r="A86" s="99">
        <f>'retrieve E2E ZK random'!A29</f>
        <v>100</v>
      </c>
      <c r="B86" s="99" t="str">
        <f>'retrieve E2E ZK random'!B29</f>
        <v>The Punter, which has a high customer rating, is a high-priced restaurant offering Indian cuisine. It is in the riverside area by Express by Holiday Inn. It is not kid-friendly.</v>
      </c>
      <c r="C86" s="99" t="str">
        <f>'retrieve E2E ZK random'!C29</f>
        <v>The Punter|eat_type|restaurant ++ The Punter|food|Indian ++ The Punter|price_range|more than £30 ++ The Punter|rating|high ++ The Punter|area|riverside ++ The Punter|family_friendly|no ++ The Punter|near|Express by Holiday Inn</v>
      </c>
      <c r="D86" s="99">
        <f>'retrieve E2E ZK random'!D29</f>
        <v>0.024</v>
      </c>
      <c r="E86" s="99" t="str">
        <f>'retrieve E2E ZK random'!E29</f>
        <v>OK</v>
      </c>
      <c r="F86" s="99" t="str">
        <f>'retrieve E2E ZK random'!F29</f>
        <v>omission</v>
      </c>
      <c r="G86" s="99" t="str">
        <f>'retrieve E2E ZK random'!G29</f>
        <v>x</v>
      </c>
      <c r="H86" s="99" t="str">
        <f>'retrieve E2E ZK random'!H29</f>
        <v/>
      </c>
      <c r="I86" s="99" t="str">
        <f>'retrieve E2E ZK random'!I29</f>
        <v/>
      </c>
      <c r="J86" s="99" t="str">
        <f>'retrieve E2E ZK random'!J29</f>
        <v/>
      </c>
      <c r="K86" s="99" t="str">
        <f>'retrieve E2E ZK random'!K29</f>
        <v>x</v>
      </c>
      <c r="L86" s="99" t="str">
        <f>'retrieve E2E ZK random'!L29</f>
        <v/>
      </c>
      <c r="M86" s="99" t="str">
        <f>'retrieve E2E ZK random'!M29</f>
        <v/>
      </c>
      <c r="N86" s="99" t="str">
        <f>'retrieve E2E ZK random'!N29</f>
        <v/>
      </c>
      <c r="O86" s="99" t="str">
        <f>'retrieve E2E ZK random'!O29</f>
        <v/>
      </c>
      <c r="P86" s="99" t="str">
        <f>'retrieve E2E ZK random'!P29</f>
        <v/>
      </c>
    </row>
    <row r="87">
      <c r="A87" s="99">
        <f>'retrieve E2E OD random'!A27</f>
        <v>101</v>
      </c>
      <c r="B87" s="99" t="str">
        <f>'retrieve E2E OD random'!B27</f>
        <v>The Cricketers is a family friendly coffee shop near Crowne Plaza Hotel with an average customer rating of 5 out of 5.</v>
      </c>
      <c r="C87" s="99" t="str">
        <f>'retrieve E2E OD random'!C27</f>
        <v>The Cricketers|eat_type|coffee shop ++ The Cricketers|rating|5 out of 5 ++ The Cricketers|family_friendly|yes ++ The Cricketers|near|Crowne Plaza Hotel</v>
      </c>
      <c r="D87" s="99">
        <f>'retrieve E2E OD random'!D27</f>
        <v>0.913</v>
      </c>
      <c r="E87" s="99" t="str">
        <f>'retrieve E2E OD random'!E27</f>
        <v>hallucination</v>
      </c>
      <c r="F87" s="99" t="str">
        <f>'retrieve E2E OD random'!F27</f>
        <v>OK</v>
      </c>
      <c r="G87" s="99" t="str">
        <f>'retrieve E2E OD random'!G27</f>
        <v/>
      </c>
      <c r="H87" s="99" t="str">
        <f>'retrieve E2E OD random'!H27</f>
        <v/>
      </c>
      <c r="I87" s="99" t="str">
        <f>'retrieve E2E OD random'!I27</f>
        <v>x</v>
      </c>
      <c r="J87" s="99" t="str">
        <f>'retrieve E2E OD random'!J27</f>
        <v/>
      </c>
      <c r="K87" s="99" t="str">
        <f>'retrieve E2E OD random'!K27</f>
        <v/>
      </c>
      <c r="L87" s="99" t="str">
        <f>'retrieve E2E OD random'!L27</f>
        <v/>
      </c>
      <c r="M87" s="99" t="str">
        <f>'retrieve E2E OD random'!M27</f>
        <v/>
      </c>
      <c r="N87" s="99" t="str">
        <f>'retrieve E2E OD random'!N27</f>
        <v/>
      </c>
      <c r="O87" s="99" t="str">
        <f>'retrieve E2E OD random'!O27</f>
        <v/>
      </c>
      <c r="P87" s="99" t="str">
        <f>'retrieve E2E OD random'!P27</f>
        <v>edge case: "average customer rating of 5 out of 5" can be interpreted as both "average" (=3/5) and "high" (=5/5)</v>
      </c>
    </row>
    <row r="88">
      <c r="A88" s="99">
        <f>'retrieve E2E ZK random'!A36</f>
        <v>102</v>
      </c>
      <c r="B88" s="99" t="str">
        <f>'retrieve E2E ZK random'!B36</f>
        <v>The Vaults is a high pub that serves Italian food. It is not children-friendly and has an average customer rating. It is located in the city centre area near Rainbow Vegetarian CafÃ©.</v>
      </c>
      <c r="C88" s="99" t="str">
        <f>'retrieve E2E ZK random'!C36</f>
        <v>The Vaults|eat_type|pub ++ The Vaults|food|Italian ++ The Vaults|price_range|high ++ The Vaults|rating|average ++ The Vaults|area|city centre ++ The Vaults|family_friendly|no ++ The Vaults|near|Rainbow Vegetarian CafÃ©</v>
      </c>
      <c r="D88" s="99">
        <f>'retrieve E2E ZK random'!D36</f>
        <v>0.918</v>
      </c>
      <c r="E88" s="99" t="str">
        <f>'retrieve E2E ZK random'!E36</f>
        <v>omission</v>
      </c>
      <c r="F88" s="99" t="str">
        <f>'retrieve E2E ZK random'!F36</f>
        <v>OK</v>
      </c>
      <c r="G88" s="99" t="str">
        <f>'retrieve E2E ZK random'!G36</f>
        <v/>
      </c>
      <c r="H88" s="99" t="str">
        <f>'retrieve E2E ZK random'!H36</f>
        <v/>
      </c>
      <c r="I88" s="99" t="str">
        <f>'retrieve E2E ZK random'!I36</f>
        <v>x</v>
      </c>
      <c r="J88" s="99" t="str">
        <f>'retrieve E2E ZK random'!J36</f>
        <v/>
      </c>
      <c r="K88" s="99" t="str">
        <f>'retrieve E2E ZK random'!K36</f>
        <v>x</v>
      </c>
      <c r="L88" s="99" t="str">
        <f>'retrieve E2E ZK random'!L36</f>
        <v/>
      </c>
      <c r="M88" s="99" t="str">
        <f>'retrieve E2E ZK random'!M36</f>
        <v/>
      </c>
      <c r="N88" s="99" t="str">
        <f>'retrieve E2E ZK random'!N36</f>
        <v/>
      </c>
      <c r="O88" s="99" t="str">
        <f>'retrieve E2E ZK random'!O36</f>
        <v/>
      </c>
      <c r="P88" s="99" t="str">
        <f>'retrieve E2E ZK random'!P36</f>
        <v/>
      </c>
    </row>
    <row r="89">
      <c r="A89" s="99">
        <f>'retrieve E2E OD random'!A12</f>
        <v>103</v>
      </c>
      <c r="B89" s="99" t="str">
        <f>'retrieve E2E OD random'!B12</f>
        <v>Blue Spice is located down by the riverside of Cambridge. It is also a coffee shop.</v>
      </c>
      <c r="C89" s="99" t="str">
        <f>'retrieve E2E OD random'!C12</f>
        <v>Blue Spice|eat_type|coffee shop ++ Blue Spice|area|riverside</v>
      </c>
      <c r="D89" s="99">
        <f>'retrieve E2E OD random'!D12</f>
        <v>0.082</v>
      </c>
      <c r="E89" s="99" t="str">
        <f>'retrieve E2E OD random'!E12</f>
        <v>OK</v>
      </c>
      <c r="F89" s="99" t="str">
        <f>'retrieve E2E OD random'!F12</f>
        <v>hallucination</v>
      </c>
      <c r="G89" s="99" t="str">
        <f>'retrieve E2E OD random'!G12</f>
        <v/>
      </c>
      <c r="H89" s="99" t="str">
        <f>'retrieve E2E OD random'!H12</f>
        <v>x</v>
      </c>
      <c r="I89" s="99" t="str">
        <f>'retrieve E2E OD random'!I12</f>
        <v/>
      </c>
      <c r="J89" s="99" t="str">
        <f>'retrieve E2E OD random'!J12</f>
        <v/>
      </c>
      <c r="K89" s="99" t="str">
        <f>'retrieve E2E OD random'!K12</f>
        <v/>
      </c>
      <c r="L89" s="99" t="str">
        <f>'retrieve E2E OD random'!L12</f>
        <v/>
      </c>
      <c r="M89" s="99" t="str">
        <f>'retrieve E2E OD random'!M12</f>
        <v>x</v>
      </c>
      <c r="N89" s="99" t="str">
        <f>'retrieve E2E OD random'!N12</f>
        <v/>
      </c>
      <c r="O89" s="99" t="str">
        <f>'retrieve E2E OD random'!O12</f>
        <v/>
      </c>
      <c r="P89" s="99" t="str">
        <f>'retrieve E2E OD random'!P12</f>
        <v/>
      </c>
    </row>
    <row r="90">
      <c r="A90" s="99">
        <f>'retrieve E2E OD random'!A29</f>
        <v>104</v>
      </c>
      <c r="B90" s="99" t="str">
        <f>'retrieve E2E OD random'!B29</f>
        <v>Wildwood serves Italian food that is kids-friendly. It is in the city centre area near Raja Indian Cuisine.</v>
      </c>
      <c r="C90" s="99" t="str">
        <f>'retrieve E2E OD random'!C29</f>
        <v>Wildwood|eat_type|restaurant ++ Wildwood|food|Italian ++ Wildwood|area|city centre ++ Wildwood|family_friendly|yes ++ Wildwood|near|Raja Indian Cuisine</v>
      </c>
      <c r="D90" s="99">
        <f>'retrieve E2E OD random'!D29</f>
        <v>0.874</v>
      </c>
      <c r="E90" s="99" t="str">
        <f>'retrieve E2E OD random'!E29</f>
        <v>omission</v>
      </c>
      <c r="F90" s="99" t="str">
        <f>'retrieve E2E OD random'!F29</f>
        <v>OK</v>
      </c>
      <c r="G90" s="99" t="str">
        <f>'retrieve E2E OD random'!G29</f>
        <v>x</v>
      </c>
      <c r="H90" s="99" t="str">
        <f>'retrieve E2E OD random'!H29</f>
        <v/>
      </c>
      <c r="I90" s="99" t="str">
        <f>'retrieve E2E OD random'!I29</f>
        <v/>
      </c>
      <c r="J90" s="99" t="str">
        <f>'retrieve E2E OD random'!J29</f>
        <v>x</v>
      </c>
      <c r="K90" s="99" t="str">
        <f>'retrieve E2E OD random'!K29</f>
        <v/>
      </c>
      <c r="L90" s="99" t="str">
        <f>'retrieve E2E OD random'!L29</f>
        <v/>
      </c>
      <c r="M90" s="99" t="str">
        <f>'retrieve E2E OD random'!M29</f>
        <v/>
      </c>
      <c r="N90" s="99" t="str">
        <f>'retrieve E2E OD random'!N29</f>
        <v/>
      </c>
      <c r="O90" s="99" t="str">
        <f>'retrieve E2E OD random'!O29</f>
        <v/>
      </c>
      <c r="P90" s="99" t="str">
        <f>'retrieve E2E OD random'!P29</f>
        <v/>
      </c>
    </row>
    <row r="91">
      <c r="A91" s="99">
        <f>'retrieve E2E ZK random'!A33</f>
        <v>105</v>
      </c>
      <c r="B91" s="99" t="str">
        <f>'retrieve E2E ZK random'!B33</f>
        <v>The Phoenix, an adult oriented pub serving French food, in riverside near Crowne Plaza Hotel, has high prices and customer ratings of 3 out of 5.</v>
      </c>
      <c r="C91" s="99" t="str">
        <f>'retrieve E2E ZK random'!C33</f>
        <v>The Phoenix|eat_type|pub ++ The Phoenix|food|French ++ The Phoenix|price_range|high ++ The Phoenix|rating|3 out of 5 ++ The Phoenix|area|riverside ++ The Phoenix|family_friendly|no ++ The Phoenix|near|Crowne Plaza Hotel</v>
      </c>
      <c r="D91" s="99">
        <f>'retrieve E2E ZK random'!D33</f>
        <v>0.739</v>
      </c>
      <c r="E91" s="99" t="str">
        <f>'retrieve E2E ZK random'!E33</f>
        <v>omission</v>
      </c>
      <c r="F91" s="99" t="str">
        <f>'retrieve E2E ZK random'!F33</f>
        <v>OK</v>
      </c>
      <c r="G91" s="99" t="str">
        <f>'retrieve E2E ZK random'!G33</f>
        <v/>
      </c>
      <c r="H91" s="99" t="str">
        <f>'retrieve E2E ZK random'!H33</f>
        <v>x</v>
      </c>
      <c r="I91" s="99" t="str">
        <f>'retrieve E2E ZK random'!I33</f>
        <v/>
      </c>
      <c r="J91" s="99" t="str">
        <f>'retrieve E2E ZK random'!J33</f>
        <v/>
      </c>
      <c r="K91" s="99" t="str">
        <f>'retrieve E2E ZK random'!K33</f>
        <v/>
      </c>
      <c r="L91" s="99" t="str">
        <f>'retrieve E2E ZK random'!L33</f>
        <v>x</v>
      </c>
      <c r="M91" s="99" t="str">
        <f>'retrieve E2E ZK random'!M33</f>
        <v/>
      </c>
      <c r="N91" s="99" t="str">
        <f>'retrieve E2E ZK random'!N33</f>
        <v/>
      </c>
      <c r="O91" s="99" t="str">
        <f>'retrieve E2E ZK random'!O33</f>
        <v/>
      </c>
      <c r="P91" s="99" t="str">
        <f>'retrieve E2E ZK random'!P33</f>
        <v/>
      </c>
    </row>
    <row r="92">
      <c r="A92" s="99">
        <f>'retrieve E2E ZK random'!A22</f>
        <v>106</v>
      </c>
      <c r="B92" s="99" t="str">
        <f>'retrieve E2E ZK random'!B22</f>
        <v>In the city centre near CafÃ© Sicilia, there is a French restaurant called The Phoenix. It is not kid friendly and has a price range of Â£20-25 and a customer rating of 3 out of 5.</v>
      </c>
      <c r="C92" s="99" t="str">
        <f>'retrieve E2E ZK random'!C22</f>
        <v>The Phoenix|eat_type|pub ++ The Phoenix|food|French ++ The Phoenix|price_range|Â£20-25 ++ The Phoenix|rating|3 out of 5 ++ The Phoenix|area|city centre ++ The Phoenix|family_friendly|no ++ The Phoenix|near|CafÃ© Sicilia</v>
      </c>
      <c r="D92" s="99">
        <f>'retrieve E2E ZK random'!D22</f>
        <v>0.004</v>
      </c>
      <c r="E92" s="99" t="str">
        <f>'retrieve E2E ZK random'!E22</f>
        <v>hallucination+omission</v>
      </c>
      <c r="F92" s="99" t="str">
        <f>'retrieve E2E ZK random'!F22</f>
        <v>omission</v>
      </c>
      <c r="G92" s="99" t="str">
        <f>'retrieve E2E ZK random'!G22</f>
        <v/>
      </c>
      <c r="H92" s="99" t="str">
        <f>'retrieve E2E ZK random'!H22</f>
        <v>x</v>
      </c>
      <c r="I92" s="99" t="str">
        <f>'retrieve E2E ZK random'!I22</f>
        <v/>
      </c>
      <c r="J92" s="99" t="str">
        <f>'retrieve E2E ZK random'!J22</f>
        <v/>
      </c>
      <c r="K92" s="99" t="str">
        <f>'retrieve E2E ZK random'!K22</f>
        <v/>
      </c>
      <c r="L92" s="99" t="str">
        <f>'retrieve E2E ZK random'!L22</f>
        <v/>
      </c>
      <c r="M92" s="99" t="str">
        <f>'retrieve E2E ZK random'!M22</f>
        <v/>
      </c>
      <c r="N92" s="99" t="str">
        <f>'retrieve E2E ZK random'!N22</f>
        <v/>
      </c>
      <c r="O92" s="99" t="str">
        <f>'retrieve E2E ZK random'!O22</f>
        <v>x</v>
      </c>
      <c r="P92" s="99" t="str">
        <f>'retrieve E2E ZK random'!P22</f>
        <v/>
      </c>
    </row>
    <row r="93">
      <c r="A93" s="99">
        <f>'retrieve E2E OD random'!A18</f>
        <v>107</v>
      </c>
      <c r="B93" s="99" t="str">
        <f>'retrieve E2E OD random'!B18</f>
        <v>For an adult oriented French pub, The Phoenix has a 3 out of 5 customer rating, but the price range is high, and is conveniently located in the city centre, near Crowne Plaza Hotel.</v>
      </c>
      <c r="C93" s="99" t="str">
        <f>'retrieve E2E OD random'!C18</f>
        <v>The Phoenix|eat_type|pub ++ The Phoenix|food|French ++ The Phoenix|price_range|high ++ The Phoenix|rating|3 out of 5 ++ The Phoenix|area|city centre ++ The Phoenix|family_friendly|no ++ The Phoenix|near|Crowne Plaza Hotel</v>
      </c>
      <c r="D93" s="99">
        <f>'retrieve E2E OD random'!D18</f>
        <v>0.624</v>
      </c>
      <c r="E93" s="99" t="str">
        <f>'retrieve E2E OD random'!E18</f>
        <v>omission</v>
      </c>
      <c r="F93" s="99" t="str">
        <f>'retrieve E2E OD random'!F18</f>
        <v>OK</v>
      </c>
      <c r="G93" s="99" t="str">
        <f>'retrieve E2E OD random'!G18</f>
        <v/>
      </c>
      <c r="H93" s="99" t="str">
        <f>'retrieve E2E OD random'!H18</f>
        <v>x</v>
      </c>
      <c r="I93" s="99" t="str">
        <f>'retrieve E2E OD random'!I18</f>
        <v/>
      </c>
      <c r="J93" s="99" t="str">
        <f>'retrieve E2E OD random'!J18</f>
        <v/>
      </c>
      <c r="K93" s="99" t="str">
        <f>'retrieve E2E OD random'!K18</f>
        <v/>
      </c>
      <c r="L93" s="99" t="str">
        <f>'retrieve E2E OD random'!L18</f>
        <v>x</v>
      </c>
      <c r="M93" s="99" t="str">
        <f>'retrieve E2E OD random'!M18</f>
        <v/>
      </c>
      <c r="N93" s="99" t="str">
        <f>'retrieve E2E OD random'!N18</f>
        <v/>
      </c>
      <c r="O93" s="99" t="str">
        <f>'retrieve E2E OD random'!O18</f>
        <v/>
      </c>
      <c r="P93" s="99" t="str">
        <f>'retrieve E2E OD random'!P18</f>
        <v/>
      </c>
    </row>
    <row r="94">
      <c r="A94" s="99">
        <f>'retrieve E2E OD random'!A10</f>
        <v>110</v>
      </c>
      <c r="B94" s="99" t="str">
        <f>'retrieve E2E OD random'!B10</f>
        <v>The Punter, which has a low customer rating, is a low-priced restaurant serving Indian cuisine. It is located in the city centre area and can be found near Express by Holiday Inn. It is not family-friendly.</v>
      </c>
      <c r="C94" s="99" t="str">
        <f>'retrieve E2E OD random'!C10</f>
        <v>The Punter|eat_type|restaurant ++ The Punter|food|Indian ++ The Punter|price_range|less than Â£20 ++ The Punter|rating|low ++ The Punter|area|city centre ++ The Punter|family_friendly|no ++ The Punter|near|Express by Holiday Inn</v>
      </c>
      <c r="D94" s="99">
        <f>'retrieve E2E OD random'!D10</f>
        <v>0.035</v>
      </c>
      <c r="E94" s="99" t="str">
        <f>'retrieve E2E OD random'!E10</f>
        <v>OK</v>
      </c>
      <c r="F94" s="99" t="str">
        <f>'retrieve E2E OD random'!F10</f>
        <v>omission</v>
      </c>
      <c r="G94" s="99" t="str">
        <f>'retrieve E2E OD random'!G10</f>
        <v>x</v>
      </c>
      <c r="H94" s="99" t="str">
        <f>'retrieve E2E OD random'!H10</f>
        <v/>
      </c>
      <c r="I94" s="99" t="str">
        <f>'retrieve E2E OD random'!I10</f>
        <v/>
      </c>
      <c r="J94" s="99" t="str">
        <f>'retrieve E2E OD random'!J10</f>
        <v/>
      </c>
      <c r="K94" s="99" t="str">
        <f>'retrieve E2E OD random'!K10</f>
        <v>x</v>
      </c>
      <c r="L94" s="99" t="str">
        <f>'retrieve E2E OD random'!L10</f>
        <v/>
      </c>
      <c r="M94" s="99" t="str">
        <f>'retrieve E2E OD random'!M10</f>
        <v/>
      </c>
      <c r="N94" s="99" t="str">
        <f>'retrieve E2E OD random'!N10</f>
        <v/>
      </c>
      <c r="O94" s="99" t="str">
        <f>'retrieve E2E OD random'!O10</f>
        <v/>
      </c>
      <c r="P94" s="99" t="str">
        <f>'retrieve E2E OD random'!P10</f>
        <v/>
      </c>
    </row>
    <row r="95">
      <c r="A95" s="99">
        <f>'retrieve E2E ZK random'!A46</f>
        <v>111</v>
      </c>
      <c r="B95" s="99" t="str">
        <f>'retrieve E2E ZK random'!B46</f>
        <v>The Cricketers provides chinese food in the less than Â£20 price range. It is located in the city centre. It is near All Bar One. Its customer rating is low. It is not family-friendly.'</v>
      </c>
      <c r="C95" s="99" t="str">
        <f>'retrieve E2E ZK random'!C46</f>
        <v>The Cricketers|eat_type|restaurant ++ The Cricketers|food|Chinese ++ The Cricketers|price_range|less than Â£20 ++ The Cricketers|rating|low ++ The Cricketers|area|city centre ++ The Cricketers|family_friendly|no ++ The Cricketers|near|All Bar One</v>
      </c>
      <c r="D95" s="99">
        <f>'retrieve E2E ZK random'!D46</f>
        <v>0.811</v>
      </c>
      <c r="E95" s="99" t="str">
        <f>'retrieve E2E ZK random'!E46</f>
        <v>omission</v>
      </c>
      <c r="F95" s="99" t="str">
        <f>'retrieve E2E ZK random'!F46</f>
        <v>OK</v>
      </c>
      <c r="G95" s="99" t="str">
        <f>'retrieve E2E ZK random'!G46</f>
        <v/>
      </c>
      <c r="H95" s="99" t="str">
        <f>'retrieve E2E ZK random'!H46</f>
        <v>x</v>
      </c>
      <c r="I95" s="99" t="str">
        <f>'retrieve E2E ZK random'!I46</f>
        <v/>
      </c>
      <c r="J95" s="99" t="str">
        <f>'retrieve E2E ZK random'!J46</f>
        <v/>
      </c>
      <c r="K95" s="99" t="str">
        <f>'retrieve E2E ZK random'!K46</f>
        <v/>
      </c>
      <c r="L95" s="99" t="str">
        <f>'retrieve E2E ZK random'!L46</f>
        <v/>
      </c>
      <c r="M95" s="99" t="str">
        <f>'retrieve E2E ZK random'!M46</f>
        <v/>
      </c>
      <c r="N95" s="99" t="str">
        <f>'retrieve E2E ZK random'!N46</f>
        <v>x</v>
      </c>
      <c r="O95" s="99" t="str">
        <f>'retrieve E2E ZK random'!O46</f>
        <v/>
      </c>
      <c r="P95" s="99" t="str">
        <f>'retrieve E2E ZK random'!P46</f>
        <v/>
      </c>
    </row>
    <row r="96">
      <c r="A96" s="99">
        <f>'retrieve E2E ZK random'!A45</f>
        <v>112</v>
      </c>
      <c r="B96" s="99" t="str">
        <f>'retrieve E2E ZK random'!B45</f>
        <v>The Phoenix is a high priced french restaurant located in the city centre near Crowne Plaza Hotel. It is not child friendly and has a customer rating of 3 out of 5.'</v>
      </c>
      <c r="C96" s="99" t="str">
        <f>'retrieve E2E ZK random'!C45</f>
        <v>The Phoenix|eat_type|pub ++ The Phoenix|food|French ++ The Phoenix|price_range|high ++ The Phoenix|rating|3 out of 5 ++ The Phoenix|area|city centre ++ The Phoenix|family_friendly|no ++ The Phoenix|near|Crowne Plaza Hotel</v>
      </c>
      <c r="D96" s="99">
        <f>'retrieve E2E ZK random'!D45</f>
        <v>0.001</v>
      </c>
      <c r="E96" s="99" t="str">
        <f>'retrieve E2E ZK random'!E45</f>
        <v>hallucination+omission</v>
      </c>
      <c r="F96" s="99" t="str">
        <f>'retrieve E2E ZK random'!F45</f>
        <v>omission</v>
      </c>
      <c r="G96" s="99" t="str">
        <f>'retrieve E2E ZK random'!G45</f>
        <v/>
      </c>
      <c r="H96" s="99" t="str">
        <f>'retrieve E2E ZK random'!H45</f>
        <v/>
      </c>
      <c r="I96" s="99" t="str">
        <f>'retrieve E2E ZK random'!I45</f>
        <v>x</v>
      </c>
      <c r="J96" s="99" t="str">
        <f>'retrieve E2E ZK random'!J45</f>
        <v>x</v>
      </c>
      <c r="K96" s="99" t="str">
        <f>'retrieve E2E ZK random'!K45</f>
        <v/>
      </c>
      <c r="L96" s="99" t="str">
        <f>'retrieve E2E ZK random'!L45</f>
        <v/>
      </c>
      <c r="M96" s="99" t="str">
        <f>'retrieve E2E ZK random'!M45</f>
        <v/>
      </c>
      <c r="N96" s="99" t="str">
        <f>'retrieve E2E ZK random'!N45</f>
        <v/>
      </c>
      <c r="O96" s="99" t="str">
        <f>'retrieve E2E ZK random'!O45</f>
        <v/>
      </c>
      <c r="P96" s="99" t="str">
        <f>'retrieve E2E ZK random'!P45</f>
        <v/>
      </c>
    </row>
    <row r="97">
      <c r="A97" s="99">
        <f>'retrieve E2E OD random'!A46</f>
        <v>113</v>
      </c>
      <c r="B97" s="99" t="str">
        <f>'retrieve E2E OD random'!B46</f>
        <v>The Cricketers, which has a high customer rating, is an average-priced restaurant that serves English cuisine. It is located in the city centre area and can be found near All Bar One. It is kid-friendly.</v>
      </c>
      <c r="C97" s="99" t="str">
        <f>'retrieve E2E OD random'!C46</f>
        <v>The Cricketers|eat_type|restaurant ++ The Cricketers|food|English ++ The Cricketers|price_range|Â£20-25 ++ The Cricketers|rating|high ++ The Cricketers|area|city centre ++ The Cricketers|family_friendly|yes ++ The Cricketers|near|All Bar One</v>
      </c>
      <c r="D97" s="99">
        <f>'retrieve E2E OD random'!D46</f>
        <v>0.002</v>
      </c>
      <c r="E97" s="99" t="str">
        <f>'retrieve E2E OD random'!E46</f>
        <v>OK</v>
      </c>
      <c r="F97" s="99" t="str">
        <f>'retrieve E2E OD random'!F46</f>
        <v>omission</v>
      </c>
      <c r="G97" s="99" t="str">
        <f>'retrieve E2E OD random'!G46</f>
        <v>x</v>
      </c>
      <c r="H97" s="99" t="str">
        <f>'retrieve E2E OD random'!H46</f>
        <v/>
      </c>
      <c r="I97" s="99" t="str">
        <f>'retrieve E2E OD random'!I46</f>
        <v/>
      </c>
      <c r="J97" s="99" t="str">
        <f>'retrieve E2E OD random'!J46</f>
        <v/>
      </c>
      <c r="K97" s="99" t="str">
        <f>'retrieve E2E OD random'!K46</f>
        <v>x</v>
      </c>
      <c r="L97" s="99" t="str">
        <f>'retrieve E2E OD random'!L46</f>
        <v/>
      </c>
      <c r="M97" s="99" t="str">
        <f>'retrieve E2E OD random'!M46</f>
        <v/>
      </c>
      <c r="N97" s="99" t="str">
        <f>'retrieve E2E OD random'!N46</f>
        <v/>
      </c>
      <c r="O97" s="99" t="str">
        <f>'retrieve E2E OD random'!O46</f>
        <v/>
      </c>
      <c r="P97" s="99" t="str">
        <f>'retrieve E2E OD random'!P46</f>
        <v/>
      </c>
    </row>
    <row r="98">
      <c r="A98" s="99">
        <f>'retrieve E2E ZK random'!A44</f>
        <v>114</v>
      </c>
      <c r="B98" s="99" t="str">
        <f>'retrieve E2E ZK random'!B44</f>
        <v>There is a low rated , family friendly restaurant called The Punter that serves moderately priced Indian food near the river and Express by Holiday Inn .</v>
      </c>
      <c r="C98" s="99" t="str">
        <f>'retrieve E2E ZK random'!C44</f>
        <v>The Punter|eat_type|restaurant ++ The Punter|food|Indian ++ The Punter|price_range|cheap ++ The Punter|rating|average ++ The Punter|area|riverside ++ The Punter|family_friendly|yes ++ The Punter|near|Express by Holiday Inn</v>
      </c>
      <c r="D98" s="99">
        <f>'retrieve E2E ZK random'!D44</f>
        <v>0.025</v>
      </c>
      <c r="E98" s="99" t="str">
        <f>'retrieve E2E ZK random'!E44</f>
        <v>hallucination+omission</v>
      </c>
      <c r="F98" s="99" t="str">
        <f>'retrieve E2E ZK random'!F44</f>
        <v>omission</v>
      </c>
      <c r="G98" s="99" t="str">
        <f>'retrieve E2E ZK random'!G44</f>
        <v/>
      </c>
      <c r="H98" s="99" t="str">
        <f>'retrieve E2E ZK random'!H44</f>
        <v>x</v>
      </c>
      <c r="I98" s="99" t="str">
        <f>'retrieve E2E ZK random'!I44</f>
        <v/>
      </c>
      <c r="J98" s="99" t="str">
        <f>'retrieve E2E ZK random'!J44</f>
        <v/>
      </c>
      <c r="K98" s="99" t="str">
        <f>'retrieve E2E ZK random'!K44</f>
        <v/>
      </c>
      <c r="L98" s="99" t="str">
        <f>'retrieve E2E ZK random'!L44</f>
        <v/>
      </c>
      <c r="M98" s="99" t="str">
        <f>'retrieve E2E ZK random'!M44</f>
        <v/>
      </c>
      <c r="N98" s="99" t="str">
        <f>'retrieve E2E ZK random'!N44</f>
        <v/>
      </c>
      <c r="O98" s="99" t="str">
        <f>'retrieve E2E ZK random'!O44</f>
        <v>x</v>
      </c>
      <c r="P98" s="99" t="str">
        <f>'retrieve E2E ZK random'!P44</f>
        <v/>
      </c>
    </row>
    <row r="99">
      <c r="A99" s="99">
        <f>'retrieve E2E ZK random'!A43</f>
        <v>115</v>
      </c>
      <c r="B99" s="99" t="str">
        <f>'retrieve E2E ZK random'!B43</f>
        <v>There is a city centre restaurant near Raja Indian Cuisine called The Mill, that serves English food in the less than Â£20 price range. This venue is not suited for families with children.</v>
      </c>
      <c r="C99" s="99" t="str">
        <f>'retrieve E2E ZK random'!C43</f>
        <v>The Mill|eat_type|restaurant ++ The Mill|food|English ++ The Mill|price_range|less than Â£20 ++ The Mill|area|city centre ++ The Mill|family_friendly|no ++ The Mill|near|Raja Indian Cuisine</v>
      </c>
      <c r="D99" s="99">
        <f>'retrieve E2E ZK random'!D43</f>
        <v>0.979</v>
      </c>
      <c r="E99" s="99" t="str">
        <f>'retrieve E2E ZK random'!E43</f>
        <v>hallucination+omission</v>
      </c>
      <c r="F99" s="99" t="str">
        <f>'retrieve E2E ZK random'!F43</f>
        <v>OK</v>
      </c>
      <c r="G99" s="99" t="str">
        <f>'retrieve E2E ZK random'!G43</f>
        <v/>
      </c>
      <c r="H99" s="99" t="str">
        <f>'retrieve E2E ZK random'!H43</f>
        <v>x</v>
      </c>
      <c r="I99" s="99" t="str">
        <f>'retrieve E2E ZK random'!I43</f>
        <v/>
      </c>
      <c r="J99" s="99" t="str">
        <f>'retrieve E2E ZK random'!J43</f>
        <v/>
      </c>
      <c r="K99" s="99" t="str">
        <f>'retrieve E2E ZK random'!K43</f>
        <v/>
      </c>
      <c r="L99" s="99" t="str">
        <f>'retrieve E2E ZK random'!L43</f>
        <v/>
      </c>
      <c r="M99" s="99" t="str">
        <f>'retrieve E2E ZK random'!M43</f>
        <v/>
      </c>
      <c r="N99" s="99" t="str">
        <f>'retrieve E2E ZK random'!N43</f>
        <v>x</v>
      </c>
      <c r="O99" s="99" t="str">
        <f>'retrieve E2E ZK random'!O43</f>
        <v>x</v>
      </c>
      <c r="P99" s="99" t="str">
        <f>'retrieve E2E ZK random'!P43</f>
        <v/>
      </c>
    </row>
    <row r="100">
      <c r="A100" s="99">
        <f>'retrieve E2E OD random'!A32</f>
        <v>116</v>
      </c>
      <c r="B100" s="99" t="str">
        <f>'retrieve E2E OD random'!B32</f>
        <v>Located near Raja Indian Cuisine in the city centre , The Plough is a Chinese restaurant where you can enjoyed at high price per head . Though not allow children .</v>
      </c>
      <c r="C100" s="99" t="str">
        <f>'retrieve E2E OD random'!C32</f>
        <v>The Plough|eat_type|restaurant ++ The Plough|food|Chinese ++ The Plough|price_range|high ++ The Plough|area|city centre ++ The Plough|family_friendly|no ++ The Plough|near|Raja Indian Cuisine</v>
      </c>
      <c r="D100" s="99">
        <f>'retrieve E2E OD random'!D32</f>
        <v>0.611</v>
      </c>
      <c r="E100" s="99" t="str">
        <f>'retrieve E2E OD random'!E32</f>
        <v>hallucination+omission</v>
      </c>
      <c r="F100" s="99" t="str">
        <f>'retrieve E2E OD random'!F32</f>
        <v>OK</v>
      </c>
      <c r="G100" s="99" t="str">
        <f>'retrieve E2E OD random'!G32</f>
        <v/>
      </c>
      <c r="H100" s="99" t="str">
        <f>'retrieve E2E OD random'!H32</f>
        <v>x</v>
      </c>
      <c r="I100" s="99" t="str">
        <f>'retrieve E2E OD random'!I32</f>
        <v/>
      </c>
      <c r="J100" s="99" t="str">
        <f>'retrieve E2E OD random'!J32</f>
        <v/>
      </c>
      <c r="K100" s="99" t="str">
        <f>'retrieve E2E OD random'!K32</f>
        <v/>
      </c>
      <c r="L100" s="99" t="str">
        <f>'retrieve E2E OD random'!L32</f>
        <v/>
      </c>
      <c r="M100" s="99" t="str">
        <f>'retrieve E2E OD random'!M32</f>
        <v/>
      </c>
      <c r="N100" s="99" t="str">
        <f>'retrieve E2E OD random'!N32</f>
        <v/>
      </c>
      <c r="O100" s="99" t="str">
        <f>'retrieve E2E OD random'!O32</f>
        <v/>
      </c>
      <c r="P100" s="99" t="str">
        <f>'retrieve E2E OD random'!P32</f>
        <v>disfluent text</v>
      </c>
    </row>
    <row r="101">
      <c r="A101" s="99">
        <f>'retrieve E2E ZK random'!A4</f>
        <v>117</v>
      </c>
      <c r="B101" s="99" t="str">
        <f>'retrieve E2E ZK random'!B4</f>
        <v>The Mill is a pub that serve fast food . It can be found in the riverside area near CafÃ© Rouge . It has high prices and provides a kid friendly atmosphere .</v>
      </c>
      <c r="C101" s="99" t="str">
        <f>'retrieve E2E ZK random'!C4</f>
        <v>The Mill|eat_type|pub ++ The Mill|food|Fast food ++ The Mill|price_range|Â£20-25 ++ The Mill|rating|high ++ The Mill|area|riverside ++ The Mill|family_friendly|yes ++ The Mill|near|CafÃ© Rouge</v>
      </c>
      <c r="D101" s="99">
        <f>'retrieve E2E ZK random'!D4</f>
        <v>0.006</v>
      </c>
      <c r="E101" s="99" t="str">
        <f>'retrieve E2E ZK random'!E4</f>
        <v>hallucination+omission</v>
      </c>
      <c r="F101" s="99" t="str">
        <f>'retrieve E2E ZK random'!F4</f>
        <v>omission</v>
      </c>
      <c r="G101" s="99" t="str">
        <f>'retrieve E2E ZK random'!G4</f>
        <v/>
      </c>
      <c r="H101" s="99" t="str">
        <f>'retrieve E2E ZK random'!H4</f>
        <v>x</v>
      </c>
      <c r="I101" s="99" t="str">
        <f>'retrieve E2E ZK random'!I4</f>
        <v/>
      </c>
      <c r="J101" s="99" t="str">
        <f>'retrieve E2E ZK random'!J4</f>
        <v/>
      </c>
      <c r="K101" s="99" t="str">
        <f>'retrieve E2E ZK random'!K4</f>
        <v/>
      </c>
      <c r="L101" s="99" t="str">
        <f>'retrieve E2E ZK random'!L4</f>
        <v/>
      </c>
      <c r="M101" s="99" t="str">
        <f>'retrieve E2E ZK random'!M4</f>
        <v/>
      </c>
      <c r="N101" s="99" t="str">
        <f>'retrieve E2E ZK random'!N4</f>
        <v/>
      </c>
      <c r="O101" s="99" t="str">
        <f>'retrieve E2E ZK random'!O4</f>
        <v>x</v>
      </c>
      <c r="P101" s="99" t="str">
        <f>'retrieve E2E ZK random'!P4</f>
        <v/>
      </c>
    </row>
    <row r="102">
      <c r="A102" s="99">
        <f>'retrieve E2E ZK random'!A2</f>
        <v>118</v>
      </c>
      <c r="B102" s="99" t="str">
        <f>'retrieve E2E ZK random'!B2</f>
        <v>In the area of city centre near Raja Indian Cuisine is The Waterman, it is a pub. It is not kid friendly and the Indian is moderately expensive.</v>
      </c>
      <c r="C102" s="99" t="str">
        <f>'retrieve E2E ZK random'!C2</f>
        <v>The Waterman|eat_type|pub ++ The Waterman|food|Indian ++ The Waterman|price_range|moderate ++ The Waterman|area|city centre ++ The Waterman|family_friendly|no ++ The Waterman|near|Raja Indian Cuisine</v>
      </c>
      <c r="D102" s="99">
        <f>'retrieve E2E ZK random'!D2</f>
        <v>0.968</v>
      </c>
      <c r="E102" s="99" t="str">
        <f>'retrieve E2E ZK random'!E2</f>
        <v>hallucination+omission</v>
      </c>
      <c r="F102" s="99" t="str">
        <f>'retrieve E2E ZK random'!F2</f>
        <v>OK</v>
      </c>
      <c r="G102" s="99" t="str">
        <f>'retrieve E2E ZK random'!G2</f>
        <v/>
      </c>
      <c r="H102" s="99" t="str">
        <f>'retrieve E2E ZK random'!H2</f>
        <v>x</v>
      </c>
      <c r="I102" s="99" t="str">
        <f>'retrieve E2E ZK random'!I2</f>
        <v/>
      </c>
      <c r="J102" s="99" t="str">
        <f>'retrieve E2E ZK random'!J2</f>
        <v/>
      </c>
      <c r="K102" s="99" t="str">
        <f>'retrieve E2E ZK random'!K2</f>
        <v/>
      </c>
      <c r="L102" s="99" t="str">
        <f>'retrieve E2E ZK random'!L2</f>
        <v/>
      </c>
      <c r="M102" s="99" t="str">
        <f>'retrieve E2E ZK random'!M2</f>
        <v/>
      </c>
      <c r="N102" s="99" t="str">
        <f>'retrieve E2E ZK random'!N2</f>
        <v>x</v>
      </c>
      <c r="O102" s="99" t="str">
        <f>'retrieve E2E ZK random'!O2</f>
        <v>x</v>
      </c>
      <c r="P102" s="99" t="str">
        <f>'retrieve E2E ZK random'!P2</f>
        <v/>
      </c>
    </row>
    <row r="103">
      <c r="G103" s="144">
        <f t="shared" ref="G103:O103" si="1">COUNTIF(G3:G102, "x")</f>
        <v>36</v>
      </c>
      <c r="H103" s="144">
        <f t="shared" si="1"/>
        <v>48</v>
      </c>
      <c r="I103" s="144">
        <f t="shared" si="1"/>
        <v>16</v>
      </c>
      <c r="J103" s="144">
        <f t="shared" si="1"/>
        <v>6</v>
      </c>
      <c r="K103" s="144">
        <f t="shared" si="1"/>
        <v>33</v>
      </c>
      <c r="L103" s="144">
        <f t="shared" si="1"/>
        <v>13</v>
      </c>
      <c r="M103" s="144">
        <f t="shared" si="1"/>
        <v>5</v>
      </c>
      <c r="N103" s="144">
        <f t="shared" si="1"/>
        <v>11</v>
      </c>
      <c r="O103" s="144">
        <f t="shared" si="1"/>
        <v>20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4">
        <f>IFERROR(__xludf.DUMMYFUNCTION("{ QUERY({ 'Copy of AB-E2E'!A4:P54 }, ""SELECT * LIMIT 50"",0)}"),38.0)</f>
        <v>38</v>
      </c>
      <c r="B1" s="99" t="str">
        <f>IFERROR(__xludf.DUMMYFUNCTION("""COMPUTED_VALUE"""),"The Mill, which serves fast food, is a low-priced pub. It has a low customer rating. Non-kid-friendly The Mill is located in the city centre near Café Sicilia.")</f>
        <v>The Mill, which serves fast food, is a low-priced pub. It has a low customer rating. Non-kid-friendly The Mill is located in the city centre near Café Sicilia.</v>
      </c>
      <c r="C1" s="99" t="str">
        <f>IFERROR(__xludf.DUMMYFUNCTION("""COMPUTED_VALUE"""),"The Mill|eat_type|pub ++ The Mill|food|Fast food ++ The Mill|price_range|less than £20 ++ The Mill|rating|low ++ The Mill|area|city centre ++ The Mill|family_friendly|no ++ The Mill|near|Café Sicilia")</f>
        <v>The Mill|eat_type|pub ++ The Mill|food|Fast food ++ The Mill|price_range|less than £20 ++ The Mill|rating|low ++ The Mill|area|city centre ++ The Mill|family_friendly|no ++ The Mill|near|Café Sicilia</v>
      </c>
      <c r="D1" s="99" t="str">
        <f>IFERROR(__xludf.DUMMYFUNCTION("""COMPUTED_VALUE"""),"0.121")</f>
        <v>0.121</v>
      </c>
      <c r="E1" s="99" t="str">
        <f>IFERROR(__xludf.DUMMYFUNCTION("""COMPUTED_VALUE"""),"OK")</f>
        <v>OK</v>
      </c>
      <c r="F1" s="99" t="str">
        <f>IFERROR(__xludf.DUMMYFUNCTION("""COMPUTED_VALUE"""),"omission")</f>
        <v>omission</v>
      </c>
      <c r="G1" s="99" t="str">
        <f>IFERROR(__xludf.DUMMYFUNCTION("""COMPUTED_VALUE"""),"x")</f>
        <v>x</v>
      </c>
      <c r="H1" s="99"/>
      <c r="I1" s="99"/>
      <c r="J1" s="99"/>
      <c r="K1" s="99" t="str">
        <f>IFERROR(__xludf.DUMMYFUNCTION("""COMPUTED_VALUE"""),"x")</f>
        <v>x</v>
      </c>
      <c r="L1" s="99"/>
      <c r="M1" s="99"/>
      <c r="N1" s="99" t="str">
        <f>IFERROR(__xludf.DUMMYFUNCTION("""COMPUTED_VALUE"""),"x")</f>
        <v>x</v>
      </c>
      <c r="O1" s="99"/>
      <c r="P1" s="99" t="str">
        <f>IFERROR(__xludf.DUMMYFUNCTION("""COMPUTED_VALUE"""),"NLI wrongly has omission maybe because it doesn't recognise low priced as a realisation of &lt;£20")</f>
        <v>NLI wrongly has omission maybe because it doesn't recognise low priced as a realisation of &lt;£20</v>
      </c>
    </row>
    <row r="2">
      <c r="A2" s="99">
        <f>IFERROR(__xludf.DUMMYFUNCTION("""COMPUTED_VALUE"""),36.0)</f>
        <v>36</v>
      </c>
      <c r="B2" s="99" t="str">
        <f>IFERROR(__xludf.DUMMYFUNCTION("""COMPUTED_VALUE"""),"Family-friendly The Mill is a low-priced pub serving English cuisine. It is located in the city centre area and can be found near Raja Indian Cuisine.")</f>
        <v>Family-friendly The Mill is a low-priced pub serving English cuisine. It is located in the city centre area and can be found near Raja Indian Cuisine.</v>
      </c>
      <c r="C2" s="99" t="str">
        <f>IFERROR(__xludf.DUMMYFUNCTION("""COMPUTED_VALUE"""),"The Mill|eat_type|pub ++ The Mill|food|English ++ The Mill|price_range|less than £20 ++ The Mill|area|city centre ++ The Mill|family_friendly|yes ++ The Mill|near|Raja Indian Cuisine")</f>
        <v>The Mill|eat_type|pub ++ The Mill|food|English ++ The Mill|price_range|less than £20 ++ The Mill|area|city centre ++ The Mill|family_friendly|yes ++ The Mill|near|Raja Indian Cuisine</v>
      </c>
      <c r="D2" s="99" t="str">
        <f>IFERROR(__xludf.DUMMYFUNCTION("""COMPUTED_VALUE"""),"0.137")</f>
        <v>0.137</v>
      </c>
      <c r="E2" s="99" t="str">
        <f>IFERROR(__xludf.DUMMYFUNCTION("""COMPUTED_VALUE"""),"OK")</f>
        <v>OK</v>
      </c>
      <c r="F2" s="99" t="str">
        <f>IFERROR(__xludf.DUMMYFUNCTION("""COMPUTED_VALUE"""),"omission")</f>
        <v>omission</v>
      </c>
      <c r="G2" s="99" t="str">
        <f>IFERROR(__xludf.DUMMYFUNCTION("""COMPUTED_VALUE"""),"x")</f>
        <v>x</v>
      </c>
      <c r="H2" s="99"/>
      <c r="I2" s="99"/>
      <c r="J2" s="99"/>
      <c r="K2" s="99" t="str">
        <f>IFERROR(__xludf.DUMMYFUNCTION("""COMPUTED_VALUE"""),"x")</f>
        <v>x</v>
      </c>
      <c r="L2" s="99"/>
      <c r="M2" s="99"/>
      <c r="N2" s="99" t="str">
        <f>IFERROR(__xludf.DUMMYFUNCTION("""COMPUTED_VALUE"""),"x")</f>
        <v>x</v>
      </c>
      <c r="O2" s="99"/>
      <c r="P2" s="99" t="str">
        <f>IFERROR(__xludf.DUMMYFUNCTION("""COMPUTED_VALUE"""),"NLI wrongly has omission maybe because it doesn't recognise low priced as a realisation of &lt;£20")</f>
        <v>NLI wrongly has omission maybe because it doesn't recognise low priced as a realisation of &lt;£20</v>
      </c>
    </row>
    <row r="3">
      <c r="A3" s="99">
        <f>IFERROR(__xludf.DUMMYFUNCTION("""COMPUTED_VALUE"""),92.0)</f>
        <v>92</v>
      </c>
      <c r="B3" s="99" t="str">
        <f>IFERROR(__xludf.DUMMYFUNCTION("""COMPUTED_VALUE"""),"The Mill is a Fast food pub. It is located in city centre, near Café Sicilia. It has 1 out of 5 customer rating since it is not family-friendly, but offer dishes for moderate.")</f>
        <v>The Mill is a Fast food pub. It is located in city centre, near Café Sicilia. It has 1 out of 5 customer rating since it is not family-friendly, but offer dishes for moderate.</v>
      </c>
      <c r="C3" s="99" t="str">
        <f>IFERROR(__xludf.DUMMYFUNCTION("""COMPUTED_VALUE"""),"The Mill|eat_type|pub ++ The Mill|food|Fast food ++ The Mill|price_range|moderate ++ The Mill|rating|1 out of 5 ++ The Mill|area|city centre ++ The Mill|family_friendly|no ++ The Mill|near|Café Sicilia")</f>
        <v>The Mill|eat_type|pub ++ The Mill|food|Fast food ++ The Mill|price_range|moderate ++ The Mill|rating|1 out of 5 ++ The Mill|area|city centre ++ The Mill|family_friendly|no ++ The Mill|near|Café Sicilia</v>
      </c>
      <c r="D3" s="99" t="str">
        <f>IFERROR(__xludf.DUMMYFUNCTION("""COMPUTED_VALUE"""),"0.434")</f>
        <v>0.434</v>
      </c>
      <c r="E3" s="99" t="str">
        <f>IFERROR(__xludf.DUMMYFUNCTION("""COMPUTED_VALUE"""),"omission")</f>
        <v>omission</v>
      </c>
      <c r="F3" s="99" t="str">
        <f>IFERROR(__xludf.DUMMYFUNCTION("""COMPUTED_VALUE"""),"hallucination")</f>
        <v>hallucination</v>
      </c>
      <c r="G3" s="99"/>
      <c r="H3" s="99"/>
      <c r="I3" s="99" t="str">
        <f>IFERROR(__xludf.DUMMYFUNCTION("""COMPUTED_VALUE"""),"x")</f>
        <v>x</v>
      </c>
      <c r="J3" s="99"/>
      <c r="K3" s="99" t="str">
        <f>IFERROR(__xludf.DUMMYFUNCTION("""COMPUTED_VALUE"""),"x")</f>
        <v>x</v>
      </c>
      <c r="L3" s="99"/>
      <c r="M3" s="99" t="str">
        <f>IFERROR(__xludf.DUMMYFUNCTION("""COMPUTED_VALUE"""),"x")</f>
        <v>x</v>
      </c>
      <c r="N3" s="99"/>
      <c r="O3" s="99"/>
      <c r="P3" s="99" t="str">
        <f>IFERROR(__xludf.DUMMYFUNCTION("""COMPUTED_VALUE"""),"should be hallucination+omission; 'since', 'for moderate'")</f>
        <v>should be hallucination+omission; 'since', 'for moderate'</v>
      </c>
    </row>
    <row r="4">
      <c r="A4" s="99">
        <f>IFERROR(__xludf.DUMMYFUNCTION("""COMPUTED_VALUE"""),25.0)</f>
        <v>25</v>
      </c>
      <c r="B4" s="99" t="str">
        <f>IFERROR(__xludf.DUMMYFUNCTION("""COMPUTED_VALUE"""),"The Cricketers is a high restaurant that serves English food. Yes it is kids-friendly. It has an average customer rating and is located in the city centre area near Café Rouge.")</f>
        <v>The Cricketers is a high restaurant that serves English food. Yes it is kids-friendly. It has an average customer rating and is located in the city centre area near Café Rouge.</v>
      </c>
      <c r="C4" s="99" t="str">
        <f>IFERROR(__xludf.DUMMYFUNCTION("""COMPUTED_VALUE"""),"The Cricketers|eat_type|restaurant ++ The Cricketers|food|English ++ The Cricketers|price_range|high ++ The Cricketers|rating|average ++ The Cricketers|area|city centre ++ The Cricketers|family_friendly|yes ++ The Cricketers|near|Café Rouge")</f>
        <v>The Cricketers|eat_type|restaurant ++ The Cricketers|food|English ++ The Cricketers|price_range|high ++ The Cricketers|rating|average ++ The Cricketers|area|city centre ++ The Cricketers|family_friendly|yes ++ The Cricketers|near|Café Rouge</v>
      </c>
      <c r="D4" s="99" t="str">
        <f>IFERROR(__xludf.DUMMYFUNCTION("""COMPUTED_VALUE"""),"0.887")</f>
        <v>0.887</v>
      </c>
      <c r="E4" s="99" t="str">
        <f>IFERROR(__xludf.DUMMYFUNCTION("""COMPUTED_VALUE"""),"omission")</f>
        <v>omission</v>
      </c>
      <c r="F4" s="99" t="str">
        <f>IFERROR(__xludf.DUMMYFUNCTION("""COMPUTED_VALUE"""),"OK")</f>
        <v>OK</v>
      </c>
      <c r="G4" s="99"/>
      <c r="H4" s="99"/>
      <c r="I4" s="99" t="str">
        <f>IFERROR(__xludf.DUMMYFUNCTION("""COMPUTED_VALUE"""),"x")</f>
        <v>x</v>
      </c>
      <c r="J4" s="99"/>
      <c r="K4" s="99" t="str">
        <f>IFERROR(__xludf.DUMMYFUNCTION("""COMPUTED_VALUE"""),"x")</f>
        <v>x</v>
      </c>
      <c r="L4" s="99"/>
      <c r="M4" s="99" t="str">
        <f>IFERROR(__xludf.DUMMYFUNCTION("""COMPUTED_VALUE"""),"x")</f>
        <v>x</v>
      </c>
      <c r="N4" s="99"/>
      <c r="O4" s="99"/>
      <c r="P4" s="99" t="str">
        <f>IFERROR(__xludf.DUMMYFUNCTION("""COMPUTED_VALUE"""),"gold seems to diagnose 'high' for price_range=high as an omission because it's not a valid realisation; could go either way: both wrong or just gold wrong, because if it's not OK it's omission+hallucination")</f>
        <v>gold seems to diagnose 'high' for price_range=high as an omission because it's not a valid realisation; could go either way: both wrong or just gold wrong, because if it's not OK it's omission+hallucination</v>
      </c>
    </row>
    <row r="5">
      <c r="A5" s="99">
        <f>IFERROR(__xludf.DUMMYFUNCTION("""COMPUTED_VALUE"""),70.0)</f>
        <v>70</v>
      </c>
      <c r="B5" s="99" t="str">
        <f>IFERROR(__xludf.DUMMYFUNCTION("""COMPUTED_VALUE"""),"The Cricketers is a chinese restaurant in the riverside area near All Bar One. It is children friendly and has an average customer rating and a high price range.")</f>
        <v>The Cricketers is a chinese restaurant in the riverside area near All Bar One. It is children friendly and has an average customer rating and a high price range.</v>
      </c>
      <c r="C5" s="99" t="str">
        <f>IFERROR(__xludf.DUMMYFUNCTION("""COMPUTED_VALUE"""),"The Cricketers|eat_type|restaurant ++ The Cricketers|food|Chinese ++ The Cricketers|price_range|high ++ The Cricketers|rating|average ++ The Cricketers|area|riverside ++ The Cricketers|family_friendly|yes ++ The Cricketers|near|All Bar One")</f>
        <v>The Cricketers|eat_type|restaurant ++ The Cricketers|food|Chinese ++ The Cricketers|price_range|high ++ The Cricketers|rating|average ++ The Cricketers|area|riverside ++ The Cricketers|family_friendly|yes ++ The Cricketers|near|All Bar One</v>
      </c>
      <c r="D5" s="99" t="str">
        <f>IFERROR(__xludf.DUMMYFUNCTION("""COMPUTED_VALUE"""),"0.970")</f>
        <v>0.970</v>
      </c>
      <c r="E5" s="99" t="str">
        <f>IFERROR(__xludf.DUMMYFUNCTION("""COMPUTED_VALUE"""),"hallucination")</f>
        <v>hallucination</v>
      </c>
      <c r="F5" s="99" t="str">
        <f>IFERROR(__xludf.DUMMYFUNCTION("""COMPUTED_VALUE"""),"OK")</f>
        <v>OK</v>
      </c>
      <c r="G5" s="99"/>
      <c r="H5" s="99" t="str">
        <f>IFERROR(__xludf.DUMMYFUNCTION("""COMPUTED_VALUE"""),"x")</f>
        <v>x</v>
      </c>
      <c r="I5" s="99"/>
      <c r="J5" s="99"/>
      <c r="K5" s="99"/>
      <c r="L5" s="99"/>
      <c r="M5" s="99"/>
      <c r="N5" s="99"/>
      <c r="O5" s="99" t="str">
        <f>IFERROR(__xludf.DUMMYFUNCTION("""COMPUTED_VALUE"""),"x")</f>
        <v>x</v>
      </c>
      <c r="P5" s="99" t="str">
        <f>IFERROR(__xludf.DUMMYFUNCTION("""COMPUTED_VALUE"""),"gold wrongly has hallucination; unclear why")</f>
        <v>gold wrongly has hallucination; unclear why</v>
      </c>
    </row>
    <row r="6">
      <c r="A6" s="99">
        <f>IFERROR(__xludf.DUMMYFUNCTION("""COMPUTED_VALUE"""),34.0)</f>
        <v>34</v>
      </c>
      <c r="B6" s="99" t="str">
        <f>IFERROR(__xludf.DUMMYFUNCTION("""COMPUTED_VALUE"""),"The Cricketers is a moderate restaurant that serves Chinese food. Yes it is kids-friendly. Its customer rating is 1 out of 5. It is located in the riverside area near All Bar One.")</f>
        <v>The Cricketers is a moderate restaurant that serves Chinese food. Yes it is kids-friendly. Its customer rating is 1 out of 5. It is located in the riverside area near All Bar One.</v>
      </c>
      <c r="C6" s="99" t="str">
        <f>IFERROR(__xludf.DUMMYFUNCTION("""COMPUTED_VALUE"""),"The Cricketers|eat_type|restaurant ++ The Cricketers|food|Chinese ++ The Cricketers|price_range|moderate ++ The Cricketers|rating|1 out of 5 ++ The Cricketers|area|riverside ++ The Cricketers|family_friendly|yes ++ The Cricketers|near|All Bar One")</f>
        <v>The Cricketers|eat_type|restaurant ++ The Cricketers|food|Chinese ++ The Cricketers|price_range|moderate ++ The Cricketers|rating|1 out of 5 ++ The Cricketers|area|riverside ++ The Cricketers|family_friendly|yes ++ The Cricketers|near|All Bar One</v>
      </c>
      <c r="D6" s="99" t="str">
        <f>IFERROR(__xludf.DUMMYFUNCTION("""COMPUTED_VALUE"""),"0.854")</f>
        <v>0.854</v>
      </c>
      <c r="E6" s="99" t="str">
        <f>IFERROR(__xludf.DUMMYFUNCTION("""COMPUTED_VALUE"""),"omission")</f>
        <v>omission</v>
      </c>
      <c r="F6" s="99" t="str">
        <f>IFERROR(__xludf.DUMMYFUNCTION("""COMPUTED_VALUE"""),"OK")</f>
        <v>OK</v>
      </c>
      <c r="G6" s="99"/>
      <c r="H6" s="99"/>
      <c r="I6" s="99" t="str">
        <f>IFERROR(__xludf.DUMMYFUNCTION("""COMPUTED_VALUE"""),"x")</f>
        <v>x</v>
      </c>
      <c r="J6" s="99"/>
      <c r="K6" s="99" t="str">
        <f>IFERROR(__xludf.DUMMYFUNCTION("""COMPUTED_VALUE"""),"x")</f>
        <v>x</v>
      </c>
      <c r="L6" s="99"/>
      <c r="M6" s="99" t="str">
        <f>IFERROR(__xludf.DUMMYFUNCTION("""COMPUTED_VALUE"""),"x")</f>
        <v>x</v>
      </c>
      <c r="N6" s="99"/>
      <c r="O6" s="99"/>
      <c r="P6" s="99" t="str">
        <f>IFERROR(__xludf.DUMMYFUNCTION("""COMPUTED_VALUE"""),"gold seems to diagnose 'moderate' for price_range=moderate as an omission because it's not a valid realisation; could go either way: both wrong or just gold wrong, because if it's not OK it's omission+hallucination ")</f>
        <v>gold seems to diagnose 'moderate' for price_range=moderate as an omission because it's not a valid realisation; could go either way: both wrong or just gold wrong, because if it's not OK it's omission+hallucination </v>
      </c>
    </row>
    <row r="7">
      <c r="A7" s="99">
        <f>IFERROR(__xludf.DUMMYFUNCTION("""COMPUTED_VALUE"""),64.0)</f>
        <v>64</v>
      </c>
      <c r="B7" s="99" t="str">
        <f>IFERROR(__xludf.DUMMYFUNCTION("""COMPUTED_VALUE"""),"Conveniently located in riverside near Raja Indian Cuisine there is a moderately priced pub serving Japanese food with a rating of 1 out of 5 called The Wrestlers. Children are permitted.")</f>
        <v>Conveniently located in riverside near Raja Indian Cuisine there is a moderately priced pub serving Japanese food with a rating of 1 out of 5 called The Wrestlers. Children are permitted.</v>
      </c>
      <c r="C7" s="99" t="str">
        <f>IFERROR(__xludf.DUMMYFUNCTION("""COMPUTED_VALUE"""),"The Wrestlers|eat_type|pub ++ The Wrestlers|food|Japanese ++ The Wrestlers|price_range|moderate ++ The Wrestlers|rating|1 out of 5 ++ The Wrestlers|area|riverside ++ The Wrestlers|family_friendly|yes ++ The Wrestlers|near|Raja Indian Cuisine")</f>
        <v>The Wrestlers|eat_type|pub ++ The Wrestlers|food|Japanese ++ The Wrestlers|price_range|moderate ++ The Wrestlers|rating|1 out of 5 ++ The Wrestlers|area|riverside ++ The Wrestlers|family_friendly|yes ++ The Wrestlers|near|Raja Indian Cuisine</v>
      </c>
      <c r="D7" s="99" t="str">
        <f>IFERROR(__xludf.DUMMYFUNCTION("""COMPUTED_VALUE"""),"0.901")</f>
        <v>0.901</v>
      </c>
      <c r="E7" s="99" t="str">
        <f>IFERROR(__xludf.DUMMYFUNCTION("""COMPUTED_VALUE"""),"omission")</f>
        <v>omission</v>
      </c>
      <c r="F7" s="99" t="str">
        <f>IFERROR(__xludf.DUMMYFUNCTION("""COMPUTED_VALUE"""),"OK")</f>
        <v>OK</v>
      </c>
      <c r="G7" s="99"/>
      <c r="H7" s="99" t="str">
        <f>IFERROR(__xludf.DUMMYFUNCTION("""COMPUTED_VALUE"""),"x")</f>
        <v>x</v>
      </c>
      <c r="I7" s="99"/>
      <c r="J7" s="99"/>
      <c r="K7" s="99"/>
      <c r="L7" s="99" t="str">
        <f>IFERROR(__xludf.DUMMYFUNCTION("""COMPUTED_VALUE"""),"x")</f>
        <v>x</v>
      </c>
      <c r="M7" s="99" t="str">
        <f>IFERROR(__xludf.DUMMYFUNCTION("""COMPUTED_VALUE"""),"x")</f>
        <v>x</v>
      </c>
      <c r="N7" s="99"/>
      <c r="O7" s="99"/>
      <c r="P7" s="99" t="str">
        <f>IFERROR(__xludf.DUMMYFUNCTION("""COMPUTED_VALUE"""),"gold seems to diagnose 'children are permitted' for family_friendly=yes as an omission because it's not a good realisation; could go either way: both wrong or just gold wrong, because if it's not OK it's omission+hallucination")</f>
        <v>gold seems to diagnose 'children are permitted' for family_friendly=yes as an omission because it's not a good realisation; could go either way: both wrong or just gold wrong, because if it's not OK it's omission+hallucination</v>
      </c>
    </row>
    <row r="8">
      <c r="A8" s="99">
        <f>IFERROR(__xludf.DUMMYFUNCTION("""COMPUTED_VALUE"""),16.0)</f>
        <v>16</v>
      </c>
      <c r="B8" s="99" t="str">
        <f>IFERROR(__xludf.DUMMYFUNCTION("""COMPUTED_VALUE"""),"For a child-friendly, average-rated restaurant serving English, try The Cricketers, in the riverside area, near Café Rouge.")</f>
        <v>For a child-friendly, average-rated restaurant serving English, try The Cricketers, in the riverside area, near Café Rouge.</v>
      </c>
      <c r="C8" s="99" t="str">
        <f>IFERROR(__xludf.DUMMYFUNCTION("""COMPUTED_VALUE"""),"The Cricketers|eat_type|restaurant ++ The Cricketers|food|English ++ The Cricketers|price_range|cheap ++ The Cricketers|rating|average ++ The Cricketers|area|riverside ++ The Cricketers|family_friendly|yes ++ The Cricketers|near|Café Rouge")</f>
        <v>The Cricketers|eat_type|restaurant ++ The Cricketers|food|English ++ The Cricketers|price_range|cheap ++ The Cricketers|rating|average ++ The Cricketers|area|riverside ++ The Cricketers|family_friendly|yes ++ The Cricketers|near|Café Rouge</v>
      </c>
      <c r="D8" s="99" t="str">
        <f>IFERROR(__xludf.DUMMYFUNCTION("""COMPUTED_VALUE"""),"0.742")</f>
        <v>0.742</v>
      </c>
      <c r="E8" s="99" t="str">
        <f>IFERROR(__xludf.DUMMYFUNCTION("""COMPUTED_VALUE"""),"omission")</f>
        <v>omission</v>
      </c>
      <c r="F8" s="99" t="str">
        <f>IFERROR(__xludf.DUMMYFUNCTION("""COMPUTED_VALUE"""),"OK")</f>
        <v>OK</v>
      </c>
      <c r="G8" s="99" t="str">
        <f>IFERROR(__xludf.DUMMYFUNCTION("""COMPUTED_VALUE"""),"x")</f>
        <v>x</v>
      </c>
      <c r="H8" s="99"/>
      <c r="I8" s="99"/>
      <c r="J8" s="99"/>
      <c r="K8" s="99" t="str">
        <f>IFERROR(__xludf.DUMMYFUNCTION("""COMPUTED_VALUE"""),"x")</f>
        <v>x</v>
      </c>
      <c r="L8" s="99"/>
      <c r="M8" s="99"/>
      <c r="N8" s="99"/>
      <c r="O8" s="99"/>
      <c r="P8" s="99" t="str">
        <f>IFERROR(__xludf.DUMMYFUNCTION("""COMPUTED_VALUE"""),"NLI misses omission ('cheap')")</f>
        <v>NLI misses omission ('cheap')</v>
      </c>
    </row>
    <row r="9">
      <c r="A9" s="99">
        <f>IFERROR(__xludf.DUMMYFUNCTION("""COMPUTED_VALUE"""),59.0)</f>
        <v>59</v>
      </c>
      <c r="B9" s="99" t="str">
        <f>IFERROR(__xludf.DUMMYFUNCTION("""COMPUTED_VALUE"""),"The Mill is a moderate restaurant that serves English food. It is not children-friendly and has a rating of 1 out of 5. It is located in the riverside area near Café Rouge.")</f>
        <v>The Mill is a moderate restaurant that serves English food. It is not children-friendly and has a rating of 1 out of 5. It is located in the riverside area near Café Rouge.</v>
      </c>
      <c r="C9" s="99" t="str">
        <f>IFERROR(__xludf.DUMMYFUNCTION("""COMPUTED_VALUE"""),"The Mill|eat_type|restaurant ++ The Mill|food|English ++ The Mill|price_range|moderate ++ The Mill|rating|1 out of 5 ++ The Mill|area|riverside ++ The Mill|family_friendly|no ++ The Mill|near|Café Rouge")</f>
        <v>The Mill|eat_type|restaurant ++ The Mill|food|English ++ The Mill|price_range|moderate ++ The Mill|rating|1 out of 5 ++ The Mill|area|riverside ++ The Mill|family_friendly|no ++ The Mill|near|Café Rouge</v>
      </c>
      <c r="D9" s="99" t="str">
        <f>IFERROR(__xludf.DUMMYFUNCTION("""COMPUTED_VALUE"""),"0.834")</f>
        <v>0.834</v>
      </c>
      <c r="E9" s="99" t="str">
        <f>IFERROR(__xludf.DUMMYFUNCTION("""COMPUTED_VALUE"""),"omission")</f>
        <v>omission</v>
      </c>
      <c r="F9" s="99" t="str">
        <f>IFERROR(__xludf.DUMMYFUNCTION("""COMPUTED_VALUE"""),"OK")</f>
        <v>OK</v>
      </c>
      <c r="G9" s="99"/>
      <c r="H9" s="99"/>
      <c r="I9" s="99" t="str">
        <f>IFERROR(__xludf.DUMMYFUNCTION("""COMPUTED_VALUE"""),"x")</f>
        <v>x</v>
      </c>
      <c r="J9" s="99"/>
      <c r="K9" s="99"/>
      <c r="L9" s="99" t="str">
        <f>IFERROR(__xludf.DUMMYFUNCTION("""COMPUTED_VALUE"""),"x")</f>
        <v>x</v>
      </c>
      <c r="M9" s="99" t="str">
        <f>IFERROR(__xludf.DUMMYFUNCTION("""COMPUTED_VALUE"""),"x")</f>
        <v>x</v>
      </c>
      <c r="N9" s="99"/>
      <c r="O9" s="99"/>
      <c r="P9" s="99" t="str">
        <f>IFERROR(__xludf.DUMMYFUNCTION("""COMPUTED_VALUE"""),"NLI seems to diagnose 'no kids allowed' for family_friendly=no as an hallucination because it's not a valid realisation; could go either way: both wrong or just NLI wrong, because if it's not OK it's omission+hallucination ")</f>
        <v>NLI seems to diagnose 'no kids allowed' for family_friendly=no as an hallucination because it's not a valid realisation; could go either way: both wrong or just NLI wrong, because if it's not OK it's omission+hallucination </v>
      </c>
    </row>
    <row r="10">
      <c r="A10" s="99">
        <f>IFERROR(__xludf.DUMMYFUNCTION("""COMPUTED_VALUE"""),110.0)</f>
        <v>110</v>
      </c>
      <c r="B10" s="99" t="str">
        <f>IFERROR(__xludf.DUMMYFUNCTION("""COMPUTED_VALUE"""),"The Punter, which has a low customer rating, is a low-priced restaurant serving Indian cuisine. It is located in the city centre area and can be found near Express by Holiday Inn. It is not family-friendly.")</f>
        <v>The Punter, which has a low customer rating, is a low-priced restaurant serving Indian cuisine. It is located in the city centre area and can be found near Express by Holiday Inn. It is not family-friendly.</v>
      </c>
      <c r="C10" s="99" t="str">
        <f>IFERROR(__xludf.DUMMYFUNCTION("""COMPUTED_VALUE"""),"The Punter|eat_type|restaurant ++ The Punter|food|Indian ++ The Punter|price_range|less than Â£20 ++ The Punter|rating|low ++ The Punter|area|city centre ++ The Punter|family_friendly|no ++ The Punter|near|Express by Holiday Inn")</f>
        <v>The Punter|eat_type|restaurant ++ The Punter|food|Indian ++ The Punter|price_range|less than Â£20 ++ The Punter|rating|low ++ The Punter|area|city centre ++ The Punter|family_friendly|no ++ The Punter|near|Express by Holiday Inn</v>
      </c>
      <c r="D10" s="99" t="str">
        <f>IFERROR(__xludf.DUMMYFUNCTION("""COMPUTED_VALUE"""),"0.035")</f>
        <v>0.035</v>
      </c>
      <c r="E10" s="99" t="str">
        <f>IFERROR(__xludf.DUMMYFUNCTION("""COMPUTED_VALUE"""),"OK")</f>
        <v>OK</v>
      </c>
      <c r="F10" s="99" t="str">
        <f>IFERROR(__xludf.DUMMYFUNCTION("""COMPUTED_VALUE"""),"omission")</f>
        <v>omission</v>
      </c>
      <c r="G10" s="99" t="str">
        <f>IFERROR(__xludf.DUMMYFUNCTION("""COMPUTED_VALUE"""),"x")</f>
        <v>x</v>
      </c>
      <c r="H10" s="99"/>
      <c r="I10" s="99"/>
      <c r="J10" s="99"/>
      <c r="K10" s="99" t="str">
        <f>IFERROR(__xludf.DUMMYFUNCTION("""COMPUTED_VALUE"""),"x")</f>
        <v>x</v>
      </c>
      <c r="L10" s="99"/>
      <c r="M10" s="99"/>
      <c r="N10" s="99" t="str">
        <f>IFERROR(__xludf.DUMMYFUNCTION("""COMPUTED_VALUE"""),"x")</f>
        <v>x</v>
      </c>
      <c r="O10" s="99"/>
      <c r="P10" s="99" t="str">
        <f>IFERROR(__xludf.DUMMYFUNCTION("""COMPUTED_VALUE"""),"NLI wrongly has omission maybe because it doesn't recognise low-priced as a realisation of &lt;£20")</f>
        <v>NLI wrongly has omission maybe because it doesn't recognise low-priced as a realisation of &lt;£20</v>
      </c>
    </row>
    <row r="11">
      <c r="A11" s="99">
        <f>IFERROR(__xludf.DUMMYFUNCTION("""COMPUTED_VALUE"""),41.0)</f>
        <v>41</v>
      </c>
      <c r="B11" s="99" t="str">
        <f>IFERROR(__xludf.DUMMYFUNCTION("""COMPUTED_VALUE"""),"The Punter is a high priced, average rated, adult only Indian restaurant located near Express by Holiday Inn in the city centre.")</f>
        <v>The Punter is a high priced, average rated, adult only Indian restaurant located near Express by Holiday Inn in the city centre.</v>
      </c>
      <c r="C11" s="99" t="str">
        <f>IFERROR(__xludf.DUMMYFUNCTION("""COMPUTED_VALUE"""),"The Punter|eat_type|restaurant ++ The Punter|food|Indian ++ The Punter|price_range|high ++ The Punter|rating|average ++ The Punter|area|city centre ++ The Punter|family_friendly|no ++ The Punter|near|Express by Holiday Inn")</f>
        <v>The Punter|eat_type|restaurant ++ The Punter|food|Indian ++ The Punter|price_range|high ++ The Punter|rating|average ++ The Punter|area|city centre ++ The Punter|family_friendly|no ++ The Punter|near|Express by Holiday Inn</v>
      </c>
      <c r="D11" s="99" t="str">
        <f>IFERROR(__xludf.DUMMYFUNCTION("""COMPUTED_VALUE"""),"0.061")</f>
        <v>0.061</v>
      </c>
      <c r="E11" s="99" t="str">
        <f>IFERROR(__xludf.DUMMYFUNCTION("""COMPUTED_VALUE"""),"OK")</f>
        <v>OK</v>
      </c>
      <c r="F11" s="99" t="str">
        <f>IFERROR(__xludf.DUMMYFUNCTION("""COMPUTED_VALUE"""),"hallucination")</f>
        <v>hallucination</v>
      </c>
      <c r="G11" s="99"/>
      <c r="H11" s="99"/>
      <c r="I11" s="99" t="str">
        <f>IFERROR(__xludf.DUMMYFUNCTION("""COMPUTED_VALUE"""),"x")</f>
        <v>x</v>
      </c>
      <c r="J11" s="99"/>
      <c r="K11" s="99"/>
      <c r="L11" s="99" t="str">
        <f>IFERROR(__xludf.DUMMYFUNCTION("""COMPUTED_VALUE"""),"x")</f>
        <v>x</v>
      </c>
      <c r="M11" s="99" t="str">
        <f>IFERROR(__xludf.DUMMYFUNCTION("""COMPUTED_VALUE"""),"x")</f>
        <v>x</v>
      </c>
      <c r="N11" s="99"/>
      <c r="O11" s="99"/>
      <c r="P11" s="99" t="str">
        <f>IFERROR(__xludf.DUMMYFUNCTION("""COMPUTED_VALUE"""),"NLI seems to diagnose 'adult only' for family_friendly=no as an hallucination because it's not a valid realisation; could go either way: both wrong or just NLI wrong, because if it's not OK it's omission+hallucination ")</f>
        <v>NLI seems to diagnose 'adult only' for family_friendly=no as an hallucination because it's not a valid realisation; could go either way: both wrong or just NLI wrong, because if it's not OK it's omission+hallucination </v>
      </c>
    </row>
    <row r="12">
      <c r="A12" s="99">
        <f>IFERROR(__xludf.DUMMYFUNCTION("""COMPUTED_VALUE"""),103.0)</f>
        <v>103</v>
      </c>
      <c r="B12" s="99" t="str">
        <f>IFERROR(__xludf.DUMMYFUNCTION("""COMPUTED_VALUE"""),"Blue Spice is located down by the riverside of Cambridge. It is also a coffee shop.")</f>
        <v>Blue Spice is located down by the riverside of Cambridge. It is also a coffee shop.</v>
      </c>
      <c r="C12" s="99" t="str">
        <f>IFERROR(__xludf.DUMMYFUNCTION("""COMPUTED_VALUE"""),"Blue Spice|eat_type|coffee shop ++ Blue Spice|area|riverside")</f>
        <v>Blue Spice|eat_type|coffee shop ++ Blue Spice|area|riverside</v>
      </c>
      <c r="D12" s="99" t="str">
        <f>IFERROR(__xludf.DUMMYFUNCTION("""COMPUTED_VALUE"""),"0.082")</f>
        <v>0.082</v>
      </c>
      <c r="E12" s="99" t="str">
        <f>IFERROR(__xludf.DUMMYFUNCTION("""COMPUTED_VALUE"""),"OK")</f>
        <v>OK</v>
      </c>
      <c r="F12" s="99" t="str">
        <f>IFERROR(__xludf.DUMMYFUNCTION("""COMPUTED_VALUE"""),"hallucination")</f>
        <v>hallucination</v>
      </c>
      <c r="G12" s="99"/>
      <c r="H12" s="99" t="str">
        <f>IFERROR(__xludf.DUMMYFUNCTION("""COMPUTED_VALUE"""),"x")</f>
        <v>x</v>
      </c>
      <c r="I12" s="99"/>
      <c r="J12" s="99"/>
      <c r="K12" s="99"/>
      <c r="L12" s="99"/>
      <c r="M12" s="99" t="str">
        <f>IFERROR(__xludf.DUMMYFUNCTION("""COMPUTED_VALUE"""),"x")</f>
        <v>x</v>
      </c>
      <c r="N12" s="99"/>
      <c r="O12" s="99"/>
      <c r="P12" s="99" t="str">
        <f>IFERROR(__xludf.DUMMYFUNCTION("""COMPUTED_VALUE"""),"gold misses hallucination ('of Cambridge')")</f>
        <v>gold misses hallucination ('of Cambridge')</v>
      </c>
    </row>
    <row r="13">
      <c r="A13" s="99">
        <f>IFERROR(__xludf.DUMMYFUNCTION("""COMPUTED_VALUE"""),10.0)</f>
        <v>10</v>
      </c>
      <c r="B13" s="99" t="str">
        <f>IFERROR(__xludf.DUMMYFUNCTION("""COMPUTED_VALUE"""),"The Cricketers, which has a low customer rating, is a cheap restaurant offering Chinese food. It is in riverside near All Bar One. It is not child-friendly.")</f>
        <v>The Cricketers, which has a low customer rating, is a cheap restaurant offering Chinese food. It is in riverside near All Bar One. It is not child-friendly.</v>
      </c>
      <c r="C13" s="99" t="str">
        <f>IFERROR(__xludf.DUMMYFUNCTION("""COMPUTED_VALUE"""),"The Cricketers|eat_type|restaurant ++ The Cricketers|food|Chinese ++ The Cricketers|price_range|less than £20 ++ The Cricketers|rating|low ++ The Cricketers|area|riverside ++ The Cricketers|family_friendly|no ++ The Cricketers|near|All Bar One")</f>
        <v>The Cricketers|eat_type|restaurant ++ The Cricketers|food|Chinese ++ The Cricketers|price_range|less than £20 ++ The Cricketers|rating|low ++ The Cricketers|area|riverside ++ The Cricketers|family_friendly|no ++ The Cricketers|near|All Bar One</v>
      </c>
      <c r="D13" s="99" t="str">
        <f>IFERROR(__xludf.DUMMYFUNCTION("""COMPUTED_VALUE"""),"0.049")</f>
        <v>0.049</v>
      </c>
      <c r="E13" s="99" t="str">
        <f>IFERROR(__xludf.DUMMYFUNCTION("""COMPUTED_VALUE"""),"OK")</f>
        <v>OK</v>
      </c>
      <c r="F13" s="99" t="str">
        <f>IFERROR(__xludf.DUMMYFUNCTION("""COMPUTED_VALUE"""),"omission")</f>
        <v>omission</v>
      </c>
      <c r="G13" s="99" t="str">
        <f>IFERROR(__xludf.DUMMYFUNCTION("""COMPUTED_VALUE"""),"x")</f>
        <v>x</v>
      </c>
      <c r="H13" s="99"/>
      <c r="I13" s="99"/>
      <c r="J13" s="99"/>
      <c r="K13" s="99" t="str">
        <f>IFERROR(__xludf.DUMMYFUNCTION("""COMPUTED_VALUE"""),"x")</f>
        <v>x</v>
      </c>
      <c r="L13" s="99"/>
      <c r="M13" s="99"/>
      <c r="N13" s="99" t="str">
        <f>IFERROR(__xludf.DUMMYFUNCTION("""COMPUTED_VALUE"""),"x")</f>
        <v>x</v>
      </c>
      <c r="O13" s="99"/>
      <c r="P13" s="99" t="str">
        <f>IFERROR(__xludf.DUMMYFUNCTION("""COMPUTED_VALUE"""),"NLI wrongly has omission maybe because it doesn't recognise low priced as a realisation of &lt;£20")</f>
        <v>NLI wrongly has omission maybe because it doesn't recognise low priced as a realisation of &lt;£20</v>
      </c>
    </row>
    <row r="14">
      <c r="A14" s="99">
        <f>IFERROR(__xludf.DUMMYFUNCTION("""COMPUTED_VALUE"""),8.0)</f>
        <v>8</v>
      </c>
      <c r="B14" s="99" t="str">
        <f>IFERROR(__xludf.DUMMYFUNCTION("""COMPUTED_VALUE"""),"The Mill, which has a low customer rating, is a low-priced restaurant offering English food. It is in city centre near Café Rouge. It is not family-friendly.")</f>
        <v>The Mill, which has a low customer rating, is a low-priced restaurant offering English food. It is in city centre near Café Rouge. It is not family-friendly.</v>
      </c>
      <c r="C14" s="99" t="str">
        <f>IFERROR(__xludf.DUMMYFUNCTION("""COMPUTED_VALUE"""),"The Mill|eat_type|restaurant ++ The Mill|food|English ++ The Mill|price_range|less than £20 ++ The Mill|rating|low ++ The Mill|area|city centre ++ The Mill|family_friendly|no ++ The Mill|near|Café Rouge")</f>
        <v>The Mill|eat_type|restaurant ++ The Mill|food|English ++ The Mill|price_range|less than £20 ++ The Mill|rating|low ++ The Mill|area|city centre ++ The Mill|family_friendly|no ++ The Mill|near|Café Rouge</v>
      </c>
      <c r="D14" s="99" t="str">
        <f>IFERROR(__xludf.DUMMYFUNCTION("""COMPUTED_VALUE"""),"0.033")</f>
        <v>0.033</v>
      </c>
      <c r="E14" s="99" t="str">
        <f>IFERROR(__xludf.DUMMYFUNCTION("""COMPUTED_VALUE"""),"OK")</f>
        <v>OK</v>
      </c>
      <c r="F14" s="99" t="str">
        <f>IFERROR(__xludf.DUMMYFUNCTION("""COMPUTED_VALUE"""),"omission")</f>
        <v>omission</v>
      </c>
      <c r="G14" s="99" t="str">
        <f>IFERROR(__xludf.DUMMYFUNCTION("""COMPUTED_VALUE"""),"x")</f>
        <v>x</v>
      </c>
      <c r="H14" s="99"/>
      <c r="I14" s="99"/>
      <c r="J14" s="99"/>
      <c r="K14" s="99" t="str">
        <f>IFERROR(__xludf.DUMMYFUNCTION("""COMPUTED_VALUE"""),"x")</f>
        <v>x</v>
      </c>
      <c r="L14" s="99"/>
      <c r="M14" s="99"/>
      <c r="N14" s="99" t="str">
        <f>IFERROR(__xludf.DUMMYFUNCTION("""COMPUTED_VALUE"""),"x")</f>
        <v>x</v>
      </c>
      <c r="O14" s="99"/>
      <c r="P14" s="99" t="str">
        <f>IFERROR(__xludf.DUMMYFUNCTION("""COMPUTED_VALUE"""),"NLI wrongly has omission maybe because it doesn't recognise low priced as a realisation of &lt;£20")</f>
        <v>NLI wrongly has omission maybe because it doesn't recognise low priced as a realisation of &lt;£20</v>
      </c>
    </row>
    <row r="15">
      <c r="A15" s="99">
        <f>IFERROR(__xludf.DUMMYFUNCTION("""COMPUTED_VALUE"""),15.0)</f>
        <v>15</v>
      </c>
      <c r="B15" s="99" t="str">
        <f>IFERROR(__xludf.DUMMYFUNCTION("""COMPUTED_VALUE"""),"The Mill, which is in the riverside area by Raja Indian Cuisine, is a low-priced pub offering English cuisine. It is child-friendly.")</f>
        <v>The Mill, which is in the riverside area by Raja Indian Cuisine, is a low-priced pub offering English cuisine. It is child-friendly.</v>
      </c>
      <c r="C15" s="99" t="str">
        <f>IFERROR(__xludf.DUMMYFUNCTION("""COMPUTED_VALUE"""),"The Mill|eat_type|pub ++ The Mill|food|English ++ The Mill|price_range|less than £20 ++ The Mill|area|riverside ++ The Mill|family_friendly|yes ++ The Mill|near|Raja Indian Cuisine")</f>
        <v>The Mill|eat_type|pub ++ The Mill|food|English ++ The Mill|price_range|less than £20 ++ The Mill|area|riverside ++ The Mill|family_friendly|yes ++ The Mill|near|Raja Indian Cuisine</v>
      </c>
      <c r="D15" s="99" t="str">
        <f>IFERROR(__xludf.DUMMYFUNCTION("""COMPUTED_VALUE"""),"0.047")</f>
        <v>0.047</v>
      </c>
      <c r="E15" s="99" t="str">
        <f>IFERROR(__xludf.DUMMYFUNCTION("""COMPUTED_VALUE"""),"OK")</f>
        <v>OK</v>
      </c>
      <c r="F15" s="99" t="str">
        <f>IFERROR(__xludf.DUMMYFUNCTION("""COMPUTED_VALUE"""),"omission")</f>
        <v>omission</v>
      </c>
      <c r="G15" s="99" t="str">
        <f>IFERROR(__xludf.DUMMYFUNCTION("""COMPUTED_VALUE"""),"x")</f>
        <v>x</v>
      </c>
      <c r="H15" s="99"/>
      <c r="I15" s="99"/>
      <c r="J15" s="99"/>
      <c r="K15" s="99" t="str">
        <f>IFERROR(__xludf.DUMMYFUNCTION("""COMPUTED_VALUE"""),"x")</f>
        <v>x</v>
      </c>
      <c r="L15" s="99"/>
      <c r="M15" s="99"/>
      <c r="N15" s="99" t="str">
        <f>IFERROR(__xludf.DUMMYFUNCTION("""COMPUTED_VALUE"""),"x")</f>
        <v>x</v>
      </c>
      <c r="O15" s="99"/>
      <c r="P15" s="99" t="str">
        <f>IFERROR(__xludf.DUMMYFUNCTION("""COMPUTED_VALUE"""),"NLI wrongly has omission maybe because it doesn't recognise low priced as a realisation of &lt;£20")</f>
        <v>NLI wrongly has omission maybe because it doesn't recognise low priced as a realisation of &lt;£20</v>
      </c>
    </row>
    <row r="16">
      <c r="A16" s="99">
        <f>IFERROR(__xludf.DUMMYFUNCTION("""COMPUTED_VALUE"""),56.0)</f>
        <v>56</v>
      </c>
      <c r="B16" s="99" t="str">
        <f>IFERROR(__xludf.DUMMYFUNCTION("""COMPUTED_VALUE"""),"The Wrestlers is a low - cost , family - friendly pub located in Luton near Raja Indian Cuisine . It has Italian food and a place to Euros .")</f>
        <v>The Wrestlers is a low - cost , family - friendly pub located in Luton near Raja Indian Cuisine . It has Italian food and a place to Euros .</v>
      </c>
      <c r="C16" s="99" t="str">
        <f>IFERROR(__xludf.DUMMYFUNCTION("""COMPUTED_VALUE"""),"The Wrestlers|eat_type|pub ++ The Wrestlers|food|Italian ++ The Wrestlers|price_range|less than £20 ++ The Wrestlers|area|riverside ++ The Wrestlers|family_friendly|yes ++ The Wrestlers|near|Raja Indian Cuisine")</f>
        <v>The Wrestlers|eat_type|pub ++ The Wrestlers|food|Italian ++ The Wrestlers|price_range|less than £20 ++ The Wrestlers|area|riverside ++ The Wrestlers|family_friendly|yes ++ The Wrestlers|near|Raja Indian Cuisine</v>
      </c>
      <c r="D16" s="99" t="str">
        <f>IFERROR(__xludf.DUMMYFUNCTION("""COMPUTED_VALUE"""),"0.010")</f>
        <v>0.010</v>
      </c>
      <c r="E16" s="99" t="str">
        <f>IFERROR(__xludf.DUMMYFUNCTION("""COMPUTED_VALUE"""),"omission")</f>
        <v>omission</v>
      </c>
      <c r="F16" s="99" t="str">
        <f>IFERROR(__xludf.DUMMYFUNCTION("""COMPUTED_VALUE"""),"hallucination+omission")</f>
        <v>hallucination+omission</v>
      </c>
      <c r="G16" s="99"/>
      <c r="H16" s="99" t="str">
        <f>IFERROR(__xludf.DUMMYFUNCTION("""COMPUTED_VALUE"""),"x")</f>
        <v>x</v>
      </c>
      <c r="I16" s="99"/>
      <c r="J16" s="99"/>
      <c r="K16" s="99"/>
      <c r="L16" s="99"/>
      <c r="M16" s="99" t="str">
        <f>IFERROR(__xludf.DUMMYFUNCTION("""COMPUTED_VALUE"""),"x")</f>
        <v>x</v>
      </c>
      <c r="N16" s="99"/>
      <c r="O16" s="99"/>
      <c r="P16" s="99" t="str">
        <f>IFERROR(__xludf.DUMMYFUNCTION("""COMPUTED_VALUE"""),"gold misses hallucination ('Indian', 'place to Euros')")</f>
        <v>gold misses hallucination ('Indian', 'place to Euros')</v>
      </c>
    </row>
    <row r="17">
      <c r="A17" s="99">
        <f>IFERROR(__xludf.DUMMYFUNCTION("""COMPUTED_VALUE"""),83.0)</f>
        <v>83</v>
      </c>
      <c r="B17" s="99" t="str">
        <f>IFERROR(__xludf.DUMMYFUNCTION("""COMPUTED_VALUE"""),"The Cricketers is a high restaurant that serves English food. Yes it is kids-friendly. Its customer rating is 1 out of 5. It is located in the riverside area near Café Rouge.")</f>
        <v>The Cricketers is a high restaurant that serves English food. Yes it is kids-friendly. Its customer rating is 1 out of 5. It is located in the riverside area near Café Rouge.</v>
      </c>
      <c r="C17" s="99" t="str">
        <f>IFERROR(__xludf.DUMMYFUNCTION("""COMPUTED_VALUE"""),"The Cricketers|eat_type|restaurant ++ The Cricketers|food|English ++ The Cricketers|price_range|high ++ The Cricketers|rating|1 out of 5 ++ The Cricketers|area|riverside ++ The Cricketers|family_friendly|yes ++ The Cricketers|near|Café Rouge")</f>
        <v>The Cricketers|eat_type|restaurant ++ The Cricketers|food|English ++ The Cricketers|price_range|high ++ The Cricketers|rating|1 out of 5 ++ The Cricketers|area|riverside ++ The Cricketers|family_friendly|yes ++ The Cricketers|near|Café Rouge</v>
      </c>
      <c r="D17" s="99" t="str">
        <f>IFERROR(__xludf.DUMMYFUNCTION("""COMPUTED_VALUE"""),"0.873")</f>
        <v>0.873</v>
      </c>
      <c r="E17" s="99" t="str">
        <f>IFERROR(__xludf.DUMMYFUNCTION("""COMPUTED_VALUE"""),"omission")</f>
        <v>omission</v>
      </c>
      <c r="F17" s="99" t="str">
        <f>IFERROR(__xludf.DUMMYFUNCTION("""COMPUTED_VALUE"""),"OK")</f>
        <v>OK</v>
      </c>
      <c r="G17" s="99"/>
      <c r="H17" s="99"/>
      <c r="I17" s="99" t="str">
        <f>IFERROR(__xludf.DUMMYFUNCTION("""COMPUTED_VALUE"""),"x")</f>
        <v>x</v>
      </c>
      <c r="J17" s="99"/>
      <c r="K17" s="99" t="str">
        <f>IFERROR(__xludf.DUMMYFUNCTION("""COMPUTED_VALUE"""),"x")</f>
        <v>x</v>
      </c>
      <c r="L17" s="99"/>
      <c r="M17" s="99" t="str">
        <f>IFERROR(__xludf.DUMMYFUNCTION("""COMPUTED_VALUE"""),"x")</f>
        <v>x</v>
      </c>
      <c r="N17" s="99"/>
      <c r="O17" s="99"/>
      <c r="P17" s="99" t="str">
        <f>IFERROR(__xludf.DUMMYFUNCTION("""COMPUTED_VALUE"""),"gold seems to diagnose 'a high restaurant' for price_range=high as an omission because it's not a valid realisation; could go either way: both wrong or just gold wrong, because if it's not OK it's omission+hallucination")</f>
        <v>gold seems to diagnose 'a high restaurant' for price_range=high as an omission because it's not a valid realisation; could go either way: both wrong or just gold wrong, because if it's not OK it's omission+hallucination</v>
      </c>
    </row>
    <row r="18">
      <c r="A18" s="99">
        <f>IFERROR(__xludf.DUMMYFUNCTION("""COMPUTED_VALUE"""),107.0)</f>
        <v>107</v>
      </c>
      <c r="B18" s="99" t="str">
        <f>IFERROR(__xludf.DUMMYFUNCTION("""COMPUTED_VALUE"""),"For an adult oriented French pub, The Phoenix has a 3 out of 5 customer rating, but the price range is high, and is conveniently located in the city centre, near Crowne Plaza Hotel.")</f>
        <v>For an adult oriented French pub, The Phoenix has a 3 out of 5 customer rating, but the price range is high, and is conveniently located in the city centre, near Crowne Plaza Hotel.</v>
      </c>
      <c r="C18" s="99" t="str">
        <f>IFERROR(__xludf.DUMMYFUNCTION("""COMPUTED_VALUE"""),"The Phoenix|eat_type|pub ++ The Phoenix|food|French ++ The Phoenix|price_range|high ++ The Phoenix|rating|3 out of 5 ++ The Phoenix|area|city centre ++ The Phoenix|family_friendly|no ++ The Phoenix|near|Crowne Plaza Hotel")</f>
        <v>The Phoenix|eat_type|pub ++ The Phoenix|food|French ++ The Phoenix|price_range|high ++ The Phoenix|rating|3 out of 5 ++ The Phoenix|area|city centre ++ The Phoenix|family_friendly|no ++ The Phoenix|near|Crowne Plaza Hotel</v>
      </c>
      <c r="D18" s="99" t="str">
        <f>IFERROR(__xludf.DUMMYFUNCTION("""COMPUTED_VALUE"""),"0.624")</f>
        <v>0.624</v>
      </c>
      <c r="E18" s="99" t="str">
        <f>IFERROR(__xludf.DUMMYFUNCTION("""COMPUTED_VALUE"""),"omission")</f>
        <v>omission</v>
      </c>
      <c r="F18" s="99" t="str">
        <f>IFERROR(__xludf.DUMMYFUNCTION("""COMPUTED_VALUE"""),"OK")</f>
        <v>OK</v>
      </c>
      <c r="G18" s="99"/>
      <c r="H18" s="99" t="str">
        <f>IFERROR(__xludf.DUMMYFUNCTION("""COMPUTED_VALUE"""),"x")</f>
        <v>x</v>
      </c>
      <c r="I18" s="99"/>
      <c r="J18" s="99"/>
      <c r="K18" s="99" t="str">
        <f>IFERROR(__xludf.DUMMYFUNCTION("""COMPUTED_VALUE"""),"x")</f>
        <v>x</v>
      </c>
      <c r="L18" s="99"/>
      <c r="M18" s="99" t="str">
        <f>IFERROR(__xludf.DUMMYFUNCTION("""COMPUTED_VALUE"""),"x")</f>
        <v>x</v>
      </c>
      <c r="N18" s="99" t="str">
        <f>IFERROR(__xludf.DUMMYFUNCTION("""COMPUTED_VALUE"""),"x")</f>
        <v>x</v>
      </c>
      <c r="O18" s="99"/>
      <c r="P18" s="99" t="str">
        <f>IFERROR(__xludf.DUMMYFUNCTION("""COMPUTED_VALUE"""),"gold wrongly has omission; unclear why; both are missing hallucination (it's the price range that's located in the city centre)")</f>
        <v>gold wrongly has omission; unclear why; both are missing hallucination (it's the price range that's located in the city centre)</v>
      </c>
    </row>
    <row r="19">
      <c r="A19" s="99">
        <f>IFERROR(__xludf.DUMMYFUNCTION("""COMPUTED_VALUE"""),54.0)</f>
        <v>54</v>
      </c>
      <c r="B19" s="99" t="str">
        <f>IFERROR(__xludf.DUMMYFUNCTION("""COMPUTED_VALUE"""),"There is a French, pub located near Raja Indian Cuisine in riverside called The Phoenix. The pub is in the £20-£25 price range and is children friendly.")</f>
        <v>There is a French, pub located near Raja Indian Cuisine in riverside called The Phoenix. The pub is in the £20-£25 price range and is children friendly.</v>
      </c>
      <c r="C19" s="99" t="str">
        <f>IFERROR(__xludf.DUMMYFUNCTION("""COMPUTED_VALUE"""),"The Phoenix|eat_type|pub ++ The Phoenix|food|French ++ The Phoenix|price_range|£20-25 ++ The Phoenix|area|riverside ++ The Phoenix|family_friendly|yes ++ The Phoenix|near|Raja Indian Cuisine")</f>
        <v>The Phoenix|eat_type|pub ++ The Phoenix|food|French ++ The Phoenix|price_range|£20-25 ++ The Phoenix|area|riverside ++ The Phoenix|family_friendly|yes ++ The Phoenix|near|Raja Indian Cuisine</v>
      </c>
      <c r="D19" s="99" t="str">
        <f>IFERROR(__xludf.DUMMYFUNCTION("""COMPUTED_VALUE"""),"0.943")</f>
        <v>0.943</v>
      </c>
      <c r="E19" s="99" t="str">
        <f>IFERROR(__xludf.DUMMYFUNCTION("""COMPUTED_VALUE"""),"omission")</f>
        <v>omission</v>
      </c>
      <c r="F19" s="99" t="str">
        <f>IFERROR(__xludf.DUMMYFUNCTION("""COMPUTED_VALUE"""),"OK")</f>
        <v>OK</v>
      </c>
      <c r="G19" s="99"/>
      <c r="H19" s="99" t="str">
        <f>IFERROR(__xludf.DUMMYFUNCTION("""COMPUTED_VALUE"""),"x")</f>
        <v>x</v>
      </c>
      <c r="I19" s="99"/>
      <c r="J19" s="99"/>
      <c r="K19" s="99"/>
      <c r="L19" s="99"/>
      <c r="M19" s="99"/>
      <c r="N19" s="99" t="str">
        <f>IFERROR(__xludf.DUMMYFUNCTION("""COMPUTED_VALUE"""),"x")</f>
        <v>x</v>
      </c>
      <c r="O19" s="99"/>
      <c r="P19" s="99" t="str">
        <f>IFERROR(__xludf.DUMMYFUNCTION("""COMPUTED_VALUE"""),"gold wrongly has omission; unclear why")</f>
        <v>gold wrongly has omission; unclear why</v>
      </c>
    </row>
    <row r="20">
      <c r="A20" s="99">
        <f>IFERROR(__xludf.DUMMYFUNCTION("""COMPUTED_VALUE"""),98.0)</f>
        <v>98</v>
      </c>
      <c r="B20" s="99" t="str">
        <f>IFERROR(__xludf.DUMMYFUNCTION("""COMPUTED_VALUE"""),"The Waterman is a cheap Italian restaurant located in the city centre near Raja Indian Cuisine . It is not family-friendly .")</f>
        <v>The Waterman is a cheap Italian restaurant located in the city centre near Raja Indian Cuisine . It is not family-friendly .</v>
      </c>
      <c r="C20" s="99" t="str">
        <f>IFERROR(__xludf.DUMMYFUNCTION("""COMPUTED_VALUE"""),"The Waterman|eat_type|restaurant ++ The Waterman|food|Italian ++ The Waterman|price_range|less than £20 ++ The Waterman|area|city centre ++ The Waterman|family_friendly|no ++ The Waterman|near|Raja Indian Cuisine")</f>
        <v>The Waterman|eat_type|restaurant ++ The Waterman|food|Italian ++ The Waterman|price_range|less than £20 ++ The Waterman|area|city centre ++ The Waterman|family_friendly|no ++ The Waterman|near|Raja Indian Cuisine</v>
      </c>
      <c r="D20" s="99" t="str">
        <f>IFERROR(__xludf.DUMMYFUNCTION("""COMPUTED_VALUE"""),"0.147")</f>
        <v>0.147</v>
      </c>
      <c r="E20" s="99" t="str">
        <f>IFERROR(__xludf.DUMMYFUNCTION("""COMPUTED_VALUE"""),"OK")</f>
        <v>OK</v>
      </c>
      <c r="F20" s="99" t="str">
        <f>IFERROR(__xludf.DUMMYFUNCTION("""COMPUTED_VALUE"""),"omission")</f>
        <v>omission</v>
      </c>
      <c r="G20" s="99" t="str">
        <f>IFERROR(__xludf.DUMMYFUNCTION("""COMPUTED_VALUE"""),"x")</f>
        <v>x</v>
      </c>
      <c r="H20" s="99"/>
      <c r="I20" s="99"/>
      <c r="J20" s="99"/>
      <c r="K20" s="99" t="str">
        <f>IFERROR(__xludf.DUMMYFUNCTION("""COMPUTED_VALUE"""),"x")</f>
        <v>x</v>
      </c>
      <c r="L20" s="99"/>
      <c r="M20" s="99"/>
      <c r="N20" s="99" t="str">
        <f>IFERROR(__xludf.DUMMYFUNCTION("""COMPUTED_VALUE"""),"x")</f>
        <v>x</v>
      </c>
      <c r="O20" s="99"/>
      <c r="P20" s="99" t="str">
        <f>IFERROR(__xludf.DUMMYFUNCTION("""COMPUTED_VALUE"""),"NLI wrongly has omission maybe because it doesn't recognise cheap as a realisation of &lt;£20")</f>
        <v>NLI wrongly has omission maybe because it doesn't recognise cheap as a realisation of &lt;£20</v>
      </c>
    </row>
    <row r="21">
      <c r="A21" s="99">
        <f>IFERROR(__xludf.DUMMYFUNCTION("""COMPUTED_VALUE"""),20.0)</f>
        <v>20</v>
      </c>
      <c r="B21" s="99" t="str">
        <f>IFERROR(__xludf.DUMMYFUNCTION("""COMPUTED_VALUE"""),"The Mill is a pub serving Fast food in the city centre near Café Sicilia . It has a high price range and an average customer rating . It is not children friendly .")</f>
        <v>The Mill is a pub serving Fast food in the city centre near Café Sicilia . It has a high price range and an average customer rating . It is not children friendly .</v>
      </c>
      <c r="C21" s="99" t="str">
        <f>IFERROR(__xludf.DUMMYFUNCTION("""COMPUTED_VALUE"""),"The Mill|eat_type|pub ++ The Mill|food|Fast food ++ The Mill|price_range|high ++ The Mill|rating|average ++ The Mill|area|city centre ++ The Mill|family_friendly|no ++ The Mill|near|Café Sicilia")</f>
        <v>The Mill|eat_type|pub ++ The Mill|food|Fast food ++ The Mill|price_range|high ++ The Mill|rating|average ++ The Mill|area|city centre ++ The Mill|family_friendly|no ++ The Mill|near|Café Sicilia</v>
      </c>
      <c r="D21" s="99" t="str">
        <f>IFERROR(__xludf.DUMMYFUNCTION("""COMPUTED_VALUE"""),"0.977")</f>
        <v>0.977</v>
      </c>
      <c r="E21" s="99" t="str">
        <f>IFERROR(__xludf.DUMMYFUNCTION("""COMPUTED_VALUE"""),"hallucination")</f>
        <v>hallucination</v>
      </c>
      <c r="F21" s="99" t="str">
        <f>IFERROR(__xludf.DUMMYFUNCTION("""COMPUTED_VALUE"""),"OK")</f>
        <v>OK</v>
      </c>
      <c r="G21" s="99"/>
      <c r="H21" s="99" t="str">
        <f>IFERROR(__xludf.DUMMYFUNCTION("""COMPUTED_VALUE"""),"x")</f>
        <v>x</v>
      </c>
      <c r="I21" s="99"/>
      <c r="J21" s="99"/>
      <c r="K21" s="99"/>
      <c r="L21" s="99"/>
      <c r="M21" s="99"/>
      <c r="N21" s="99"/>
      <c r="O21" s="99" t="str">
        <f>IFERROR(__xludf.DUMMYFUNCTION("""COMPUTED_VALUE"""),"x")</f>
        <v>x</v>
      </c>
      <c r="P21" s="99" t="str">
        <f>IFERROR(__xludf.DUMMYFUNCTION("""COMPUTED_VALUE"""),"gold wrongly has hallucination; unclear why")</f>
        <v>gold wrongly has hallucination; unclear why</v>
      </c>
    </row>
    <row r="22">
      <c r="A22" s="99">
        <f>IFERROR(__xludf.DUMMYFUNCTION("""COMPUTED_VALUE"""),18.0)</f>
        <v>18</v>
      </c>
      <c r="B22" s="99" t="str">
        <f>IFERROR(__xludf.DUMMYFUNCTION("""COMPUTED_VALUE"""),"The Wrestlers is a child friendly japanese pub with a high price range and a customer rating of 5 out of 5. It is located near Raja Indian Cuisine in the riverside area.'")</f>
        <v>The Wrestlers is a child friendly japanese pub with a high price range and a customer rating of 5 out of 5. It is located near Raja Indian Cuisine in the riverside area.'</v>
      </c>
      <c r="C22" s="99" t="str">
        <f>IFERROR(__xludf.DUMMYFUNCTION("""COMPUTED_VALUE"""),"The Wrestlers|eat_type|pub ++ The Wrestlers|food|Japanese ++ The Wrestlers|price_range|more than £30 ++ The Wrestlers|rating|5 out of 5 ++ The Wrestlers|area|riverside ++ The Wrestlers|family_friendly|yes ++ The Wrestlers|near|Raja Indian Cuisine")</f>
        <v>The Wrestlers|eat_type|pub ++ The Wrestlers|food|Japanese ++ The Wrestlers|price_range|more than £30 ++ The Wrestlers|rating|5 out of 5 ++ The Wrestlers|area|riverside ++ The Wrestlers|family_friendly|yes ++ The Wrestlers|near|Raja Indian Cuisine</v>
      </c>
      <c r="D22" s="99" t="str">
        <f>IFERROR(__xludf.DUMMYFUNCTION("""COMPUTED_VALUE"""),"0.022")</f>
        <v>0.022</v>
      </c>
      <c r="E22" s="99" t="str">
        <f>IFERROR(__xludf.DUMMYFUNCTION("""COMPUTED_VALUE"""),"OK")</f>
        <v>OK</v>
      </c>
      <c r="F22" s="99" t="str">
        <f>IFERROR(__xludf.DUMMYFUNCTION("""COMPUTED_VALUE"""),"omission")</f>
        <v>omission</v>
      </c>
      <c r="G22" s="99" t="str">
        <f>IFERROR(__xludf.DUMMYFUNCTION("""COMPUTED_VALUE"""),"x")</f>
        <v>x</v>
      </c>
      <c r="H22" s="99"/>
      <c r="I22" s="99"/>
      <c r="J22" s="99"/>
      <c r="K22" s="99" t="str">
        <f>IFERROR(__xludf.DUMMYFUNCTION("""COMPUTED_VALUE"""),"x")</f>
        <v>x</v>
      </c>
      <c r="L22" s="99"/>
      <c r="M22" s="99"/>
      <c r="N22" s="99" t="str">
        <f>IFERROR(__xludf.DUMMYFUNCTION("""COMPUTED_VALUE"""),"x")</f>
        <v>x</v>
      </c>
      <c r="O22" s="99"/>
      <c r="P22" s="99" t="str">
        <f>IFERROR(__xludf.DUMMYFUNCTION("""COMPUTED_VALUE"""),"NLI wrongly has omission maybe because it doesn't recognise high price as a realisation of more than £30")</f>
        <v>NLI wrongly has omission maybe because it doesn't recognise high price as a realisation of more than £30</v>
      </c>
    </row>
    <row r="23">
      <c r="A23" s="99">
        <f>IFERROR(__xludf.DUMMYFUNCTION("""COMPUTED_VALUE"""),31.0)</f>
        <v>31</v>
      </c>
      <c r="B23" s="99" t="str">
        <f>IFERROR(__xludf.DUMMYFUNCTION("""COMPUTED_VALUE"""),"Located near Café Sicilia in the city centre, The Mill is a child friendly Fast food pub with a high price range and average customer rating.")</f>
        <v>Located near Café Sicilia in the city centre, The Mill is a child friendly Fast food pub with a high price range and average customer rating.</v>
      </c>
      <c r="C23" s="99" t="str">
        <f>IFERROR(__xludf.DUMMYFUNCTION("""COMPUTED_VALUE"""),"The Mill|eat_type|pub ++ The Mill|food|Fast food ++ The Mill|price_range|high ++ The Mill|rating|average ++ The Mill|area|city centre ++ The Mill|family_friendly|yes ++ The Mill|near|Café Sicilia")</f>
        <v>The Mill|eat_type|pub ++ The Mill|food|Fast food ++ The Mill|price_range|high ++ The Mill|rating|average ++ The Mill|area|city centre ++ The Mill|family_friendly|yes ++ The Mill|near|Café Sicilia</v>
      </c>
      <c r="D23" s="99" t="str">
        <f>IFERROR(__xludf.DUMMYFUNCTION("""COMPUTED_VALUE"""),"0.971")</f>
        <v>0.971</v>
      </c>
      <c r="E23" s="99" t="str">
        <f>IFERROR(__xludf.DUMMYFUNCTION("""COMPUTED_VALUE"""),"hallucination")</f>
        <v>hallucination</v>
      </c>
      <c r="F23" s="99" t="str">
        <f>IFERROR(__xludf.DUMMYFUNCTION("""COMPUTED_VALUE"""),"OK")</f>
        <v>OK</v>
      </c>
      <c r="G23" s="99"/>
      <c r="H23" s="99" t="str">
        <f>IFERROR(__xludf.DUMMYFUNCTION("""COMPUTED_VALUE"""),"x")</f>
        <v>x</v>
      </c>
      <c r="I23" s="99"/>
      <c r="J23" s="99"/>
      <c r="K23" s="99"/>
      <c r="L23" s="99"/>
      <c r="M23" s="99"/>
      <c r="N23" s="99"/>
      <c r="O23" s="99" t="str">
        <f>IFERROR(__xludf.DUMMYFUNCTION("""COMPUTED_VALUE"""),"x")</f>
        <v>x</v>
      </c>
      <c r="P23" s="99" t="str">
        <f>IFERROR(__xludf.DUMMYFUNCTION("""COMPUTED_VALUE"""),"gold wrongly has hallucination; unclear why")</f>
        <v>gold wrongly has hallucination; unclear why</v>
      </c>
    </row>
    <row r="24">
      <c r="A24" s="99">
        <f>IFERROR(__xludf.DUMMYFUNCTION("""COMPUTED_VALUE"""),49.0)</f>
        <v>49</v>
      </c>
      <c r="B24" s="99" t="str">
        <f>IFERROR(__xludf.DUMMYFUNCTION("""COMPUTED_VALUE"""),"The Cricketers restaurant serves Chinese food for high in the riverside near All Bar One. It is children friendly but has a 1 out of 5 customer rating.")</f>
        <v>The Cricketers restaurant serves Chinese food for high in the riverside near All Bar One. It is children friendly but has a 1 out of 5 customer rating.</v>
      </c>
      <c r="C24" s="99" t="str">
        <f>IFERROR(__xludf.DUMMYFUNCTION("""COMPUTED_VALUE"""),"The Cricketers|eat_type|restaurant ++ The Cricketers|food|Chinese ++ The Cricketers|price_range|high ++ The Cricketers|rating|1 out of 5 ++ The Cricketers|area|riverside ++ The Cricketers|family_friendly|yes ++ The Cricketers|near|All Bar One")</f>
        <v>The Cricketers|eat_type|restaurant ++ The Cricketers|food|Chinese ++ The Cricketers|price_range|high ++ The Cricketers|rating|1 out of 5 ++ The Cricketers|area|riverside ++ The Cricketers|family_friendly|yes ++ The Cricketers|near|All Bar One</v>
      </c>
      <c r="D24" s="99" t="str">
        <f>IFERROR(__xludf.DUMMYFUNCTION("""COMPUTED_VALUE"""),"0.594")</f>
        <v>0.594</v>
      </c>
      <c r="E24" s="99" t="str">
        <f>IFERROR(__xludf.DUMMYFUNCTION("""COMPUTED_VALUE"""),"omission")</f>
        <v>omission</v>
      </c>
      <c r="F24" s="99" t="str">
        <f>IFERROR(__xludf.DUMMYFUNCTION("""COMPUTED_VALUE"""),"OK")</f>
        <v>OK</v>
      </c>
      <c r="G24" s="99"/>
      <c r="H24" s="99"/>
      <c r="I24" s="99" t="str">
        <f>IFERROR(__xludf.DUMMYFUNCTION("""COMPUTED_VALUE"""),"x")</f>
        <v>x</v>
      </c>
      <c r="J24" s="99"/>
      <c r="K24" s="99" t="str">
        <f>IFERROR(__xludf.DUMMYFUNCTION("""COMPUTED_VALUE"""),"x")</f>
        <v>x</v>
      </c>
      <c r="L24" s="99"/>
      <c r="M24" s="99" t="str">
        <f>IFERROR(__xludf.DUMMYFUNCTION("""COMPUTED_VALUE"""),"x")</f>
        <v>x</v>
      </c>
      <c r="N24" s="99"/>
      <c r="O24" s="99"/>
      <c r="P24" s="99" t="str">
        <f>IFERROR(__xludf.DUMMYFUNCTION("""COMPUTED_VALUE"""),"gold seems to diagnose 'for high' for price_range=high as an omission because it's not a valid realisation; could go either way: both wrong or just gold wrong, because if it's not OK it's omission+hallucination ")</f>
        <v>gold seems to diagnose 'for high' for price_range=high as an omission because it's not a valid realisation; could go either way: both wrong or just gold wrong, because if it's not OK it's omission+hallucination </v>
      </c>
    </row>
    <row r="25">
      <c r="A25" s="99">
        <f>IFERROR(__xludf.DUMMYFUNCTION("""COMPUTED_VALUE"""),46.0)</f>
        <v>46</v>
      </c>
      <c r="B25" s="99" t="str">
        <f>IFERROR(__xludf.DUMMYFUNCTION("""COMPUTED_VALUE"""),"The Phoenix, which has a low customer rating, is a high-priced pub that serves French cuisine. It is located in the city centre area and can be found near Crowne Plaza Hotel. It is family-friendly.")</f>
        <v>The Phoenix, which has a low customer rating, is a high-priced pub that serves French cuisine. It is located in the city centre area and can be found near Crowne Plaza Hotel. It is family-friendly.</v>
      </c>
      <c r="C25" s="99" t="str">
        <f>IFERROR(__xludf.DUMMYFUNCTION("""COMPUTED_VALUE"""),"The Phoenix|eat_type|pub ++ The Phoenix|food|French ++ The Phoenix|price_range|more than £30 ++ The Phoenix|rating|low ++ The Phoenix|area|city centre ++ The Phoenix|family_friendly|yes ++ The Phoenix|near|Crowne Plaza Hotel")</f>
        <v>The Phoenix|eat_type|pub ++ The Phoenix|food|French ++ The Phoenix|price_range|more than £30 ++ The Phoenix|rating|low ++ The Phoenix|area|city centre ++ The Phoenix|family_friendly|yes ++ The Phoenix|near|Crowne Plaza Hotel</v>
      </c>
      <c r="D25" s="99" t="str">
        <f>IFERROR(__xludf.DUMMYFUNCTION("""COMPUTED_VALUE"""),"0.047")</f>
        <v>0.047</v>
      </c>
      <c r="E25" s="99" t="str">
        <f>IFERROR(__xludf.DUMMYFUNCTION("""COMPUTED_VALUE"""),"OK")</f>
        <v>OK</v>
      </c>
      <c r="F25" s="99" t="str">
        <f>IFERROR(__xludf.DUMMYFUNCTION("""COMPUTED_VALUE"""),"omission")</f>
        <v>omission</v>
      </c>
      <c r="G25" s="99" t="str">
        <f>IFERROR(__xludf.DUMMYFUNCTION("""COMPUTED_VALUE"""),"x")</f>
        <v>x</v>
      </c>
      <c r="H25" s="99"/>
      <c r="I25" s="99"/>
      <c r="J25" s="99"/>
      <c r="K25" s="99" t="str">
        <f>IFERROR(__xludf.DUMMYFUNCTION("""COMPUTED_VALUE"""),"x")</f>
        <v>x</v>
      </c>
      <c r="L25" s="99"/>
      <c r="M25" s="99"/>
      <c r="N25" s="99" t="str">
        <f>IFERROR(__xludf.DUMMYFUNCTION("""COMPUTED_VALUE"""),"x")</f>
        <v>x</v>
      </c>
      <c r="O25" s="99"/>
      <c r="P25" s="99" t="str">
        <f>IFERROR(__xludf.DUMMYFUNCTION("""COMPUTED_VALUE"""),"NLI wrongly has omission maybe because it doesn't recognise high-priced as a realisation of more than £30")</f>
        <v>NLI wrongly has omission maybe because it doesn't recognise high-priced as a realisation of more than £30</v>
      </c>
    </row>
    <row r="26">
      <c r="A26" s="99">
        <f>IFERROR(__xludf.DUMMYFUNCTION("""COMPUTED_VALUE"""),21.0)</f>
        <v>21</v>
      </c>
      <c r="B26" s="99" t="str">
        <f>IFERROR(__xludf.DUMMYFUNCTION("""COMPUTED_VALUE"""),"The Mill is a pub that serves Fast food. It is located near Café Rouge in the city centre. It is not kid friendly. The price range is £20-£25 and the customer rating is high.")</f>
        <v>The Mill is a pub that serves Fast food. It is located near Café Rouge in the city centre. It is not kid friendly. The price range is £20-£25 and the customer rating is high.</v>
      </c>
      <c r="C26" s="99" t="str">
        <f>IFERROR(__xludf.DUMMYFUNCTION("""COMPUTED_VALUE"""),"The Mill|eat_type|pub ++ The Mill|food|Fast food ++ The Mill|price_range|£20-25 ++ The Mill|rating|high ++ The Mill|area|city centre ++ The Mill|family_friendly|no ++ The Mill|near|Café Rouge")</f>
        <v>The Mill|eat_type|pub ++ The Mill|food|Fast food ++ The Mill|price_range|£20-25 ++ The Mill|rating|high ++ The Mill|area|city centre ++ The Mill|family_friendly|no ++ The Mill|near|Café Rouge</v>
      </c>
      <c r="D26" s="99" t="str">
        <f>IFERROR(__xludf.DUMMYFUNCTION("""COMPUTED_VALUE"""),"0.984")</f>
        <v>0.984</v>
      </c>
      <c r="E26" s="99" t="str">
        <f>IFERROR(__xludf.DUMMYFUNCTION("""COMPUTED_VALUE"""),"omission")</f>
        <v>omission</v>
      </c>
      <c r="F26" s="99" t="str">
        <f>IFERROR(__xludf.DUMMYFUNCTION("""COMPUTED_VALUE"""),"OK")</f>
        <v>OK</v>
      </c>
      <c r="G26" s="99"/>
      <c r="H26" s="99" t="str">
        <f>IFERROR(__xludf.DUMMYFUNCTION("""COMPUTED_VALUE"""),"x")</f>
        <v>x</v>
      </c>
      <c r="I26" s="99"/>
      <c r="J26" s="99"/>
      <c r="K26" s="99"/>
      <c r="L26" s="99"/>
      <c r="M26" s="99"/>
      <c r="N26" s="99" t="str">
        <f>IFERROR(__xludf.DUMMYFUNCTION("""COMPUTED_VALUE"""),"x")</f>
        <v>x</v>
      </c>
      <c r="O26" s="99"/>
      <c r="P26" s="99" t="str">
        <f>IFERROR(__xludf.DUMMYFUNCTION("""COMPUTED_VALUE"""),"gold wrongly has omission; unclear why")</f>
        <v>gold wrongly has omission; unclear why</v>
      </c>
    </row>
    <row r="27">
      <c r="A27" s="99">
        <f>IFERROR(__xludf.DUMMYFUNCTION("""COMPUTED_VALUE"""),101.0)</f>
        <v>101</v>
      </c>
      <c r="B27" s="99" t="str">
        <f>IFERROR(__xludf.DUMMYFUNCTION("""COMPUTED_VALUE"""),"The Cricketers is a family friendly coffee shop near Crowne Plaza Hotel with an average customer rating of 5 out of 5.")</f>
        <v>The Cricketers is a family friendly coffee shop near Crowne Plaza Hotel with an average customer rating of 5 out of 5.</v>
      </c>
      <c r="C27" s="99" t="str">
        <f>IFERROR(__xludf.DUMMYFUNCTION("""COMPUTED_VALUE"""),"The Cricketers|eat_type|coffee shop ++ The Cricketers|rating|5 out of 5 ++ The Cricketers|family_friendly|yes ++ The Cricketers|near|Crowne Plaza Hotel")</f>
        <v>The Cricketers|eat_type|coffee shop ++ The Cricketers|rating|5 out of 5 ++ The Cricketers|family_friendly|yes ++ The Cricketers|near|Crowne Plaza Hotel</v>
      </c>
      <c r="D27" s="99" t="str">
        <f>IFERROR(__xludf.DUMMYFUNCTION("""COMPUTED_VALUE"""),"0.913")</f>
        <v>0.913</v>
      </c>
      <c r="E27" s="99" t="str">
        <f>IFERROR(__xludf.DUMMYFUNCTION("""COMPUTED_VALUE"""),"hallucination")</f>
        <v>hallucination</v>
      </c>
      <c r="F27" s="99" t="str">
        <f>IFERROR(__xludf.DUMMYFUNCTION("""COMPUTED_VALUE"""),"OK")</f>
        <v>OK</v>
      </c>
      <c r="G27" s="99"/>
      <c r="H27" s="99" t="str">
        <f>IFERROR(__xludf.DUMMYFUNCTION("""COMPUTED_VALUE"""),"x")</f>
        <v>x</v>
      </c>
      <c r="I27" s="99"/>
      <c r="J27" s="99"/>
      <c r="K27" s="99"/>
      <c r="L27" s="99"/>
      <c r="M27" s="99"/>
      <c r="N27" s="99"/>
      <c r="O27" s="99" t="str">
        <f>IFERROR(__xludf.DUMMYFUNCTION("""COMPUTED_VALUE"""),"x")</f>
        <v>x</v>
      </c>
      <c r="P27" s="99" t="str">
        <f>IFERROR(__xludf.DUMMYFUNCTION("""COMPUTED_VALUE"""),"gold wrongly has hallucination; unclear why")</f>
        <v>gold wrongly has hallucination; unclear why</v>
      </c>
    </row>
    <row r="28">
      <c r="A28" s="99">
        <f>IFERROR(__xludf.DUMMYFUNCTION("""COMPUTED_VALUE"""),81.0)</f>
        <v>81</v>
      </c>
      <c r="B28" s="99" t="str">
        <f>IFERROR(__xludf.DUMMYFUNCTION("""COMPUTED_VALUE"""),"A pub named Wildwood is located in the city centre. It is for adults and is close to Raja Indian Cuisine. They offer Indian food.")</f>
        <v>A pub named Wildwood is located in the city centre. It is for adults and is close to Raja Indian Cuisine. They offer Indian food.</v>
      </c>
      <c r="C28" s="99" t="str">
        <f>IFERROR(__xludf.DUMMYFUNCTION("""COMPUTED_VALUE"""),"Wildwood|eat_type|pub ++ Wildwood|food|Indian ++ Wildwood|area|city centre ++ Wildwood|family_friendly|no ++ Wildwood|near|Raja Indian Cuisine")</f>
        <v>Wildwood|eat_type|pub ++ Wildwood|food|Indian ++ Wildwood|area|city centre ++ Wildwood|family_friendly|no ++ Wildwood|near|Raja Indian Cuisine</v>
      </c>
      <c r="D28" s="99" t="str">
        <f>IFERROR(__xludf.DUMMYFUNCTION("""COMPUTED_VALUE"""),"0.652")</f>
        <v>0.652</v>
      </c>
      <c r="E28" s="99" t="str">
        <f>IFERROR(__xludf.DUMMYFUNCTION("""COMPUTED_VALUE"""),"omission")</f>
        <v>omission</v>
      </c>
      <c r="F28" s="99" t="str">
        <f>IFERROR(__xludf.DUMMYFUNCTION("""COMPUTED_VALUE"""),"OK")</f>
        <v>OK</v>
      </c>
      <c r="G28" s="99"/>
      <c r="H28" s="99" t="str">
        <f>IFERROR(__xludf.DUMMYFUNCTION("""COMPUTED_VALUE"""),"x")</f>
        <v>x</v>
      </c>
      <c r="I28" s="99"/>
      <c r="J28" s="99"/>
      <c r="K28" s="99"/>
      <c r="L28" s="99" t="str">
        <f>IFERROR(__xludf.DUMMYFUNCTION("""COMPUTED_VALUE"""),"x")</f>
        <v>x</v>
      </c>
      <c r="M28" s="99"/>
      <c r="N28" s="99"/>
      <c r="O28" s="99"/>
      <c r="P28" s="99" t="str">
        <f>IFERROR(__xludf.DUMMYFUNCTION("""COMPUTED_VALUE"""),"gold seems to diagnose 'it is for adults' for family_friendly=no as an omission because it's not a good realisation; could go either way: both wrong or just gold wrong, because if it's not OK it's omission+hallucination")</f>
        <v>gold seems to diagnose 'it is for adults' for family_friendly=no as an omission because it's not a good realisation; could go either way: both wrong or just gold wrong, because if it's not OK it's omission+hallucination</v>
      </c>
    </row>
    <row r="29">
      <c r="A29" s="99">
        <f>IFERROR(__xludf.DUMMYFUNCTION("""COMPUTED_VALUE"""),104.0)</f>
        <v>104</v>
      </c>
      <c r="B29" s="99" t="str">
        <f>IFERROR(__xludf.DUMMYFUNCTION("""COMPUTED_VALUE"""),"Wildwood serves Italian food that is kids-friendly. It is in the city centre area near Raja Indian Cuisine.")</f>
        <v>Wildwood serves Italian food that is kids-friendly. It is in the city centre area near Raja Indian Cuisine.</v>
      </c>
      <c r="C29" s="99" t="str">
        <f>IFERROR(__xludf.DUMMYFUNCTION("""COMPUTED_VALUE"""),"Wildwood|eat_type|restaurant ++ Wildwood|food|Italian ++ Wildwood|area|city centre ++ Wildwood|family_friendly|yes ++ Wildwood|near|Raja Indian Cuisine")</f>
        <v>Wildwood|eat_type|restaurant ++ Wildwood|food|Italian ++ Wildwood|area|city centre ++ Wildwood|family_friendly|yes ++ Wildwood|near|Raja Indian Cuisine</v>
      </c>
      <c r="D29" s="99" t="str">
        <f>IFERROR(__xludf.DUMMYFUNCTION("""COMPUTED_VALUE"""),"0.874")</f>
        <v>0.874</v>
      </c>
      <c r="E29" s="99" t="str">
        <f>IFERROR(__xludf.DUMMYFUNCTION("""COMPUTED_VALUE"""),"omission")</f>
        <v>omission</v>
      </c>
      <c r="F29" s="99" t="str">
        <f>IFERROR(__xludf.DUMMYFUNCTION("""COMPUTED_VALUE"""),"OK")</f>
        <v>OK</v>
      </c>
      <c r="G29" s="99"/>
      <c r="H29" s="99"/>
      <c r="I29" s="99" t="str">
        <f>IFERROR(__xludf.DUMMYFUNCTION("""COMPUTED_VALUE"""),"x")</f>
        <v>x</v>
      </c>
      <c r="J29" s="99"/>
      <c r="K29" s="99"/>
      <c r="L29" s="99"/>
      <c r="M29" s="99" t="str">
        <f>IFERROR(__xludf.DUMMYFUNCTION("""COMPUTED_VALUE"""),"x")</f>
        <v>x</v>
      </c>
      <c r="N29" s="99"/>
      <c r="O29" s="99"/>
      <c r="P29" s="99" t="str">
        <f>IFERROR(__xludf.DUMMYFUNCTION("""COMPUTED_VALUE"""),"gold misses hallucination (it's the food that's kid friendly'), NLI additionally misses omission ('restaurant')")</f>
        <v>gold misses hallucination (it's the food that's kid friendly'), NLI additionally misses omission ('restaurant')</v>
      </c>
    </row>
    <row r="30">
      <c r="A30" s="99">
        <f>IFERROR(__xludf.DUMMYFUNCTION("""COMPUTED_VALUE"""),42.0)</f>
        <v>42</v>
      </c>
      <c r="B30" s="99" t="str">
        <f>IFERROR(__xludf.DUMMYFUNCTION("""COMPUTED_VALUE"""),"The Cricketers is a non family friendly coffee shop near Crowne Plaza Hotel with an average customer rating of 5 out of 5.")</f>
        <v>The Cricketers is a non family friendly coffee shop near Crowne Plaza Hotel with an average customer rating of 5 out of 5.</v>
      </c>
      <c r="C30" s="99" t="str">
        <f>IFERROR(__xludf.DUMMYFUNCTION("""COMPUTED_VALUE"""),"The Cricketers|eat_type|coffee shop ++ The Cricketers|rating|5 out of 5 ++ The Cricketers|family_friendly|no ++ The Cricketers|near|Crowne Plaza Hotel")</f>
        <v>The Cricketers|eat_type|coffee shop ++ The Cricketers|rating|5 out of 5 ++ The Cricketers|family_friendly|no ++ The Cricketers|near|Crowne Plaza Hotel</v>
      </c>
      <c r="D30" s="99" t="str">
        <f>IFERROR(__xludf.DUMMYFUNCTION("""COMPUTED_VALUE"""),"0.895")</f>
        <v>0.895</v>
      </c>
      <c r="E30" s="99" t="str">
        <f>IFERROR(__xludf.DUMMYFUNCTION("""COMPUTED_VALUE"""),"hallucination")</f>
        <v>hallucination</v>
      </c>
      <c r="F30" s="99" t="str">
        <f>IFERROR(__xludf.DUMMYFUNCTION("""COMPUTED_VALUE"""),"OK")</f>
        <v>OK</v>
      </c>
      <c r="G30" s="99"/>
      <c r="H30" s="99"/>
      <c r="I30" s="99" t="str">
        <f>IFERROR(__xludf.DUMMYFUNCTION("""COMPUTED_VALUE"""),"x")</f>
        <v>x</v>
      </c>
      <c r="J30" s="99"/>
      <c r="K30" s="99"/>
      <c r="L30" s="99"/>
      <c r="M30" s="99" t="str">
        <f>IFERROR(__xludf.DUMMYFUNCTION("""COMPUTED_VALUE"""),"x")</f>
        <v>x</v>
      </c>
      <c r="N30" s="99"/>
      <c r="O30" s="99"/>
      <c r="P30" s="99" t="str">
        <f>IFERROR(__xludf.DUMMYFUNCTION("""COMPUTED_VALUE"""),"should be hallucination+omission ('average' for rating=5 out of 5)")</f>
        <v>should be hallucination+omission ('average' for rating=5 out of 5)</v>
      </c>
    </row>
    <row r="31">
      <c r="A31" s="99">
        <f>IFERROR(__xludf.DUMMYFUNCTION("""COMPUTED_VALUE"""),3.0)</f>
        <v>3</v>
      </c>
      <c r="B31" s="99" t="str">
        <f>IFERROR(__xludf.DUMMYFUNCTION("""COMPUTED_VALUE"""),"The Mill can be found near Café Sicilia . It is a cheap , family friendly pub with a five star rating and full service .")</f>
        <v>The Mill can be found near Café Sicilia . It is a cheap , family friendly pub with a five star rating and full service .</v>
      </c>
      <c r="C31" s="99" t="str">
        <f>IFERROR(__xludf.DUMMYFUNCTION("""COMPUTED_VALUE"""),"The Mill|eat_type|pub ++ The Mill|food|Fast food ++ The Mill|price_range|cheap ++ The Mill|rating|5 out of 5 ++ The Mill|area|riverside ++ The Mill|family_friendly|yes ++ The Mill|near|Café Sicilia")</f>
        <v>The Mill|eat_type|pub ++ The Mill|food|Fast food ++ The Mill|price_range|cheap ++ The Mill|rating|5 out of 5 ++ The Mill|area|riverside ++ The Mill|family_friendly|yes ++ The Mill|near|Café Sicilia</v>
      </c>
      <c r="D31" s="99" t="str">
        <f>IFERROR(__xludf.DUMMYFUNCTION("""COMPUTED_VALUE"""),"0.004")</f>
        <v>0.004</v>
      </c>
      <c r="E31" s="99" t="str">
        <f>IFERROR(__xludf.DUMMYFUNCTION("""COMPUTED_VALUE"""),"omission")</f>
        <v>omission</v>
      </c>
      <c r="F31" s="99" t="str">
        <f>IFERROR(__xludf.DUMMYFUNCTION("""COMPUTED_VALUE"""),"hallucination+omission")</f>
        <v>hallucination+omission</v>
      </c>
      <c r="G31" s="99"/>
      <c r="H31" s="99" t="str">
        <f>IFERROR(__xludf.DUMMYFUNCTION("""COMPUTED_VALUE"""),"x")</f>
        <v>x</v>
      </c>
      <c r="I31" s="99"/>
      <c r="J31" s="99"/>
      <c r="K31" s="99"/>
      <c r="L31" s="99"/>
      <c r="M31" s="99" t="str">
        <f>IFERROR(__xludf.DUMMYFUNCTION("""COMPUTED_VALUE"""),"x")</f>
        <v>x</v>
      </c>
      <c r="N31" s="99"/>
      <c r="O31" s="99"/>
      <c r="P31" s="99" t="str">
        <f>IFERROR(__xludf.DUMMYFUNCTION("""COMPUTED_VALUE"""),"gold misses hallucination ('full service'); unclear why")</f>
        <v>gold misses hallucination ('full service'); unclear why</v>
      </c>
    </row>
    <row r="32">
      <c r="A32" s="99">
        <f>IFERROR(__xludf.DUMMYFUNCTION("""COMPUTED_VALUE"""),116.0)</f>
        <v>116</v>
      </c>
      <c r="B32" s="99" t="str">
        <f>IFERROR(__xludf.DUMMYFUNCTION("""COMPUTED_VALUE"""),"Located near Raja Indian Cuisine in the city centre , The Plough is a Chinese restaurant where you can enjoyed at high price per head . Though not allow children .")</f>
        <v>Located near Raja Indian Cuisine in the city centre , The Plough is a Chinese restaurant where you can enjoyed at high price per head . Though not allow children .</v>
      </c>
      <c r="C32" s="99" t="str">
        <f>IFERROR(__xludf.DUMMYFUNCTION("""COMPUTED_VALUE"""),"The Plough|eat_type|restaurant ++ The Plough|food|Chinese ++ The Plough|price_range|high ++ The Plough|area|city centre ++ The Plough|family_friendly|no ++ The Plough|near|Raja Indian Cuisine")</f>
        <v>The Plough|eat_type|restaurant ++ The Plough|food|Chinese ++ The Plough|price_range|high ++ The Plough|area|city centre ++ The Plough|family_friendly|no ++ The Plough|near|Raja Indian Cuisine</v>
      </c>
      <c r="D32" s="99" t="str">
        <f>IFERROR(__xludf.DUMMYFUNCTION("""COMPUTED_VALUE"""),"0.611")</f>
        <v>0.611</v>
      </c>
      <c r="E32" s="99" t="str">
        <f>IFERROR(__xludf.DUMMYFUNCTION("""COMPUTED_VALUE"""),"hallucination+omission")</f>
        <v>hallucination+omission</v>
      </c>
      <c r="F32" s="99" t="str">
        <f>IFERROR(__xludf.DUMMYFUNCTION("""COMPUTED_VALUE"""),"OK")</f>
        <v>OK</v>
      </c>
      <c r="G32" s="99" t="str">
        <f>IFERROR(__xludf.DUMMYFUNCTION("""COMPUTED_VALUE"""),"x")</f>
        <v>x</v>
      </c>
      <c r="H32" s="99"/>
      <c r="I32" s="99"/>
      <c r="J32" s="99"/>
      <c r="K32" s="99"/>
      <c r="L32" s="99" t="str">
        <f>IFERROR(__xludf.DUMMYFUNCTION("""COMPUTED_VALUE"""),"x")</f>
        <v>x</v>
      </c>
      <c r="M32" s="99" t="str">
        <f>IFERROR(__xludf.DUMMYFUNCTION("""COMPUTED_VALUE"""),"x")</f>
        <v>x</v>
      </c>
      <c r="N32" s="99"/>
      <c r="O32" s="99"/>
      <c r="P32" s="99" t="str">
        <f>IFERROR(__xludf.DUMMYFUNCTION("""COMPUTED_VALUE"""),"NLI misses hallucination and omission ('Though not allow children ' for family_friendly=no)")</f>
        <v>NLI misses hallucination and omission ('Though not allow children ' for family_friendly=no)</v>
      </c>
    </row>
    <row r="33">
      <c r="A33" s="99">
        <f>IFERROR(__xludf.DUMMYFUNCTION("""COMPUTED_VALUE"""),27.0)</f>
        <v>27</v>
      </c>
      <c r="B33" s="99" t="str">
        <f>IFERROR(__xludf.DUMMYFUNCTION("""COMPUTED_VALUE"""),"The Phoenix restaurant serves Fast food food and is near the riverside and the Raja Indian Cuisine. It is not family-friendly and is priced in the moderate pound range.")</f>
        <v>The Phoenix restaurant serves Fast food food and is near the riverside and the Raja Indian Cuisine. It is not family-friendly and is priced in the moderate pound range.</v>
      </c>
      <c r="C33" s="99" t="str">
        <f>IFERROR(__xludf.DUMMYFUNCTION("""COMPUTED_VALUE"""),"The Phoenix|eat_type|restaurant ++ The Phoenix|food|Fast food ++ The Phoenix|price_range|moderate ++ The Phoenix|area|riverside ++ The Phoenix|family_friendly|no ++ The Phoenix|near|Raja Indian Cuisine")</f>
        <v>The Phoenix|eat_type|restaurant ++ The Phoenix|food|Fast food ++ The Phoenix|price_range|moderate ++ The Phoenix|area|riverside ++ The Phoenix|family_friendly|no ++ The Phoenix|near|Raja Indian Cuisine</v>
      </c>
      <c r="D33" s="99" t="str">
        <f>IFERROR(__xludf.DUMMYFUNCTION("""COMPUTED_VALUE"""),"0.717")</f>
        <v>0.717</v>
      </c>
      <c r="E33" s="99" t="str">
        <f>IFERROR(__xludf.DUMMYFUNCTION("""COMPUTED_VALUE"""),"omission")</f>
        <v>omission</v>
      </c>
      <c r="F33" s="99" t="str">
        <f>IFERROR(__xludf.DUMMYFUNCTION("""COMPUTED_VALUE"""),"OK")</f>
        <v>OK</v>
      </c>
      <c r="G33" s="99"/>
      <c r="H33" s="99" t="str">
        <f>IFERROR(__xludf.DUMMYFUNCTION("""COMPUTED_VALUE"""),"x")</f>
        <v>x</v>
      </c>
      <c r="I33" s="99"/>
      <c r="J33" s="99"/>
      <c r="K33" s="99"/>
      <c r="L33" s="99"/>
      <c r="M33" s="99"/>
      <c r="N33" s="99" t="str">
        <f>IFERROR(__xludf.DUMMYFUNCTION("""COMPUTED_VALUE"""),"x")</f>
        <v>x</v>
      </c>
      <c r="O33" s="99"/>
      <c r="P33" s="99" t="str">
        <f>IFERROR(__xludf.DUMMYFUNCTION("""COMPUTED_VALUE"""),"gold wrongly has omission; unclear why")</f>
        <v>gold wrongly has omission; unclear why</v>
      </c>
    </row>
    <row r="34">
      <c r="A34" s="99">
        <f>IFERROR(__xludf.DUMMYFUNCTION("""COMPUTED_VALUE"""),51.0)</f>
        <v>51</v>
      </c>
      <c r="B34" s="99" t="str">
        <f>IFERROR(__xludf.DUMMYFUNCTION("""COMPUTED_VALUE"""),"The Waterman restaurant near Raja Indian Cuisine in the riverside sells Indian food and is less than £20 priced no kids allowed.")</f>
        <v>The Waterman restaurant near Raja Indian Cuisine in the riverside sells Indian food and is less than £20 priced no kids allowed.</v>
      </c>
      <c r="C34" s="99" t="str">
        <f>IFERROR(__xludf.DUMMYFUNCTION("""COMPUTED_VALUE"""),"The Waterman|eat_type|restaurant ++ The Waterman|food|Indian ++ The Waterman|price_range|less than £20 ++ The Waterman|area|riverside ++ The Waterman|family_friendly|no ++ The Waterman|near|Raja Indian Cuisine")</f>
        <v>The Waterman|eat_type|restaurant ++ The Waterman|food|Indian ++ The Waterman|price_range|less than £20 ++ The Waterman|area|riverside ++ The Waterman|family_friendly|no ++ The Waterman|near|Raja Indian Cuisine</v>
      </c>
      <c r="D34" s="99" t="str">
        <f>IFERROR(__xludf.DUMMYFUNCTION("""COMPUTED_VALUE"""),"0.346")</f>
        <v>0.346</v>
      </c>
      <c r="E34" s="99" t="str">
        <f>IFERROR(__xludf.DUMMYFUNCTION("""COMPUTED_VALUE"""),"OK")</f>
        <v>OK</v>
      </c>
      <c r="F34" s="99" t="str">
        <f>IFERROR(__xludf.DUMMYFUNCTION("""COMPUTED_VALUE"""),"hallucination")</f>
        <v>hallucination</v>
      </c>
      <c r="G34" s="99"/>
      <c r="H34" s="99"/>
      <c r="I34" s="99" t="str">
        <f>IFERROR(__xludf.DUMMYFUNCTION("""COMPUTED_VALUE"""),"x")</f>
        <v>x</v>
      </c>
      <c r="J34" s="99"/>
      <c r="K34" s="99"/>
      <c r="L34" s="99" t="str">
        <f>IFERROR(__xludf.DUMMYFUNCTION("""COMPUTED_VALUE"""),"x")</f>
        <v>x</v>
      </c>
      <c r="M34" s="99" t="str">
        <f>IFERROR(__xludf.DUMMYFUNCTION("""COMPUTED_VALUE"""),"x")</f>
        <v>x</v>
      </c>
      <c r="N34" s="99"/>
      <c r="O34" s="99"/>
      <c r="P34" s="99" t="str">
        <f>IFERROR(__xludf.DUMMYFUNCTION("""COMPUTED_VALUE"""),"NLI seems to diagnose 'no kids allowed' for family_friendly=no as an hallucination because it's not a valid realisation; could go either way: both wrong or just NLI wrong, because if it's not OK it's omission+hallucination ")</f>
        <v>NLI seems to diagnose 'no kids allowed' for family_friendly=no as an hallucination because it's not a valid realisation; could go either way: both wrong or just NLI wrong, because if it's not OK it's omission+hallucination </v>
      </c>
    </row>
    <row r="35">
      <c r="A35" s="99">
        <f>IFERROR(__xludf.DUMMYFUNCTION("""COMPUTED_VALUE"""),7.0)</f>
        <v>7</v>
      </c>
      <c r="B35" s="99" t="str">
        <f>IFERROR(__xludf.DUMMYFUNCTION("""COMPUTED_VALUE"""),"The Punter, which has a low customer rating, is a low-priced restaurant offering Indian cuisine. It is in the riverside area by Express by Holiday Inn. It is not child-friendly.")</f>
        <v>The Punter, which has a low customer rating, is a low-priced restaurant offering Indian cuisine. It is in the riverside area by Express by Holiday Inn. It is not child-friendly.</v>
      </c>
      <c r="C35" s="99" t="str">
        <f>IFERROR(__xludf.DUMMYFUNCTION("""COMPUTED_VALUE"""),"The Punter|eat_type|restaurant ++ The Punter|food|Indian ++ The Punter|price_range|less than £20 ++ The Punter|rating|low ++ The Punter|area|riverside ++ The Punter|family_friendly|no ++ The Punter|near|Express by Holiday Inn")</f>
        <v>The Punter|eat_type|restaurant ++ The Punter|food|Indian ++ The Punter|price_range|less than £20 ++ The Punter|rating|low ++ The Punter|area|riverside ++ The Punter|family_friendly|no ++ The Punter|near|Express by Holiday Inn</v>
      </c>
      <c r="D35" s="99" t="str">
        <f>IFERROR(__xludf.DUMMYFUNCTION("""COMPUTED_VALUE"""),"0.047")</f>
        <v>0.047</v>
      </c>
      <c r="E35" s="99" t="str">
        <f>IFERROR(__xludf.DUMMYFUNCTION("""COMPUTED_VALUE"""),"OK")</f>
        <v>OK</v>
      </c>
      <c r="F35" s="99" t="str">
        <f>IFERROR(__xludf.DUMMYFUNCTION("""COMPUTED_VALUE"""),"omission")</f>
        <v>omission</v>
      </c>
      <c r="G35" s="99" t="str">
        <f>IFERROR(__xludf.DUMMYFUNCTION("""COMPUTED_VALUE"""),"x")</f>
        <v>x</v>
      </c>
      <c r="H35" s="99"/>
      <c r="I35" s="99"/>
      <c r="J35" s="99"/>
      <c r="K35" s="99" t="str">
        <f>IFERROR(__xludf.DUMMYFUNCTION("""COMPUTED_VALUE"""),"x")</f>
        <v>x</v>
      </c>
      <c r="L35" s="99"/>
      <c r="M35" s="99"/>
      <c r="N35" s="99" t="str">
        <f>IFERROR(__xludf.DUMMYFUNCTION("""COMPUTED_VALUE"""),"x")</f>
        <v>x</v>
      </c>
      <c r="O35" s="99"/>
      <c r="P35" s="99" t="str">
        <f>IFERROR(__xludf.DUMMYFUNCTION("""COMPUTED_VALUE"""),"NLI wrongly has omission maybe because it doesn't recognise low priced as a realisation of &lt;£20")</f>
        <v>NLI wrongly has omission maybe because it doesn't recognise low priced as a realisation of &lt;£20</v>
      </c>
    </row>
    <row r="36">
      <c r="A36" s="99">
        <f>IFERROR(__xludf.DUMMYFUNCTION("""COMPUTED_VALUE"""),94.0)</f>
        <v>94</v>
      </c>
      <c r="B36" s="99" t="str">
        <f>IFERROR(__xludf.DUMMYFUNCTION("""COMPUTED_VALUE"""),"The Cricketers is a high restaurant that serves Chinese food. It is not children-friendly and has a rating of 1 out of 5. It is located in the riverside area near All Bar One.")</f>
        <v>The Cricketers is a high restaurant that serves Chinese food. It is not children-friendly and has a rating of 1 out of 5. It is located in the riverside area near All Bar One.</v>
      </c>
      <c r="C36" s="99" t="str">
        <f>IFERROR(__xludf.DUMMYFUNCTION("""COMPUTED_VALUE"""),"The Cricketers|eat_type|restaurant ++ The Cricketers|food|Chinese ++ The Cricketers|price_range|high ++ The Cricketers|rating|1 out of 5 ++ The Cricketers|area|riverside ++ The Cricketers|family_friendly|no ++ The Cricketers|near|All Bar One")</f>
        <v>The Cricketers|eat_type|restaurant ++ The Cricketers|food|Chinese ++ The Cricketers|price_range|high ++ The Cricketers|rating|1 out of 5 ++ The Cricketers|area|riverside ++ The Cricketers|family_friendly|no ++ The Cricketers|near|All Bar One</v>
      </c>
      <c r="D36" s="99" t="str">
        <f>IFERROR(__xludf.DUMMYFUNCTION("""COMPUTED_VALUE"""),"0.932")</f>
        <v>0.932</v>
      </c>
      <c r="E36" s="99" t="str">
        <f>IFERROR(__xludf.DUMMYFUNCTION("""COMPUTED_VALUE"""),"omission")</f>
        <v>omission</v>
      </c>
      <c r="F36" s="99" t="str">
        <f>IFERROR(__xludf.DUMMYFUNCTION("""COMPUTED_VALUE"""),"OK")</f>
        <v>OK</v>
      </c>
      <c r="G36" s="99"/>
      <c r="H36" s="99"/>
      <c r="I36" s="99" t="str">
        <f>IFERROR(__xludf.DUMMYFUNCTION("""COMPUTED_VALUE"""),"x")</f>
        <v>x</v>
      </c>
      <c r="J36" s="99"/>
      <c r="K36" s="99" t="str">
        <f>IFERROR(__xludf.DUMMYFUNCTION("""COMPUTED_VALUE"""),"x")</f>
        <v>x</v>
      </c>
      <c r="L36" s="99"/>
      <c r="M36" s="99" t="str">
        <f>IFERROR(__xludf.DUMMYFUNCTION("""COMPUTED_VALUE"""),"x")</f>
        <v>x</v>
      </c>
      <c r="N36" s="99"/>
      <c r="O36" s="99"/>
      <c r="P36" s="99" t="str">
        <f>IFERROR(__xludf.DUMMYFUNCTION("""COMPUTED_VALUE"""),"gold seems to diagnose 'a high restaurant' for price_range=high as an omission because it's not a valid realisation; could go either way: both wrong or just gold wrong, because if it's not OK it's omission+hallucination")</f>
        <v>gold seems to diagnose 'a high restaurant' for price_range=high as an omission because it's not a valid realisation; could go either way: both wrong or just gold wrong, because if it's not OK it's omission+hallucination</v>
      </c>
    </row>
    <row r="37">
      <c r="A37" s="99">
        <f>IFERROR(__xludf.DUMMYFUNCTION("""COMPUTED_VALUE"""),6.0)</f>
        <v>6</v>
      </c>
      <c r="B37" s="99" t="str">
        <f>IFERROR(__xludf.DUMMYFUNCTION("""COMPUTED_VALUE"""),"The Mill is a high pub that serves fast food. It is not children-friendly and has a rating of 1 out of 5. It is located in the riverside area near Café Sicilia.")</f>
        <v>The Mill is a high pub that serves fast food. It is not children-friendly and has a rating of 1 out of 5. It is located in the riverside area near Café Sicilia.</v>
      </c>
      <c r="C37" s="99" t="str">
        <f>IFERROR(__xludf.DUMMYFUNCTION("""COMPUTED_VALUE"""),"The Mill|eat_type|pub ++ The Mill|food|Fast food ++ The Mill|price_range|high ++ The Mill|rating|1 out of 5 ++ The Mill|area|riverside ++ The Mill|family_friendly|no ++ The Mill|near|Café Sicilia")</f>
        <v>The Mill|eat_type|pub ++ The Mill|food|Fast food ++ The Mill|price_range|high ++ The Mill|rating|1 out of 5 ++ The Mill|area|riverside ++ The Mill|family_friendly|no ++ The Mill|near|Café Sicilia</v>
      </c>
      <c r="D37" s="99" t="str">
        <f>IFERROR(__xludf.DUMMYFUNCTION("""COMPUTED_VALUE"""),"0.913")</f>
        <v>0.913</v>
      </c>
      <c r="E37" s="99" t="str">
        <f>IFERROR(__xludf.DUMMYFUNCTION("""COMPUTED_VALUE"""),"omission")</f>
        <v>omission</v>
      </c>
      <c r="F37" s="99" t="str">
        <f>IFERROR(__xludf.DUMMYFUNCTION("""COMPUTED_VALUE"""),"OK")</f>
        <v>OK</v>
      </c>
      <c r="G37" s="99"/>
      <c r="H37" s="99"/>
      <c r="I37" s="99" t="str">
        <f>IFERROR(__xludf.DUMMYFUNCTION("""COMPUTED_VALUE"""),"x")</f>
        <v>x</v>
      </c>
      <c r="J37" s="99"/>
      <c r="K37" s="99" t="str">
        <f>IFERROR(__xludf.DUMMYFUNCTION("""COMPUTED_VALUE"""),"x")</f>
        <v>x</v>
      </c>
      <c r="L37" s="99"/>
      <c r="M37" s="99" t="str">
        <f>IFERROR(__xludf.DUMMYFUNCTION("""COMPUTED_VALUE"""),"x")</f>
        <v>x</v>
      </c>
      <c r="N37" s="99" t="str">
        <f>IFERROR(__xludf.DUMMYFUNCTION("""COMPUTED_VALUE""")," ")</f>
        <v> </v>
      </c>
      <c r="O37" s="99"/>
      <c r="P37" s="99" t="str">
        <f>IFERROR(__xludf.DUMMYFUNCTION("""COMPUTED_VALUE"""),"gold seems to diagnose 'high' for price_range=high as an omission because it's not a valid realisation; could go either way: both wrong or just gold wrong, because if it's not OK it's omission+hallucination")</f>
        <v>gold seems to diagnose 'high' for price_range=high as an omission because it's not a valid realisation; could go either way: both wrong or just gold wrong, because if it's not OK it's omission+hallucination</v>
      </c>
    </row>
    <row r="38">
      <c r="A38" s="99">
        <f>IFERROR(__xludf.DUMMYFUNCTION("""COMPUTED_VALUE"""),96.0)</f>
        <v>96</v>
      </c>
      <c r="B38" s="99" t="str">
        <f>IFERROR(__xludf.DUMMYFUNCTION("""COMPUTED_VALUE"""),"The Vaults is a high-priced, highly rated italian pub located near Rainbow Vegetarian Café in the riverside area. It is not child friendly.'")</f>
        <v>The Vaults is a high-priced, highly rated italian pub located near Rainbow Vegetarian Café in the riverside area. It is not child friendly.'</v>
      </c>
      <c r="C38" s="99" t="str">
        <f>IFERROR(__xludf.DUMMYFUNCTION("""COMPUTED_VALUE"""),"The Vaults|eat_type|pub ++ The Vaults|food|Italian ++ The Vaults|price_range|more than £30 ++ The Vaults|rating|high ++ The Vaults|area|riverside ++ The Vaults|family_friendly|no ++ The Vaults|near|Rainbow Vegetarian Café")</f>
        <v>The Vaults|eat_type|pub ++ The Vaults|food|Italian ++ The Vaults|price_range|more than £30 ++ The Vaults|rating|high ++ The Vaults|area|riverside ++ The Vaults|family_friendly|no ++ The Vaults|near|Rainbow Vegetarian Café</v>
      </c>
      <c r="D38" s="99" t="str">
        <f>IFERROR(__xludf.DUMMYFUNCTION("""COMPUTED_VALUE"""),"0.054")</f>
        <v>0.054</v>
      </c>
      <c r="E38" s="99" t="str">
        <f>IFERROR(__xludf.DUMMYFUNCTION("""COMPUTED_VALUE"""),"OK")</f>
        <v>OK</v>
      </c>
      <c r="F38" s="99" t="str">
        <f>IFERROR(__xludf.DUMMYFUNCTION("""COMPUTED_VALUE"""),"omission")</f>
        <v>omission</v>
      </c>
      <c r="G38" s="99" t="str">
        <f>IFERROR(__xludf.DUMMYFUNCTION("""COMPUTED_VALUE"""),"x")</f>
        <v>x</v>
      </c>
      <c r="H38" s="99"/>
      <c r="I38" s="99"/>
      <c r="J38" s="99"/>
      <c r="K38" s="99" t="str">
        <f>IFERROR(__xludf.DUMMYFUNCTION("""COMPUTED_VALUE"""),"x")</f>
        <v>x</v>
      </c>
      <c r="L38" s="99"/>
      <c r="M38" s="99"/>
      <c r="N38" s="99" t="str">
        <f>IFERROR(__xludf.DUMMYFUNCTION("""COMPUTED_VALUE"""),"x")</f>
        <v>x</v>
      </c>
      <c r="O38" s="99"/>
      <c r="P38" s="99" t="str">
        <f>IFERROR(__xludf.DUMMYFUNCTION("""COMPUTED_VALUE"""),"NLI wrongly has omission maybe because it doesn't recognise 'high-priced' as a realisation of more than £30")</f>
        <v>NLI wrongly has omission maybe because it doesn't recognise 'high-priced' as a realisation of more than £30</v>
      </c>
    </row>
    <row r="39">
      <c r="A39" s="99">
        <f>IFERROR(__xludf.DUMMYFUNCTION("""COMPUTED_VALUE"""),90.0)</f>
        <v>90</v>
      </c>
      <c r="B39" s="99" t="str">
        <f>IFERROR(__xludf.DUMMYFUNCTION("""COMPUTED_VALUE"""),"For good prices , bring your family to The Waterman pub . It offers Indian cuisine and is located in the city center near Raja Indian Cuisine .")</f>
        <v>For good prices , bring your family to The Waterman pub . It offers Indian cuisine and is located in the city center near Raja Indian Cuisine .</v>
      </c>
      <c r="C39" s="99" t="str">
        <f>IFERROR(__xludf.DUMMYFUNCTION("""COMPUTED_VALUE"""),"The Waterman|eat_type|pub ++ The Waterman|food|Indian ++ The Waterman|price_range|less than £20 ++ The Waterman|area|city centre ++ The Waterman|family_friendly|no ++ The Waterman|near|Raja Indian Cuisine")</f>
        <v>The Waterman|eat_type|pub ++ The Waterman|food|Indian ++ The Waterman|price_range|less than £20 ++ The Waterman|area|city centre ++ The Waterman|family_friendly|no ++ The Waterman|near|Raja Indian Cuisine</v>
      </c>
      <c r="D39" s="99" t="str">
        <f>IFERROR(__xludf.DUMMYFUNCTION("""COMPUTED_VALUE"""),"0.000")</f>
        <v>0.000</v>
      </c>
      <c r="E39" s="99" t="str">
        <f>IFERROR(__xludf.DUMMYFUNCTION("""COMPUTED_VALUE"""),"omission")</f>
        <v>omission</v>
      </c>
      <c r="F39" s="99" t="str">
        <f>IFERROR(__xludf.DUMMYFUNCTION("""COMPUTED_VALUE"""),"hallucination+omission")</f>
        <v>hallucination+omission</v>
      </c>
      <c r="G39" s="99"/>
      <c r="H39" s="99" t="str">
        <f>IFERROR(__xludf.DUMMYFUNCTION("""COMPUTED_VALUE"""),"x")</f>
        <v>x</v>
      </c>
      <c r="I39" s="99"/>
      <c r="J39" s="99"/>
      <c r="K39" s="99"/>
      <c r="L39" s="99"/>
      <c r="M39" s="99" t="str">
        <f>IFERROR(__xludf.DUMMYFUNCTION("""COMPUTED_VALUE"""),"x")</f>
        <v>x</v>
      </c>
      <c r="N39" s="99"/>
      <c r="O39" s="99"/>
      <c r="P39" s="99" t="str">
        <f>IFERROR(__xludf.DUMMYFUNCTION("""COMPUTED_VALUE"""),"gold misses hallucination ('bring your family to')")</f>
        <v>gold misses hallucination ('bring your family to')</v>
      </c>
    </row>
    <row r="40">
      <c r="A40" s="99">
        <f>IFERROR(__xludf.DUMMYFUNCTION("""COMPUTED_VALUE"""),22.0)</f>
        <v>22</v>
      </c>
      <c r="B40" s="99" t="str">
        <f>IFERROR(__xludf.DUMMYFUNCTION("""COMPUTED_VALUE"""),"Clowns is a pub located a few steps of The Sorrento.")</f>
        <v>Clowns is a pub located a few steps of The Sorrento.</v>
      </c>
      <c r="C40" s="99" t="str">
        <f>IFERROR(__xludf.DUMMYFUNCTION("""COMPUTED_VALUE"""),"Clowns|eat_type|pub ++ Clowns|near|The Sorrento")</f>
        <v>Clowns|eat_type|pub ++ Clowns|near|The Sorrento</v>
      </c>
      <c r="D40" s="99" t="str">
        <f>IFERROR(__xludf.DUMMYFUNCTION("""COMPUTED_VALUE"""),"0.005")</f>
        <v>0.005</v>
      </c>
      <c r="E40" s="99" t="str">
        <f>IFERROR(__xludf.DUMMYFUNCTION("""COMPUTED_VALUE"""),"OK")</f>
        <v>OK</v>
      </c>
      <c r="F40" s="99" t="str">
        <f>IFERROR(__xludf.DUMMYFUNCTION("""COMPUTED_VALUE"""),"hallucination")</f>
        <v>hallucination</v>
      </c>
      <c r="G40" s="99" t="str">
        <f>IFERROR(__xludf.DUMMYFUNCTION("""COMPUTED_VALUE"""),"x")</f>
        <v>x</v>
      </c>
      <c r="H40" s="99"/>
      <c r="I40" s="99"/>
      <c r="J40" s="99"/>
      <c r="K40" s="99"/>
      <c r="L40" s="99"/>
      <c r="M40" s="99"/>
      <c r="N40" s="99"/>
      <c r="O40" s="99" t="str">
        <f>IFERROR(__xludf.DUMMYFUNCTION("""COMPUTED_VALUE"""),"x")</f>
        <v>x</v>
      </c>
      <c r="P40" s="99" t="str">
        <f>IFERROR(__xludf.DUMMYFUNCTION("""COMPUTED_VALUE"""),"NLI wrongly has hallucination (maybe because of 'a few steps')")</f>
        <v>NLI wrongly has hallucination (maybe because of 'a few steps')</v>
      </c>
    </row>
    <row r="41">
      <c r="A41" s="99">
        <f>IFERROR(__xludf.DUMMYFUNCTION("""COMPUTED_VALUE"""),37.0)</f>
        <v>37</v>
      </c>
      <c r="B41" s="99" t="str">
        <f>IFERROR(__xludf.DUMMYFUNCTION("""COMPUTED_VALUE"""),"The Phoenix is a moderately priced French pub located in the city centre near Café Sicilia it is kid friendly and has a customer rating of 3 out of 5.")</f>
        <v>The Phoenix is a moderately priced French pub located in the city centre near Café Sicilia it is kid friendly and has a customer rating of 3 out of 5.</v>
      </c>
      <c r="C41" s="99" t="str">
        <f>IFERROR(__xludf.DUMMYFUNCTION("""COMPUTED_VALUE"""),"The Phoenix|eat_type|pub ++ The Phoenix|food|French ++ The Phoenix|price_range|£20-25 ++ The Phoenix|rating|3 out of 5 ++ The Phoenix|area|city centre ++ The Phoenix|family_friendly|yes ++ The Phoenix|near|Café Sicilia")</f>
        <v>The Phoenix|eat_type|pub ++ The Phoenix|food|French ++ The Phoenix|price_range|£20-25 ++ The Phoenix|rating|3 out of 5 ++ The Phoenix|area|city centre ++ The Phoenix|family_friendly|yes ++ The Phoenix|near|Café Sicilia</v>
      </c>
      <c r="D41" s="99" t="str">
        <f>IFERROR(__xludf.DUMMYFUNCTION("""COMPUTED_VALUE"""),"0.003")</f>
        <v>0.003</v>
      </c>
      <c r="E41" s="99" t="str">
        <f>IFERROR(__xludf.DUMMYFUNCTION("""COMPUTED_VALUE"""),"OK")</f>
        <v>OK</v>
      </c>
      <c r="F41" s="99" t="str">
        <f>IFERROR(__xludf.DUMMYFUNCTION("""COMPUTED_VALUE"""),"omission")</f>
        <v>omission</v>
      </c>
      <c r="G41" s="99" t="str">
        <f>IFERROR(__xludf.DUMMYFUNCTION("""COMPUTED_VALUE"""),"x")</f>
        <v>x</v>
      </c>
      <c r="H41" s="99"/>
      <c r="I41" s="99"/>
      <c r="J41" s="99"/>
      <c r="K41" s="99" t="str">
        <f>IFERROR(__xludf.DUMMYFUNCTION("""COMPUTED_VALUE"""),"x")</f>
        <v>x</v>
      </c>
      <c r="L41" s="99"/>
      <c r="M41" s="99"/>
      <c r="N41" s="99" t="str">
        <f>IFERROR(__xludf.DUMMYFUNCTION("""COMPUTED_VALUE"""),"x")</f>
        <v>x</v>
      </c>
      <c r="O41" s="99"/>
      <c r="P41" s="99" t="str">
        <f>IFERROR(__xludf.DUMMYFUNCTION("""COMPUTED_VALUE"""),"NLI wrongly has omission maybe because it doesn't recognise low priced as a realisation of £20-25")</f>
        <v>NLI wrongly has omission maybe because it doesn't recognise low priced as a realisation of £20-25</v>
      </c>
    </row>
    <row r="42">
      <c r="A42" s="99">
        <f>IFERROR(__xludf.DUMMYFUNCTION("""COMPUTED_VALUE"""),69.0)</f>
        <v>69</v>
      </c>
      <c r="B42" s="99" t="str">
        <f>IFERROR(__xludf.DUMMYFUNCTION("""COMPUTED_VALUE"""),"The Cricketers is a restaurant near Ranch. It has a low rating and is for adults only.")</f>
        <v>The Cricketers is a restaurant near Ranch. It has a low rating and is for adults only.</v>
      </c>
      <c r="C42" s="99" t="str">
        <f>IFERROR(__xludf.DUMMYFUNCTION("""COMPUTED_VALUE"""),"The Cricketers|eat_type|restaurant ++ The Cricketers|rating|low ++ The Cricketers|family_friendly|no ++ The Cricketers|near|Ranch")</f>
        <v>The Cricketers|eat_type|restaurant ++ The Cricketers|rating|low ++ The Cricketers|family_friendly|no ++ The Cricketers|near|Ranch</v>
      </c>
      <c r="D42" s="99" t="str">
        <f>IFERROR(__xludf.DUMMYFUNCTION("""COMPUTED_VALUE"""),"0.012")</f>
        <v>0.012</v>
      </c>
      <c r="E42" s="99" t="str">
        <f>IFERROR(__xludf.DUMMYFUNCTION("""COMPUTED_VALUE"""),"OK")</f>
        <v>OK</v>
      </c>
      <c r="F42" s="99" t="str">
        <f>IFERROR(__xludf.DUMMYFUNCTION("""COMPUTED_VALUE"""),"hallucination")</f>
        <v>hallucination</v>
      </c>
      <c r="G42" s="99"/>
      <c r="H42" s="99"/>
      <c r="I42" s="99" t="str">
        <f>IFERROR(__xludf.DUMMYFUNCTION("""COMPUTED_VALUE"""),"x")</f>
        <v>x</v>
      </c>
      <c r="J42" s="99"/>
      <c r="K42" s="99"/>
      <c r="L42" s="99" t="str">
        <f>IFERROR(__xludf.DUMMYFUNCTION("""COMPUTED_VALUE"""),"x")</f>
        <v>x</v>
      </c>
      <c r="M42" s="99" t="str">
        <f>IFERROR(__xludf.DUMMYFUNCTION("""COMPUTED_VALUE"""),"x")</f>
        <v>x</v>
      </c>
      <c r="N42" s="99"/>
      <c r="O42" s="99"/>
      <c r="P42" s="99" t="str">
        <f>IFERROR(__xludf.DUMMYFUNCTION("""COMPUTED_VALUE"""),"NLI seems to diagnose 'for adults only' for family_friendly=no as an omission because it's not a valid realisation; could go either way: both wrong or just NLI wrong, because if it's not OK it's omission+hallucination")</f>
        <v>NLI seems to diagnose 'for adults only' for family_friendly=no as an omission because it's not a valid realisation; could go either way: both wrong or just NLI wrong, because if it's not OK it's omission+hallucination</v>
      </c>
    </row>
    <row r="43">
      <c r="A43" s="99">
        <f>IFERROR(__xludf.DUMMYFUNCTION("""COMPUTED_VALUE"""),47.0)</f>
        <v>47</v>
      </c>
      <c r="B43" s="99" t="str">
        <f>IFERROR(__xludf.DUMMYFUNCTION("""COMPUTED_VALUE"""),"The Mill is a pub serving English food in the low price range it is located in the riverside near Raja Indian Cuisine it is not family-friendly.")</f>
        <v>The Mill is a pub serving English food in the low price range it is located in the riverside near Raja Indian Cuisine it is not family-friendly.</v>
      </c>
      <c r="C43" s="99" t="str">
        <f>IFERROR(__xludf.DUMMYFUNCTION("""COMPUTED_VALUE"""),"The Mill|eat_type|pub ++ The Mill|food|English ++ The Mill|price_range|less than £20 ++ The Mill|area|riverside ++ The Mill|family_friendly|no ++ The Mill|near|Raja Indian Cuisine")</f>
        <v>The Mill|eat_type|pub ++ The Mill|food|English ++ The Mill|price_range|less than £20 ++ The Mill|area|riverside ++ The Mill|family_friendly|no ++ The Mill|near|Raja Indian Cuisine</v>
      </c>
      <c r="D43" s="99" t="str">
        <f>IFERROR(__xludf.DUMMYFUNCTION("""COMPUTED_VALUE"""),"0.052")</f>
        <v>0.052</v>
      </c>
      <c r="E43" s="99" t="str">
        <f>IFERROR(__xludf.DUMMYFUNCTION("""COMPUTED_VALUE"""),"OK")</f>
        <v>OK</v>
      </c>
      <c r="F43" s="99" t="str">
        <f>IFERROR(__xludf.DUMMYFUNCTION("""COMPUTED_VALUE"""),"omission")</f>
        <v>omission</v>
      </c>
      <c r="G43" s="99" t="str">
        <f>IFERROR(__xludf.DUMMYFUNCTION("""COMPUTED_VALUE"""),"x")</f>
        <v>x</v>
      </c>
      <c r="H43" s="99"/>
      <c r="I43" s="99"/>
      <c r="J43" s="99"/>
      <c r="K43" s="99" t="str">
        <f>IFERROR(__xludf.DUMMYFUNCTION("""COMPUTED_VALUE"""),"x")</f>
        <v>x</v>
      </c>
      <c r="L43" s="99"/>
      <c r="M43" s="99"/>
      <c r="N43" s="99" t="str">
        <f>IFERROR(__xludf.DUMMYFUNCTION("""COMPUTED_VALUE"""),"x")</f>
        <v>x</v>
      </c>
      <c r="O43" s="99"/>
      <c r="P43" s="99" t="str">
        <f>IFERROR(__xludf.DUMMYFUNCTION("""COMPUTED_VALUE"""),"NLI wrongly has omission maybe because it doesn't recognise low priced as a realisation of &lt;£20")</f>
        <v>NLI wrongly has omission maybe because it doesn't recognise low priced as a realisation of &lt;£20</v>
      </c>
    </row>
    <row r="44">
      <c r="A44" s="99">
        <f>IFERROR(__xludf.DUMMYFUNCTION("""COMPUTED_VALUE"""),43.0)</f>
        <v>43</v>
      </c>
      <c r="B44" s="99" t="str">
        <f>IFERROR(__xludf.DUMMYFUNCTION("""COMPUTED_VALUE"""),"There is a Chinese venue in the riverside area near Raja Indian Cuisine . It is kids friendly and has a price range of £ 20 - 25 . It is called The Plough and provide food .")</f>
        <v>There is a Chinese venue in the riverside area near Raja Indian Cuisine . It is kids friendly and has a price range of £ 20 - 25 . It is called The Plough and provide food .</v>
      </c>
      <c r="C44" s="99" t="str">
        <f>IFERROR(__xludf.DUMMYFUNCTION("""COMPUTED_VALUE"""),"The Plough|eat_type|restaurant ++ The Plough|food|Chinese ++ The Plough|price_range|£20-25 ++ The Plough|area|riverside ++ The Plough|family_friendly|yes ++ The Plough|near|Raja Indian Cuisine")</f>
        <v>The Plough|eat_type|restaurant ++ The Plough|food|Chinese ++ The Plough|price_range|£20-25 ++ The Plough|area|riverside ++ The Plough|family_friendly|yes ++ The Plough|near|Raja Indian Cuisine</v>
      </c>
      <c r="D44" s="99" t="str">
        <f>IFERROR(__xludf.DUMMYFUNCTION("""COMPUTED_VALUE"""),"0.928")</f>
        <v>0.928</v>
      </c>
      <c r="E44" s="99" t="str">
        <f>IFERROR(__xludf.DUMMYFUNCTION("""COMPUTED_VALUE"""),"omission")</f>
        <v>omission</v>
      </c>
      <c r="F44" s="99" t="str">
        <f>IFERROR(__xludf.DUMMYFUNCTION("""COMPUTED_VALUE"""),"OK")</f>
        <v>OK</v>
      </c>
      <c r="G44" s="99"/>
      <c r="H44" s="99" t="str">
        <f>IFERROR(__xludf.DUMMYFUNCTION("""COMPUTED_VALUE"""),"x")</f>
        <v>x</v>
      </c>
      <c r="I44" s="99"/>
      <c r="J44" s="99"/>
      <c r="K44" s="99"/>
      <c r="L44" s="99"/>
      <c r="M44" s="99"/>
      <c r="N44" s="99" t="str">
        <f>IFERROR(__xludf.DUMMYFUNCTION("""COMPUTED_VALUE"""),"x")</f>
        <v>x</v>
      </c>
      <c r="O44" s="99"/>
      <c r="P44" s="99" t="str">
        <f>IFERROR(__xludf.DUMMYFUNCTION("""COMPUTED_VALUE"""),"gold wrongly has omission; unclear why")</f>
        <v>gold wrongly has omission; unclear why</v>
      </c>
    </row>
    <row r="45">
      <c r="A45" s="99">
        <f>IFERROR(__xludf.DUMMYFUNCTION("""COMPUTED_VALUE"""),66.0)</f>
        <v>66</v>
      </c>
      <c r="B45" s="99" t="str">
        <f>IFERROR(__xludf.DUMMYFUNCTION("""COMPUTED_VALUE"""),"The Vaults, which is in the city centre area by Raja Indian Cuisine, is a low-priced restaurant offering French cuisine. Children are not welcome.")</f>
        <v>The Vaults, which is in the city centre area by Raja Indian Cuisine, is a low-priced restaurant offering French cuisine. Children are not welcome.</v>
      </c>
      <c r="C45" s="99" t="str">
        <f>IFERROR(__xludf.DUMMYFUNCTION("""COMPUTED_VALUE"""),"The Vaults|eat_type|restaurant ++ The Vaults|food|French ++ The Vaults|price_range|less than £20 ++ The Vaults|area|city centre ++ The Vaults|family_friendly|no ++ The Vaults|near|Raja Indian Cuisine")</f>
        <v>The Vaults|eat_type|restaurant ++ The Vaults|food|French ++ The Vaults|price_range|less than £20 ++ The Vaults|area|city centre ++ The Vaults|family_friendly|no ++ The Vaults|near|Raja Indian Cuisine</v>
      </c>
      <c r="D45" s="99" t="str">
        <f>IFERROR(__xludf.DUMMYFUNCTION("""COMPUTED_VALUE"""),"0.029")</f>
        <v>0.029</v>
      </c>
      <c r="E45" s="99" t="str">
        <f>IFERROR(__xludf.DUMMYFUNCTION("""COMPUTED_VALUE"""),"OK")</f>
        <v>OK</v>
      </c>
      <c r="F45" s="99" t="str">
        <f>IFERROR(__xludf.DUMMYFUNCTION("""COMPUTED_VALUE"""),"omission")</f>
        <v>omission</v>
      </c>
      <c r="G45" s="99" t="str">
        <f>IFERROR(__xludf.DUMMYFUNCTION("""COMPUTED_VALUE"""),"x")</f>
        <v>x</v>
      </c>
      <c r="H45" s="99"/>
      <c r="I45" s="99"/>
      <c r="J45" s="99"/>
      <c r="K45" s="99" t="str">
        <f>IFERROR(__xludf.DUMMYFUNCTION("""COMPUTED_VALUE"""),"x")</f>
        <v>x</v>
      </c>
      <c r="L45" s="99"/>
      <c r="M45" s="99"/>
      <c r="N45" s="99" t="str">
        <f>IFERROR(__xludf.DUMMYFUNCTION("""COMPUTED_VALUE"""),"x")</f>
        <v>x</v>
      </c>
      <c r="O45" s="99"/>
      <c r="P45" s="99" t="str">
        <f>IFERROR(__xludf.DUMMYFUNCTION("""COMPUTED_VALUE"""),"NLI wrongly has omission maybe because it doesn't recognise low-priced as a realisation of &lt;£20")</f>
        <v>NLI wrongly has omission maybe because it doesn't recognise low-priced as a realisation of &lt;£20</v>
      </c>
    </row>
    <row r="46">
      <c r="A46" s="99">
        <f>IFERROR(__xludf.DUMMYFUNCTION("""COMPUTED_VALUE"""),113.0)</f>
        <v>113</v>
      </c>
      <c r="B46" s="99" t="str">
        <f>IFERROR(__xludf.DUMMYFUNCTION("""COMPUTED_VALUE"""),"The Cricketers, which has a high customer rating, is an average-priced restaurant that serves English cuisine. It is located in the city centre area and can be found near All Bar One. It is kid-friendly.")</f>
        <v>The Cricketers, which has a high customer rating, is an average-priced restaurant that serves English cuisine. It is located in the city centre area and can be found near All Bar One. It is kid-friendly.</v>
      </c>
      <c r="C46" s="99" t="str">
        <f>IFERROR(__xludf.DUMMYFUNCTION("""COMPUTED_VALUE"""),"The Cricketers|eat_type|restaurant ++ The Cricketers|food|English ++ The Cricketers|price_range|Â£20-25 ++ The Cricketers|rating|high ++ The Cricketers|area|city centre ++ The Cricketers|family_friendly|yes ++ The Cricketers|near|All Bar One")</f>
        <v>The Cricketers|eat_type|restaurant ++ The Cricketers|food|English ++ The Cricketers|price_range|Â£20-25 ++ The Cricketers|rating|high ++ The Cricketers|area|city centre ++ The Cricketers|family_friendly|yes ++ The Cricketers|near|All Bar One</v>
      </c>
      <c r="D46" s="99" t="str">
        <f>IFERROR(__xludf.DUMMYFUNCTION("""COMPUTED_VALUE"""),"0.002")</f>
        <v>0.002</v>
      </c>
      <c r="E46" s="99" t="str">
        <f>IFERROR(__xludf.DUMMYFUNCTION("""COMPUTED_VALUE"""),"OK")</f>
        <v>OK</v>
      </c>
      <c r="F46" s="99" t="str">
        <f>IFERROR(__xludf.DUMMYFUNCTION("""COMPUTED_VALUE"""),"omission")</f>
        <v>omission</v>
      </c>
      <c r="G46" s="99" t="str">
        <f>IFERROR(__xludf.DUMMYFUNCTION("""COMPUTED_VALUE"""),"x")</f>
        <v>x</v>
      </c>
      <c r="H46" s="99"/>
      <c r="I46" s="99"/>
      <c r="J46" s="99"/>
      <c r="K46" s="99" t="str">
        <f>IFERROR(__xludf.DUMMYFUNCTION("""COMPUTED_VALUE"""),"x")</f>
        <v>x</v>
      </c>
      <c r="L46" s="99"/>
      <c r="M46" s="99"/>
      <c r="N46" s="99" t="str">
        <f>IFERROR(__xludf.DUMMYFUNCTION("""COMPUTED_VALUE"""),"x")</f>
        <v>x</v>
      </c>
      <c r="O46" s="99"/>
      <c r="P46" s="99" t="str">
        <f>IFERROR(__xludf.DUMMYFUNCTION("""COMPUTED_VALUE"""),"NLI wrongly has omission maybe because it doesn't recognise average-priced as a realisation of £20-25")</f>
        <v>NLI wrongly has omission maybe because it doesn't recognise average-priced as a realisation of £20-25</v>
      </c>
    </row>
    <row r="47">
      <c r="A47" s="99">
        <f>IFERROR(__xludf.DUMMYFUNCTION("""COMPUTED_VALUE"""),9.0)</f>
        <v>9</v>
      </c>
      <c r="B47" s="99" t="str">
        <f>IFERROR(__xludf.DUMMYFUNCTION("""COMPUTED_VALUE"""),"Giraffe is a French restaurant in the riverside near Raja Indian Cuisine, it is not family-friendly. It is a pub.")</f>
        <v>Giraffe is a French restaurant in the riverside near Raja Indian Cuisine, it is not family-friendly. It is a pub.</v>
      </c>
      <c r="C47" s="99" t="str">
        <f>IFERROR(__xludf.DUMMYFUNCTION("""COMPUTED_VALUE"""),"Giraffe|eat_type|pub ++ Giraffe|food|French ++ Giraffe|area|riverside ++ Giraffe|family_friendly|no ++ Giraffe|near|Raja Indian Cuisine")</f>
        <v>Giraffe|eat_type|pub ++ Giraffe|food|French ++ Giraffe|area|riverside ++ Giraffe|family_friendly|no ++ Giraffe|near|Raja Indian Cuisine</v>
      </c>
      <c r="D47" s="99" t="str">
        <f>IFERROR(__xludf.DUMMYFUNCTION("""COMPUTED_VALUE"""),"0.771")</f>
        <v>0.771</v>
      </c>
      <c r="E47" s="99" t="str">
        <f>IFERROR(__xludf.DUMMYFUNCTION("""COMPUTED_VALUE"""),"hallucination")</f>
        <v>hallucination</v>
      </c>
      <c r="F47" s="99" t="str">
        <f>IFERROR(__xludf.DUMMYFUNCTION("""COMPUTED_VALUE"""),"OK")</f>
        <v>OK</v>
      </c>
      <c r="G47" s="99" t="str">
        <f>IFERROR(__xludf.DUMMYFUNCTION("""COMPUTED_VALUE"""),"x")</f>
        <v>x</v>
      </c>
      <c r="H47" s="99"/>
      <c r="I47" s="99"/>
      <c r="J47" s="99"/>
      <c r="K47" s="99"/>
      <c r="L47" s="99"/>
      <c r="M47" s="99" t="str">
        <f>IFERROR(__xludf.DUMMYFUNCTION("""COMPUTED_VALUE"""),"x")</f>
        <v>x</v>
      </c>
      <c r="N47" s="99"/>
      <c r="O47" s="99"/>
      <c r="P47" s="99" t="str">
        <f>IFERROR(__xludf.DUMMYFUNCTION("""COMPUTED_VALUE"""),"NLI wrongly has OK (eat_type=pub but both 'restaurant' and pub)")</f>
        <v>NLI wrongly has OK (eat_type=pub but both 'restaurant' and pub)</v>
      </c>
    </row>
    <row r="48">
      <c r="A48" s="99">
        <f>IFERROR(__xludf.DUMMYFUNCTION("""COMPUTED_VALUE"""),12.0)</f>
        <v>12</v>
      </c>
      <c r="B48" s="99" t="str">
        <f>IFERROR(__xludf.DUMMYFUNCTION("""COMPUTED_VALUE"""),"Located near Café Sicilia in the city centre, The Mill is a Fast food pub with a high price range and an average customer rating and is not child friendly.")</f>
        <v>Located near Café Sicilia in the city centre, The Mill is a Fast food pub with a high price range and an average customer rating and is not child friendly.</v>
      </c>
      <c r="C48" s="99" t="str">
        <f>IFERROR(__xludf.DUMMYFUNCTION("""COMPUTED_VALUE"""),"The Mill|eat_type|pub ++ The Mill|food|Fast food ++ The Mill|price_range|high ++ The Mill|rating|average ++ The Mill|area|city centre ++ The Mill|family_friendly|no ++ The Mill|near|Café Sicilia")</f>
        <v>The Mill|eat_type|pub ++ The Mill|food|Fast food ++ The Mill|price_range|high ++ The Mill|rating|average ++ The Mill|area|city centre ++ The Mill|family_friendly|no ++ The Mill|near|Café Sicilia</v>
      </c>
      <c r="D48" s="99" t="str">
        <f>IFERROR(__xludf.DUMMYFUNCTION("""COMPUTED_VALUE"""),"0.973")</f>
        <v>0.973</v>
      </c>
      <c r="E48" s="99" t="str">
        <f>IFERROR(__xludf.DUMMYFUNCTION("""COMPUTED_VALUE"""),"hallucination")</f>
        <v>hallucination</v>
      </c>
      <c r="F48" s="99" t="str">
        <f>IFERROR(__xludf.DUMMYFUNCTION("""COMPUTED_VALUE"""),"OK")</f>
        <v>OK</v>
      </c>
      <c r="G48" s="99"/>
      <c r="H48" s="99" t="str">
        <f>IFERROR(__xludf.DUMMYFUNCTION("""COMPUTED_VALUE"""),"x")</f>
        <v>x</v>
      </c>
      <c r="I48" s="99"/>
      <c r="J48" s="99"/>
      <c r="K48" s="99"/>
      <c r="L48" s="99"/>
      <c r="M48" s="99"/>
      <c r="N48" s="99"/>
      <c r="O48" s="99" t="str">
        <f>IFERROR(__xludf.DUMMYFUNCTION("""COMPUTED_VALUE"""),"x")</f>
        <v>x</v>
      </c>
      <c r="P48" s="99" t="str">
        <f>IFERROR(__xludf.DUMMYFUNCTION("""COMPUTED_VALUE"""),"gold wrongly has hallucination; unclear why")</f>
        <v>gold wrongly has hallucination; unclear why</v>
      </c>
    </row>
    <row r="49">
      <c r="A49" s="99">
        <f>IFERROR(__xludf.DUMMYFUNCTION("""COMPUTED_VALUE"""),17.0)</f>
        <v>17</v>
      </c>
      <c r="B49" s="99" t="str">
        <f>IFERROR(__xludf.DUMMYFUNCTION("""COMPUTED_VALUE"""),"Less than £20 French food for all the family can be found at The Phoenix pub, near Crowne Plaza Hotel, in the city centre area. Average ratings.")</f>
        <v>Less than £20 French food for all the family can be found at The Phoenix pub, near Crowne Plaza Hotel, in the city centre area. Average ratings.</v>
      </c>
      <c r="C49" s="99" t="str">
        <f>IFERROR(__xludf.DUMMYFUNCTION("""COMPUTED_VALUE"""),"The Phoenix|eat_type|pub ++ The Phoenix|food|French ++ The Phoenix|price_range|less than £20 ++ The Phoenix|rating|average ++ The Phoenix|area|city centre ++ The Phoenix|family_friendly|yes ++ The Phoenix|near|Crowne Plaza Hotel")</f>
        <v>The Phoenix|eat_type|pub ++ The Phoenix|food|French ++ The Phoenix|price_range|less than £20 ++ The Phoenix|rating|average ++ The Phoenix|area|city centre ++ The Phoenix|family_friendly|yes ++ The Phoenix|near|Crowne Plaza Hotel</v>
      </c>
      <c r="D49" s="99" t="str">
        <f>IFERROR(__xludf.DUMMYFUNCTION("""COMPUTED_VALUE"""),"0.682")</f>
        <v>0.682</v>
      </c>
      <c r="E49" s="99" t="str">
        <f>IFERROR(__xludf.DUMMYFUNCTION("""COMPUTED_VALUE"""),"omission")</f>
        <v>omission</v>
      </c>
      <c r="F49" s="99" t="str">
        <f>IFERROR(__xludf.DUMMYFUNCTION("""COMPUTED_VALUE"""),"OK")</f>
        <v>OK</v>
      </c>
      <c r="G49" s="99"/>
      <c r="H49" s="99" t="str">
        <f>IFERROR(__xludf.DUMMYFUNCTION("""COMPUTED_VALUE"""),"x")</f>
        <v>x</v>
      </c>
      <c r="I49" s="99"/>
      <c r="J49" s="99"/>
      <c r="K49" s="99"/>
      <c r="L49" s="99"/>
      <c r="M49" s="99"/>
      <c r="N49" s="99" t="str">
        <f>IFERROR(__xludf.DUMMYFUNCTION("""COMPUTED_VALUE"""),"x")</f>
        <v>x</v>
      </c>
      <c r="O49" s="99"/>
      <c r="P49" s="99" t="str">
        <f>IFERROR(__xludf.DUMMYFUNCTION("""COMPUTED_VALUE"""),"NLI wrongly has omission; unclear why")</f>
        <v>NLI wrongly has omission; unclear why</v>
      </c>
    </row>
    <row r="50">
      <c r="A50" s="99">
        <f>IFERROR(__xludf.DUMMYFUNCTION("""COMPUTED_VALUE"""),14.0)</f>
        <v>14</v>
      </c>
      <c r="B50" s="99" t="str">
        <f>IFERROR(__xludf.DUMMYFUNCTION("""COMPUTED_VALUE"""),"The Mill is a family - friendly restaurant offering spaghetti and breakfast at prices . It is located near Raja Indian Cuisine .")</f>
        <v>The Mill is a family - friendly restaurant offering spaghetti and breakfast at prices . It is located near Raja Indian Cuisine .</v>
      </c>
      <c r="C50" s="99" t="str">
        <f>IFERROR(__xludf.DUMMYFUNCTION("""COMPUTED_VALUE"""),"The Mill|eat_type|restaurant ++ The Mill|food|English ++ The Mill|price_range|more than £30 ++ The Mill|area|riverside ++ The Mill|family_friendly|yes ++ The Mill|near|Raja Indian Cuisine")</f>
        <v>The Mill|eat_type|restaurant ++ The Mill|food|English ++ The Mill|price_range|more than £30 ++ The Mill|area|riverside ++ The Mill|family_friendly|yes ++ The Mill|near|Raja Indian Cuisine</v>
      </c>
      <c r="D50" s="99" t="str">
        <f>IFERROR(__xludf.DUMMYFUNCTION("""COMPUTED_VALUE"""),"0.003")</f>
        <v>0.003</v>
      </c>
      <c r="E50" s="99" t="str">
        <f>IFERROR(__xludf.DUMMYFUNCTION("""COMPUTED_VALUE"""),"omission")</f>
        <v>omission</v>
      </c>
      <c r="F50" s="99" t="str">
        <f>IFERROR(__xludf.DUMMYFUNCTION("""COMPUTED_VALUE"""),"hallucination+omission")</f>
        <v>hallucination+omission</v>
      </c>
      <c r="G50" s="99"/>
      <c r="H50" s="99" t="str">
        <f>IFERROR(__xludf.DUMMYFUNCTION("""COMPUTED_VALUE"""),"x")</f>
        <v>x</v>
      </c>
      <c r="I50" s="99"/>
      <c r="J50" s="99"/>
      <c r="K50" s="99"/>
      <c r="L50" s="99"/>
      <c r="M50" s="99" t="str">
        <f>IFERROR(__xludf.DUMMYFUNCTION("""COMPUTED_VALUE"""),"x")</f>
        <v>x</v>
      </c>
      <c r="N50" s="99"/>
      <c r="O50" s="99"/>
      <c r="P50" s="99" t="str">
        <f>IFERROR(__xludf.DUMMYFUNCTION("""COMPUTED_VALUE"""),"gold misses hallucination ('spaghetti', 'breakfast'); unclear why")</f>
        <v>gold misses hallucination ('spaghetti', 'breakfast'); unclear why</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4">
        <f>IFERROR(__xludf.DUMMYFUNCTION("{ QUERY({ 'Copy of TCF-E2E'!A54:P103}, ""SELECT * LIMIT 50"",0)}"),99.0)</f>
        <v>99</v>
      </c>
      <c r="B1" s="99" t="str">
        <f>IFERROR(__xludf.DUMMYFUNCTION("""COMPUTED_VALUE"""),"The Mill is a child friendly English restaurant in the riverside area near Café Rouge. It has a high price range and an average customer rating.")</f>
        <v>The Mill is a child friendly English restaurant in the riverside area near Café Rouge. It has a high price range and an average customer rating.</v>
      </c>
      <c r="C1" s="99" t="str">
        <f>IFERROR(__xludf.DUMMYFUNCTION("""COMPUTED_VALUE"""),"The Mill|eat_type|restaurant ++ The Mill|food|English ++ The Mill|price_range|high ++ The Mill|rating|average ++ The Mill|area|riverside ++ The Mill|family_friendly|yes ++ The Mill|near|Café Rouge")</f>
        <v>The Mill|eat_type|restaurant ++ The Mill|food|English ++ The Mill|price_range|high ++ The Mill|rating|average ++ The Mill|area|riverside ++ The Mill|family_friendly|yes ++ The Mill|near|Café Rouge</v>
      </c>
      <c r="D1" s="99" t="str">
        <f>IFERROR(__xludf.DUMMYFUNCTION("""COMPUTED_VALUE"""),"0.973")</f>
        <v>0.973</v>
      </c>
      <c r="E1" s="99" t="str">
        <f>IFERROR(__xludf.DUMMYFUNCTION("""COMPUTED_VALUE"""),"hallucination")</f>
        <v>hallucination</v>
      </c>
      <c r="F1" s="99" t="str">
        <f>IFERROR(__xludf.DUMMYFUNCTION("""COMPUTED_VALUE"""),"OK")</f>
        <v>OK</v>
      </c>
      <c r="G1" s="99"/>
      <c r="H1" s="99" t="str">
        <f>IFERROR(__xludf.DUMMYFUNCTION("""COMPUTED_VALUE"""),"x")</f>
        <v>x</v>
      </c>
      <c r="I1" s="99"/>
      <c r="J1" s="99"/>
      <c r="K1" s="99"/>
      <c r="L1" s="99"/>
      <c r="M1" s="99"/>
      <c r="N1" s="99"/>
      <c r="O1" s="99"/>
      <c r="P1" s="99"/>
    </row>
    <row r="2">
      <c r="A2" s="99">
        <f>IFERROR(__xludf.DUMMYFUNCTION("""COMPUTED_VALUE"""),118.0)</f>
        <v>118</v>
      </c>
      <c r="B2" s="99" t="str">
        <f>IFERROR(__xludf.DUMMYFUNCTION("""COMPUTED_VALUE"""),"In the area of city centre near Raja Indian Cuisine is The Waterman, it is a pub. It is not kid friendly and the Indian is moderately expensive.")</f>
        <v>In the area of city centre near Raja Indian Cuisine is The Waterman, it is a pub. It is not kid friendly and the Indian is moderately expensive.</v>
      </c>
      <c r="C2" s="99" t="str">
        <f>IFERROR(__xludf.DUMMYFUNCTION("""COMPUTED_VALUE"""),"The Waterman|eat_type|pub ++ The Waterman|food|Indian ++ The Waterman|price_range|moderate ++ The Waterman|area|city centre ++ The Waterman|family_friendly|no ++ The Waterman|near|Raja Indian Cuisine")</f>
        <v>The Waterman|eat_type|pub ++ The Waterman|food|Indian ++ The Waterman|price_range|moderate ++ The Waterman|area|city centre ++ The Waterman|family_friendly|no ++ The Waterman|near|Raja Indian Cuisine</v>
      </c>
      <c r="D2" s="99" t="str">
        <f>IFERROR(__xludf.DUMMYFUNCTION("""COMPUTED_VALUE"""),"0.968")</f>
        <v>0.968</v>
      </c>
      <c r="E2" s="99" t="str">
        <f>IFERROR(__xludf.DUMMYFUNCTION("""COMPUTED_VALUE"""),"hallucination+omission")</f>
        <v>hallucination+omission</v>
      </c>
      <c r="F2" s="99" t="str">
        <f>IFERROR(__xludf.DUMMYFUNCTION("""COMPUTED_VALUE"""),"OK")</f>
        <v>OK</v>
      </c>
      <c r="G2" s="99" t="str">
        <f>IFERROR(__xludf.DUMMYFUNCTION("""COMPUTED_VALUE"""),"x")</f>
        <v>x</v>
      </c>
      <c r="H2" s="99"/>
      <c r="I2" s="99"/>
      <c r="J2" s="99"/>
      <c r="K2" s="99"/>
      <c r="L2" s="99"/>
      <c r="M2" s="99"/>
      <c r="N2" s="99"/>
      <c r="O2" s="99"/>
      <c r="P2" s="99"/>
    </row>
    <row r="3">
      <c r="A3" s="99">
        <f>IFERROR(__xludf.DUMMYFUNCTION("""COMPUTED_VALUE"""),19.0)</f>
        <v>19</v>
      </c>
      <c r="B3" s="99" t="str">
        <f>IFERROR(__xludf.DUMMYFUNCTION("""COMPUTED_VALUE"""),"There is a restaurant, The Punter, serving English food along the city centre near Raja Indian Cuisine. It is not kids friendly and is highly priced.")</f>
        <v>There is a restaurant, The Punter, serving English food along the city centre near Raja Indian Cuisine. It is not kids friendly and is highly priced.</v>
      </c>
      <c r="C3" s="99" t="str">
        <f>IFERROR(__xludf.DUMMYFUNCTION("""COMPUTED_VALUE"""),"The Punter|eat_type|restaurant ++ The Punter|food|English ++ The Punter|price_range|high ++ The Punter|area|city centre ++ The Punter|family_friendly|no ++ The Punter|near|Raja Indian Cuisine")</f>
        <v>The Punter|eat_type|restaurant ++ The Punter|food|English ++ The Punter|price_range|high ++ The Punter|area|city centre ++ The Punter|family_friendly|no ++ The Punter|near|Raja Indian Cuisine</v>
      </c>
      <c r="D3" s="99" t="str">
        <f>IFERROR(__xludf.DUMMYFUNCTION("""COMPUTED_VALUE"""),"0.977")</f>
        <v>0.977</v>
      </c>
      <c r="E3" s="99" t="str">
        <f>IFERROR(__xludf.DUMMYFUNCTION("""COMPUTED_VALUE"""),"omission")</f>
        <v>omission</v>
      </c>
      <c r="F3" s="99" t="str">
        <f>IFERROR(__xludf.DUMMYFUNCTION("""COMPUTED_VALUE"""),"OK")</f>
        <v>OK</v>
      </c>
      <c r="G3" s="99"/>
      <c r="H3" s="99" t="str">
        <f>IFERROR(__xludf.DUMMYFUNCTION("""COMPUTED_VALUE"""),"x")</f>
        <v>x</v>
      </c>
      <c r="I3" s="99"/>
      <c r="J3" s="99"/>
      <c r="K3" s="99"/>
      <c r="L3" s="99"/>
      <c r="M3" s="99"/>
      <c r="N3" s="99"/>
      <c r="O3" s="99"/>
      <c r="P3" s="99"/>
    </row>
    <row r="4">
      <c r="A4" s="99">
        <f>IFERROR(__xludf.DUMMYFUNCTION("""COMPUTED_VALUE"""),117.0)</f>
        <v>117</v>
      </c>
      <c r="B4" s="99" t="str">
        <f>IFERROR(__xludf.DUMMYFUNCTION("""COMPUTED_VALUE"""),"The Mill is a pub that serve fast food . It can be found in the riverside area near CafÃ© Rouge . It has high prices and provides a kid friendly atmosphere .")</f>
        <v>The Mill is a pub that serve fast food . It can be found in the riverside area near CafÃ© Rouge . It has high prices and provides a kid friendly atmosphere .</v>
      </c>
      <c r="C4" s="99" t="str">
        <f>IFERROR(__xludf.DUMMYFUNCTION("""COMPUTED_VALUE"""),"The Mill|eat_type|pub ++ The Mill|food|Fast food ++ The Mill|price_range|Â£20-25 ++ The Mill|rating|high ++ The Mill|area|riverside ++ The Mill|family_friendly|yes ++ The Mill|near|CafÃ© Rouge")</f>
        <v>The Mill|eat_type|pub ++ The Mill|food|Fast food ++ The Mill|price_range|Â£20-25 ++ The Mill|rating|high ++ The Mill|area|riverside ++ The Mill|family_friendly|yes ++ The Mill|near|CafÃ© Rouge</v>
      </c>
      <c r="D4" s="99" t="str">
        <f>IFERROR(__xludf.DUMMYFUNCTION("""COMPUTED_VALUE"""),"0.006")</f>
        <v>0.006</v>
      </c>
      <c r="E4" s="99" t="str">
        <f>IFERROR(__xludf.DUMMYFUNCTION("""COMPUTED_VALUE"""),"hallucination+omission")</f>
        <v>hallucination+omission</v>
      </c>
      <c r="F4" s="99" t="str">
        <f>IFERROR(__xludf.DUMMYFUNCTION("""COMPUTED_VALUE"""),"omission")</f>
        <v>omission</v>
      </c>
      <c r="G4" s="99" t="str">
        <f>IFERROR(__xludf.DUMMYFUNCTION("""COMPUTED_VALUE"""),"x")</f>
        <v>x</v>
      </c>
      <c r="H4" s="99"/>
      <c r="I4" s="99"/>
      <c r="J4" s="99"/>
      <c r="K4" s="99" t="str">
        <f>IFERROR(__xludf.DUMMYFUNCTION("""COMPUTED_VALUE"""),"x")</f>
        <v>x</v>
      </c>
      <c r="L4" s="99"/>
      <c r="M4" s="99"/>
      <c r="N4" s="99"/>
      <c r="O4" s="99"/>
      <c r="P4" s="99"/>
    </row>
    <row r="5">
      <c r="A5" s="99">
        <f>IFERROR(__xludf.DUMMYFUNCTION("""COMPUTED_VALUE"""),2.0)</f>
        <v>2</v>
      </c>
      <c r="B5" s="99" t="str">
        <f>IFERROR(__xludf.DUMMYFUNCTION("""COMPUTED_VALUE"""),"The Phoenix, which offers fast food, is a mid-priced pub. It has a customer rating of 3 out of 5. It is in riverside near Café Sicilia. It is family-friendly.")</f>
        <v>The Phoenix, which offers fast food, is a mid-priced pub. It has a customer rating of 3 out of 5. It is in riverside near Café Sicilia. It is family-friendly.</v>
      </c>
      <c r="C5" s="99" t="str">
        <f>IFERROR(__xludf.DUMMYFUNCTION("""COMPUTED_VALUE"""),"The Phoenix|eat_type|pub ++ The Phoenix|food|Fast food ++ The Phoenix|price_range|moderate ++ The Phoenix|rating|3 out of 5 ++ The Phoenix|area|riverside ++ The Phoenix|family_friendly|yes ++ The Phoenix|near|Café Sicilia")</f>
        <v>The Phoenix|eat_type|pub ++ The Phoenix|food|Fast food ++ The Phoenix|price_range|moderate ++ The Phoenix|rating|3 out of 5 ++ The Phoenix|area|riverside ++ The Phoenix|family_friendly|yes ++ The Phoenix|near|Café Sicilia</v>
      </c>
      <c r="D5" s="99" t="str">
        <f>IFERROR(__xludf.DUMMYFUNCTION("""COMPUTED_VALUE"""),"0.985")</f>
        <v>0.985</v>
      </c>
      <c r="E5" s="99" t="str">
        <f>IFERROR(__xludf.DUMMYFUNCTION("""COMPUTED_VALUE"""),"omission")</f>
        <v>omission</v>
      </c>
      <c r="F5" s="99" t="str">
        <f>IFERROR(__xludf.DUMMYFUNCTION("""COMPUTED_VALUE"""),"OK")</f>
        <v>OK</v>
      </c>
      <c r="G5" s="99"/>
      <c r="H5" s="99" t="str">
        <f>IFERROR(__xludf.DUMMYFUNCTION("""COMPUTED_VALUE"""),"x")</f>
        <v>x</v>
      </c>
      <c r="I5" s="99"/>
      <c r="J5" s="99"/>
      <c r="K5" s="99"/>
      <c r="L5" s="99"/>
      <c r="M5" s="99"/>
      <c r="N5" s="99"/>
      <c r="O5" s="99"/>
      <c r="P5" s="99"/>
    </row>
    <row r="6">
      <c r="A6" s="99">
        <f>IFERROR(__xludf.DUMMYFUNCTION("""COMPUTED_VALUE"""),30.0)</f>
        <v>30</v>
      </c>
      <c r="B6" s="99" t="str">
        <f>IFERROR(__xludf.DUMMYFUNCTION("""COMPUTED_VALUE"""),"The Vaults, which has an average customer rating, is a cheap pub that serves Japanese cuisine. It is located in the city centre area and can be found near Raja Indian Cuisine. Children are welcome.")</f>
        <v>The Vaults, which has an average customer rating, is a cheap pub that serves Japanese cuisine. It is located in the city centre area and can be found near Raja Indian Cuisine. Children are welcome.</v>
      </c>
      <c r="C6" s="99" t="str">
        <f>IFERROR(__xludf.DUMMYFUNCTION("""COMPUTED_VALUE"""),"The Vaults|eat_type|pub ++ The Vaults|food|Japanese ++ The Vaults|price_range|less than £20 ++ The Vaults|rating|average ++ The Vaults|area|city centre ++ The Vaults|family_friendly|yes ++ The Vaults|near|Raja Indian Cuisine")</f>
        <v>The Vaults|eat_type|pub ++ The Vaults|food|Japanese ++ The Vaults|price_range|less than £20 ++ The Vaults|rating|average ++ The Vaults|area|city centre ++ The Vaults|family_friendly|yes ++ The Vaults|near|Raja Indian Cuisine</v>
      </c>
      <c r="D6" s="99" t="str">
        <f>IFERROR(__xludf.DUMMYFUNCTION("""COMPUTED_VALUE"""),"0.122")</f>
        <v>0.122</v>
      </c>
      <c r="E6" s="99" t="str">
        <f>IFERROR(__xludf.DUMMYFUNCTION("""COMPUTED_VALUE"""),"OK")</f>
        <v>OK</v>
      </c>
      <c r="F6" s="99" t="str">
        <f>IFERROR(__xludf.DUMMYFUNCTION("""COMPUTED_VALUE"""),"omission")</f>
        <v>omission</v>
      </c>
      <c r="G6" s="99" t="str">
        <f>IFERROR(__xludf.DUMMYFUNCTION("""COMPUTED_VALUE"""),"x")</f>
        <v>x</v>
      </c>
      <c r="H6" s="99"/>
      <c r="I6" s="99"/>
      <c r="J6" s="99"/>
      <c r="K6" s="99"/>
      <c r="L6" s="99"/>
      <c r="M6" s="99"/>
      <c r="N6" s="99"/>
      <c r="O6" s="99"/>
      <c r="P6" s="99"/>
    </row>
    <row r="7">
      <c r="A7" s="99">
        <f>IFERROR(__xludf.DUMMYFUNCTION("""COMPUTED_VALUE"""),28.0)</f>
        <v>28</v>
      </c>
      <c r="B7" s="99" t="str">
        <f>IFERROR(__xludf.DUMMYFUNCTION("""COMPUTED_VALUE"""),"The Vaults is a italian pub in the city centre near Rainbow Vegetarian Café. It is children friendly and has a high price range and an average customer rating.")</f>
        <v>The Vaults is a italian pub in the city centre near Rainbow Vegetarian Café. It is children friendly and has a high price range and an average customer rating.</v>
      </c>
      <c r="C7" s="99" t="str">
        <f>IFERROR(__xludf.DUMMYFUNCTION("""COMPUTED_VALUE"""),"The Vaults|eat_type|pub ++ The Vaults|food|Italian ++ The Vaults|price_range|high ++ The Vaults|rating|average ++ The Vaults|area|city centre ++ The Vaults|family_friendly|yes ++ The Vaults|near|Rainbow Vegetarian Café")</f>
        <v>The Vaults|eat_type|pub ++ The Vaults|food|Italian ++ The Vaults|price_range|high ++ The Vaults|rating|average ++ The Vaults|area|city centre ++ The Vaults|family_friendly|yes ++ The Vaults|near|Rainbow Vegetarian Café</v>
      </c>
      <c r="D7" s="99" t="str">
        <f>IFERROR(__xludf.DUMMYFUNCTION("""COMPUTED_VALUE"""),"0.976")</f>
        <v>0.976</v>
      </c>
      <c r="E7" s="99" t="str">
        <f>IFERROR(__xludf.DUMMYFUNCTION("""COMPUTED_VALUE"""),"hallucination")</f>
        <v>hallucination</v>
      </c>
      <c r="F7" s="99" t="str">
        <f>IFERROR(__xludf.DUMMYFUNCTION("""COMPUTED_VALUE"""),"OK")</f>
        <v>OK</v>
      </c>
      <c r="G7" s="99"/>
      <c r="H7" s="99" t="str">
        <f>IFERROR(__xludf.DUMMYFUNCTION("""COMPUTED_VALUE"""),"x")</f>
        <v>x</v>
      </c>
      <c r="I7" s="99"/>
      <c r="J7" s="99"/>
      <c r="K7" s="99"/>
      <c r="L7" s="99"/>
      <c r="M7" s="99"/>
      <c r="N7" s="99"/>
      <c r="O7" s="99"/>
      <c r="P7" s="99"/>
    </row>
    <row r="8">
      <c r="A8" s="99">
        <f>IFERROR(__xludf.DUMMYFUNCTION("""COMPUTED_VALUE"""),73.0)</f>
        <v>73</v>
      </c>
      <c r="B8" s="99" t="str">
        <f>IFERROR(__xludf.DUMMYFUNCTION("""COMPUTED_VALUE"""),"The Punter is a restaurant in the riverside area that has a 1 out of 5 customer rating. Although it has a higher price range, it is children friendly, serves Italian food and is near the Rainbow Vegetarian Café.")</f>
        <v>The Punter is a restaurant in the riverside area that has a 1 out of 5 customer rating. Although it has a higher price range, it is children friendly, serves Italian food and is near the Rainbow Vegetarian Café.</v>
      </c>
      <c r="C8" s="99" t="str">
        <f>IFERROR(__xludf.DUMMYFUNCTION("""COMPUTED_VALUE"""),"The Punter|eat_type|restaurant ++ The Punter|food|Italian ++ The Punter|price_range|high ++ The Punter|rating|1 out of 5 ++ The Punter|area|riverside ++ The Punter|family_friendly|yes ++ The Punter|near|Rainbow Vegetarian Café")</f>
        <v>The Punter|eat_type|restaurant ++ The Punter|food|Italian ++ The Punter|price_range|high ++ The Punter|rating|1 out of 5 ++ The Punter|area|riverside ++ The Punter|family_friendly|yes ++ The Punter|near|Rainbow Vegetarian Café</v>
      </c>
      <c r="D8" s="99" t="str">
        <f>IFERROR(__xludf.DUMMYFUNCTION("""COMPUTED_VALUE"""),"0.966")</f>
        <v>0.966</v>
      </c>
      <c r="E8" s="99" t="str">
        <f>IFERROR(__xludf.DUMMYFUNCTION("""COMPUTED_VALUE"""),"omission")</f>
        <v>omission</v>
      </c>
      <c r="F8" s="99" t="str">
        <f>IFERROR(__xludf.DUMMYFUNCTION("""COMPUTED_VALUE"""),"OK")</f>
        <v>OK</v>
      </c>
      <c r="G8" s="99"/>
      <c r="H8" s="99" t="str">
        <f>IFERROR(__xludf.DUMMYFUNCTION("""COMPUTED_VALUE"""),"x")</f>
        <v>x</v>
      </c>
      <c r="I8" s="99"/>
      <c r="J8" s="99"/>
      <c r="K8" s="99"/>
      <c r="L8" s="99"/>
      <c r="M8" s="99"/>
      <c r="N8" s="99"/>
      <c r="O8" s="99"/>
      <c r="P8" s="99"/>
    </row>
    <row r="9">
      <c r="A9" s="99">
        <f>IFERROR(__xludf.DUMMYFUNCTION("""COMPUTED_VALUE"""),75.0)</f>
        <v>75</v>
      </c>
      <c r="B9" s="99" t="str">
        <f>IFERROR(__xludf.DUMMYFUNCTION("""COMPUTED_VALUE"""),"Non-kid-friendly The Waterman is a low-priced pub serving Italian cuisine. It is located in the city centre area and can be found near Raja Indian Cuisine.")</f>
        <v>Non-kid-friendly The Waterman is a low-priced pub serving Italian cuisine. It is located in the city centre area and can be found near Raja Indian Cuisine.</v>
      </c>
      <c r="C9" s="99" t="str">
        <f>IFERROR(__xludf.DUMMYFUNCTION("""COMPUTED_VALUE"""),"The Waterman|eat_type|pub ++ The Waterman|food|Italian ++ The Waterman|price_range|less than £20 ++ The Waterman|area|city centre ++ The Waterman|family_friendly|no ++ The Waterman|near|Raja Indian Cuisine")</f>
        <v>The Waterman|eat_type|pub ++ The Waterman|food|Italian ++ The Waterman|price_range|less than £20 ++ The Waterman|area|city centre ++ The Waterman|family_friendly|no ++ The Waterman|near|Raja Indian Cuisine</v>
      </c>
      <c r="D9" s="99" t="str">
        <f>IFERROR(__xludf.DUMMYFUNCTION("""COMPUTED_VALUE"""),"0.154")</f>
        <v>0.154</v>
      </c>
      <c r="E9" s="99" t="str">
        <f>IFERROR(__xludf.DUMMYFUNCTION("""COMPUTED_VALUE"""),"OK")</f>
        <v>OK</v>
      </c>
      <c r="F9" s="99" t="str">
        <f>IFERROR(__xludf.DUMMYFUNCTION("""COMPUTED_VALUE"""),"omission")</f>
        <v>omission</v>
      </c>
      <c r="G9" s="99" t="str">
        <f>IFERROR(__xludf.DUMMYFUNCTION("""COMPUTED_VALUE"""),"x")</f>
        <v>x</v>
      </c>
      <c r="H9" s="99"/>
      <c r="I9" s="99"/>
      <c r="J9" s="99"/>
      <c r="K9" s="99"/>
      <c r="L9" s="99"/>
      <c r="M9" s="99"/>
      <c r="N9" s="99"/>
      <c r="O9" s="99"/>
      <c r="P9" s="99"/>
    </row>
    <row r="10">
      <c r="A10" s="99">
        <f>IFERROR(__xludf.DUMMYFUNCTION("""COMPUTED_VALUE"""),57.0)</f>
        <v>57</v>
      </c>
      <c r="B10" s="99" t="str">
        <f>IFERROR(__xludf.DUMMYFUNCTION("""COMPUTED_VALUE"""),"The Punter is a family friendly restaurant in the town centre near Raja Indian Cuisine . It is inexpensive and serves Chinese food .")</f>
        <v>The Punter is a family friendly restaurant in the town centre near Raja Indian Cuisine . It is inexpensive and serves Chinese food .</v>
      </c>
      <c r="C10" s="99" t="str">
        <f>IFERROR(__xludf.DUMMYFUNCTION("""COMPUTED_VALUE"""),"The Punter|eat_type|restaurant ++ The Punter|food|Chinese ++ The Punter|price_range|less than £20 ++ The Punter|area|city centre ++ The Punter|family_friendly|yes ++ The Punter|near|Raja Indian Cuisine")</f>
        <v>The Punter|eat_type|restaurant ++ The Punter|food|Chinese ++ The Punter|price_range|less than £20 ++ The Punter|area|city centre ++ The Punter|family_friendly|yes ++ The Punter|near|Raja Indian Cuisine</v>
      </c>
      <c r="D10" s="99" t="str">
        <f>IFERROR(__xludf.DUMMYFUNCTION("""COMPUTED_VALUE"""),"0.209")</f>
        <v>0.209</v>
      </c>
      <c r="E10" s="99" t="str">
        <f>IFERROR(__xludf.DUMMYFUNCTION("""COMPUTED_VALUE"""),"OK")</f>
        <v>OK</v>
      </c>
      <c r="F10" s="99" t="str">
        <f>IFERROR(__xludf.DUMMYFUNCTION("""COMPUTED_VALUE"""),"omission")</f>
        <v>omission</v>
      </c>
      <c r="G10" s="99" t="str">
        <f>IFERROR(__xludf.DUMMYFUNCTION("""COMPUTED_VALUE"""),"x")</f>
        <v>x</v>
      </c>
      <c r="H10" s="99"/>
      <c r="I10" s="99"/>
      <c r="J10" s="99"/>
      <c r="K10" s="99"/>
      <c r="L10" s="99"/>
      <c r="M10" s="99"/>
      <c r="N10" s="99"/>
      <c r="O10" s="99"/>
      <c r="P10" s="99"/>
    </row>
    <row r="11">
      <c r="A11" s="99">
        <f>IFERROR(__xludf.DUMMYFUNCTION("""COMPUTED_VALUE"""),40.0)</f>
        <v>40</v>
      </c>
      <c r="B11" s="99" t="str">
        <f>IFERROR(__xludf.DUMMYFUNCTION("""COMPUTED_VALUE"""),"The Cricketers is a children friendly English restaurant near Café Rouge in the city centre with an average customer rating and a high price range.")</f>
        <v>The Cricketers is a children friendly English restaurant near Café Rouge in the city centre with an average customer rating and a high price range.</v>
      </c>
      <c r="C11" s="99" t="str">
        <f>IFERROR(__xludf.DUMMYFUNCTION("""COMPUTED_VALUE"""),"The Cricketers|eat_type|restaurant ++ The Cricketers|food|English ++ The Cricketers|price_range|high ++ The Cricketers|rating|average ++ The Cricketers|area|city centre ++ The Cricketers|family_friendly|yes ++ The Cricketers|near|Café Rouge")</f>
        <v>The Cricketers|eat_type|restaurant ++ The Cricketers|food|English ++ The Cricketers|price_range|high ++ The Cricketers|rating|average ++ The Cricketers|area|city centre ++ The Cricketers|family_friendly|yes ++ The Cricketers|near|Café Rouge</v>
      </c>
      <c r="D11" s="99" t="str">
        <f>IFERROR(__xludf.DUMMYFUNCTION("""COMPUTED_VALUE"""),"0.955")</f>
        <v>0.955</v>
      </c>
      <c r="E11" s="99" t="str">
        <f>IFERROR(__xludf.DUMMYFUNCTION("""COMPUTED_VALUE"""),"hallucination")</f>
        <v>hallucination</v>
      </c>
      <c r="F11" s="99" t="str">
        <f>IFERROR(__xludf.DUMMYFUNCTION("""COMPUTED_VALUE"""),"OK")</f>
        <v>OK</v>
      </c>
      <c r="G11" s="99"/>
      <c r="H11" s="99" t="str">
        <f>IFERROR(__xludf.DUMMYFUNCTION("""COMPUTED_VALUE"""),"x")</f>
        <v>x</v>
      </c>
      <c r="I11" s="99"/>
      <c r="J11" s="99"/>
      <c r="K11" s="99"/>
      <c r="L11" s="99"/>
      <c r="M11" s="99"/>
      <c r="N11" s="99"/>
      <c r="O11" s="99"/>
      <c r="P11" s="99"/>
    </row>
    <row r="12">
      <c r="A12" s="99">
        <f>IFERROR(__xludf.DUMMYFUNCTION("""COMPUTED_VALUE"""),61.0)</f>
        <v>61</v>
      </c>
      <c r="B12" s="99" t="str">
        <f>IFERROR(__xludf.DUMMYFUNCTION("""COMPUTED_VALUE"""),"If you 're looking for a new place to eat , Wildwood is a short called the road and the road from Raja Indian Cuisine .")</f>
        <v>If you 're looking for a new place to eat , Wildwood is a short called the road and the road from Raja Indian Cuisine .</v>
      </c>
      <c r="C12" s="99" t="str">
        <f>IFERROR(__xludf.DUMMYFUNCTION("""COMPUTED_VALUE"""),"Wildwood|eat_type|restaurant ++ Wildwood|food|Italian ++ Wildwood|area|riverside ++ Wildwood|family_friendly|no ++ Wildwood|near|Raja Indian Cuisine")</f>
        <v>Wildwood|eat_type|restaurant ++ Wildwood|food|Italian ++ Wildwood|area|riverside ++ Wildwood|family_friendly|no ++ Wildwood|near|Raja Indian Cuisine</v>
      </c>
      <c r="D12" s="99" t="str">
        <f>IFERROR(__xludf.DUMMYFUNCTION("""COMPUTED_VALUE"""),"0.003")</f>
        <v>0.003</v>
      </c>
      <c r="E12" s="99" t="str">
        <f>IFERROR(__xludf.DUMMYFUNCTION("""COMPUTED_VALUE"""),"omission")</f>
        <v>omission</v>
      </c>
      <c r="F12" s="99" t="str">
        <f>IFERROR(__xludf.DUMMYFUNCTION("""COMPUTED_VALUE"""),"hallucination+omission")</f>
        <v>hallucination+omission</v>
      </c>
      <c r="G12" s="99"/>
      <c r="H12" s="99" t="str">
        <f>IFERROR(__xludf.DUMMYFUNCTION("""COMPUTED_VALUE"""),"x")</f>
        <v>x</v>
      </c>
      <c r="I12" s="99"/>
      <c r="J12" s="99" t="str">
        <f>IFERROR(__xludf.DUMMYFUNCTION("""COMPUTED_VALUE"""),"x")</f>
        <v>x</v>
      </c>
      <c r="K12" s="99"/>
      <c r="L12" s="99"/>
      <c r="M12" s="99"/>
      <c r="N12" s="99"/>
      <c r="O12" s="99"/>
      <c r="P12" s="99"/>
    </row>
    <row r="13">
      <c r="A13" s="99">
        <f>IFERROR(__xludf.DUMMYFUNCTION("""COMPUTED_VALUE"""),76.0)</f>
        <v>76</v>
      </c>
      <c r="B13" s="99" t="str">
        <f>IFERROR(__xludf.DUMMYFUNCTION("""COMPUTED_VALUE"""),"the plough is a highly priced chinese restaurant in the riverside area near raja indian cuisine. it is not family friendly.")</f>
        <v>the plough is a highly priced chinese restaurant in the riverside area near raja indian cuisine. it is not family friendly.</v>
      </c>
      <c r="C13" s="99" t="str">
        <f>IFERROR(__xludf.DUMMYFUNCTION("""COMPUTED_VALUE"""),"The Plough|eat_type|restaurant ++ The Plough|food|Chinese ++ The Plough|price_range|high ++ The Plough|area|riverside ++ The Plough|family_friendly|no ++ The Plough|near|Raja Indian Cuisine")</f>
        <v>The Plough|eat_type|restaurant ++ The Plough|food|Chinese ++ The Plough|price_range|high ++ The Plough|area|riverside ++ The Plough|family_friendly|no ++ The Plough|near|Raja Indian Cuisine</v>
      </c>
      <c r="D13" s="99" t="str">
        <f>IFERROR(__xludf.DUMMYFUNCTION("""COMPUTED_VALUE"""),"0.970")</f>
        <v>0.970</v>
      </c>
      <c r="E13" s="99" t="str">
        <f>IFERROR(__xludf.DUMMYFUNCTION("""COMPUTED_VALUE"""),"omission")</f>
        <v>omission</v>
      </c>
      <c r="F13" s="99" t="str">
        <f>IFERROR(__xludf.DUMMYFUNCTION("""COMPUTED_VALUE"""),"OK")</f>
        <v>OK</v>
      </c>
      <c r="G13" s="99"/>
      <c r="H13" s="99" t="str">
        <f>IFERROR(__xludf.DUMMYFUNCTION("""COMPUTED_VALUE"""),"x")</f>
        <v>x</v>
      </c>
      <c r="I13" s="99"/>
      <c r="J13" s="99"/>
      <c r="K13" s="99"/>
      <c r="L13" s="99"/>
      <c r="M13" s="99"/>
      <c r="N13" s="99"/>
      <c r="O13" s="99"/>
      <c r="P13" s="99"/>
    </row>
    <row r="14">
      <c r="A14" s="99">
        <f>IFERROR(__xludf.DUMMYFUNCTION("""COMPUTED_VALUE"""),79.0)</f>
        <v>79</v>
      </c>
      <c r="B14" s="99" t="str">
        <f>IFERROR(__xludf.DUMMYFUNCTION("""COMPUTED_VALUE"""),"The Phoenix is a moderately priced French pub located in the riverside near Raja Indian Cuisine it is family friendly.")</f>
        <v>The Phoenix is a moderately priced French pub located in the riverside near Raja Indian Cuisine it is family friendly.</v>
      </c>
      <c r="C14" s="99" t="str">
        <f>IFERROR(__xludf.DUMMYFUNCTION("""COMPUTED_VALUE"""),"The Phoenix|eat_type|pub ++ The Phoenix|food|French ++ The Phoenix|price_range|£20-25 ++ The Phoenix|area|riverside ++ The Phoenix|family_friendly|yes ++ The Phoenix|near|Raja Indian Cuisine")</f>
        <v>The Phoenix|eat_type|pub ++ The Phoenix|food|French ++ The Phoenix|price_range|£20-25 ++ The Phoenix|area|riverside ++ The Phoenix|family_friendly|yes ++ The Phoenix|near|Raja Indian Cuisine</v>
      </c>
      <c r="D14" s="99" t="str">
        <f>IFERROR(__xludf.DUMMYFUNCTION("""COMPUTED_VALUE"""),"0.004")</f>
        <v>0.004</v>
      </c>
      <c r="E14" s="99" t="str">
        <f>IFERROR(__xludf.DUMMYFUNCTION("""COMPUTED_VALUE"""),"OK")</f>
        <v>OK</v>
      </c>
      <c r="F14" s="99" t="str">
        <f>IFERROR(__xludf.DUMMYFUNCTION("""COMPUTED_VALUE"""),"omission")</f>
        <v>omission</v>
      </c>
      <c r="G14" s="99" t="str">
        <f>IFERROR(__xludf.DUMMYFUNCTION("""COMPUTED_VALUE"""),"x")</f>
        <v>x</v>
      </c>
      <c r="H14" s="99"/>
      <c r="I14" s="99"/>
      <c r="J14" s="99"/>
      <c r="K14" s="99"/>
      <c r="L14" s="99"/>
      <c r="M14" s="99"/>
      <c r="N14" s="99"/>
      <c r="O14" s="99"/>
      <c r="P14" s="99"/>
    </row>
    <row r="15">
      <c r="A15" s="99">
        <f>IFERROR(__xludf.DUMMYFUNCTION("""COMPUTED_VALUE"""),89.0)</f>
        <v>89</v>
      </c>
      <c r="B15" s="99" t="str">
        <f>IFERROR(__xludf.DUMMYFUNCTION("""COMPUTED_VALUE"""),"The Cricketers is a english restaurant in the city centre near Café Rouge. It is children friendly and has an average customer rating and a high price range.")</f>
        <v>The Cricketers is a english restaurant in the city centre near Café Rouge. It is children friendly and has an average customer rating and a high price range.</v>
      </c>
      <c r="C15" s="99" t="str">
        <f>IFERROR(__xludf.DUMMYFUNCTION("""COMPUTED_VALUE"""),"The Cricketers|eat_type|restaurant ++ The Cricketers|food|English ++ The Cricketers|price_range|high ++ The Cricketers|rating|average ++ The Cricketers|area|city centre ++ The Cricketers|family_friendly|yes ++ The Cricketers|near|Café Rouge")</f>
        <v>The Cricketers|eat_type|restaurant ++ The Cricketers|food|English ++ The Cricketers|price_range|high ++ The Cricketers|rating|average ++ The Cricketers|area|city centre ++ The Cricketers|family_friendly|yes ++ The Cricketers|near|Café Rouge</v>
      </c>
      <c r="D15" s="99" t="str">
        <f>IFERROR(__xludf.DUMMYFUNCTION("""COMPUTED_VALUE"""),"0.966")</f>
        <v>0.966</v>
      </c>
      <c r="E15" s="99" t="str">
        <f>IFERROR(__xludf.DUMMYFUNCTION("""COMPUTED_VALUE"""),"hallucination")</f>
        <v>hallucination</v>
      </c>
      <c r="F15" s="99" t="str">
        <f>IFERROR(__xludf.DUMMYFUNCTION("""COMPUTED_VALUE"""),"OK")</f>
        <v>OK</v>
      </c>
      <c r="G15" s="99"/>
      <c r="H15" s="99" t="str">
        <f>IFERROR(__xludf.DUMMYFUNCTION("""COMPUTED_VALUE"""),"x")</f>
        <v>x</v>
      </c>
      <c r="I15" s="99"/>
      <c r="J15" s="99"/>
      <c r="K15" s="99"/>
      <c r="L15" s="99"/>
      <c r="M15" s="99"/>
      <c r="N15" s="99"/>
      <c r="O15" s="99"/>
      <c r="P15" s="99"/>
    </row>
    <row r="16">
      <c r="A16" s="99">
        <f>IFERROR(__xludf.DUMMYFUNCTION("""COMPUTED_VALUE"""),67.0)</f>
        <v>67</v>
      </c>
      <c r="B16" s="99" t="str">
        <f>IFERROR(__xludf.DUMMYFUNCTION("""COMPUTED_VALUE"""),"The Vaults is a children friendly Italian pub near Rainbow Vegetarian Café with a high price range and an average customer rating.")</f>
        <v>The Vaults is a children friendly Italian pub near Rainbow Vegetarian Café with a high price range and an average customer rating.</v>
      </c>
      <c r="C16" s="99" t="str">
        <f>IFERROR(__xludf.DUMMYFUNCTION("""COMPUTED_VALUE"""),"The Vaults|eat_type|pub ++ The Vaults|food|Italian ++ The Vaults|price_range|high ++ The Vaults|rating|average ++ The Vaults|area|riverside ++ The Vaults|family_friendly|yes ++ The Vaults|near|Rainbow Vegetarian Café")</f>
        <v>The Vaults|eat_type|pub ++ The Vaults|food|Italian ++ The Vaults|price_range|high ++ The Vaults|rating|average ++ The Vaults|area|riverside ++ The Vaults|family_friendly|yes ++ The Vaults|near|Rainbow Vegetarian Café</v>
      </c>
      <c r="D16" s="99" t="str">
        <f>IFERROR(__xludf.DUMMYFUNCTION("""COMPUTED_VALUE"""),"0.003")</f>
        <v>0.003</v>
      </c>
      <c r="E16" s="99" t="str">
        <f>IFERROR(__xludf.DUMMYFUNCTION("""COMPUTED_VALUE"""),"hallucination+omission")</f>
        <v>hallucination+omission</v>
      </c>
      <c r="F16" s="99" t="str">
        <f>IFERROR(__xludf.DUMMYFUNCTION("""COMPUTED_VALUE"""),"omission")</f>
        <v>omission</v>
      </c>
      <c r="G16" s="99"/>
      <c r="H16" s="99" t="str">
        <f>IFERROR(__xludf.DUMMYFUNCTION("""COMPUTED_VALUE"""),"x")</f>
        <v>x</v>
      </c>
      <c r="I16" s="99"/>
      <c r="J16" s="99"/>
      <c r="K16" s="99"/>
      <c r="L16" s="99"/>
      <c r="M16" s="99"/>
      <c r="N16" s="99"/>
      <c r="O16" s="99"/>
      <c r="P16" s="99" t="str">
        <f>IFERROR(__xludf.DUMMYFUNCTION("""COMPUTED_VALUE"""),"area")</f>
        <v>area</v>
      </c>
    </row>
    <row r="17">
      <c r="A17" s="99">
        <f>IFERROR(__xludf.DUMMYFUNCTION("""COMPUTED_VALUE"""),13.0)</f>
        <v>13</v>
      </c>
      <c r="B17" s="99" t="str">
        <f>IFERROR(__xludf.DUMMYFUNCTION("""COMPUTED_VALUE"""),"The Phoenix is a moderate priced pub that serves fast food . Kids are located in the city centre near Raja Indian Cuisine . Kids are home .")</f>
        <v>The Phoenix is a moderate priced pub that serves fast food . Kids are located in the city centre near Raja Indian Cuisine . Kids are home .</v>
      </c>
      <c r="C17" s="99" t="str">
        <f>IFERROR(__xludf.DUMMYFUNCTION("""COMPUTED_VALUE"""),"The Phoenix|eat_type|pub ++ The Phoenix|food|Fast food ++ The Phoenix|price_range|moderate ++ The Phoenix|area|city centre ++ The Phoenix|family_friendly|yes ++ The Phoenix|near|Raja Indian Cuisine")</f>
        <v>The Phoenix|eat_type|pub ++ The Phoenix|food|Fast food ++ The Phoenix|price_range|moderate ++ The Phoenix|area|city centre ++ The Phoenix|family_friendly|yes ++ The Phoenix|near|Raja Indian Cuisine</v>
      </c>
      <c r="D17" s="99" t="str">
        <f>IFERROR(__xludf.DUMMYFUNCTION("""COMPUTED_VALUE"""),"0.722")</f>
        <v>0.722</v>
      </c>
      <c r="E17" s="99" t="str">
        <f>IFERROR(__xludf.DUMMYFUNCTION("""COMPUTED_VALUE"""),"omission")</f>
        <v>omission</v>
      </c>
      <c r="F17" s="99" t="str">
        <f>IFERROR(__xludf.DUMMYFUNCTION("""COMPUTED_VALUE"""),"OK")</f>
        <v>OK</v>
      </c>
      <c r="G17" s="99" t="str">
        <f>IFERROR(__xludf.DUMMYFUNCTION("""COMPUTED_VALUE"""),"x")</f>
        <v>x</v>
      </c>
      <c r="H17" s="99"/>
      <c r="I17" s="99"/>
      <c r="J17" s="99"/>
      <c r="K17" s="99"/>
      <c r="L17" s="99" t="str">
        <f>IFERROR(__xludf.DUMMYFUNCTION("""COMPUTED_VALUE"""),"x")</f>
        <v>x</v>
      </c>
      <c r="M17" s="99"/>
      <c r="N17" s="99"/>
      <c r="O17" s="99"/>
      <c r="P17" s="99"/>
    </row>
    <row r="18">
      <c r="A18" s="99">
        <f>IFERROR(__xludf.DUMMYFUNCTION("""COMPUTED_VALUE"""),11.0)</f>
        <v>11</v>
      </c>
      <c r="B18" s="99" t="str">
        <f>IFERROR(__xludf.DUMMYFUNCTION("""COMPUTED_VALUE"""),"The Phoenix is a restaurant that also serves Indian food. The price range is £20-£25 and rated a high by customers. The Phoenix is not a kid friendly place but if you would like to try it, it is located by the city centre area near Crowne Plaza Hotel.")</f>
        <v>The Phoenix is a restaurant that also serves Indian food. The price range is £20-£25 and rated a high by customers. The Phoenix is not a kid friendly place but if you would like to try it, it is located by the city centre area near Crowne Plaza Hotel.</v>
      </c>
      <c r="C18" s="99" t="str">
        <f>IFERROR(__xludf.DUMMYFUNCTION("""COMPUTED_VALUE"""),"The Phoenix|eat_type|restaurant ++ The Phoenix|food|Indian ++ The Phoenix|price_range|£20-25 ++ The Phoenix|rating|high ++ The Phoenix|area|city centre ++ The Phoenix|family_friendly|no ++ The Phoenix|near|Crowne Plaza Hotel")</f>
        <v>The Phoenix|eat_type|restaurant ++ The Phoenix|food|Indian ++ The Phoenix|price_range|£20-25 ++ The Phoenix|rating|high ++ The Phoenix|area|city centre ++ The Phoenix|family_friendly|no ++ The Phoenix|near|Crowne Plaza Hotel</v>
      </c>
      <c r="D18" s="99" t="str">
        <f>IFERROR(__xludf.DUMMYFUNCTION("""COMPUTED_VALUE"""),"0.967")</f>
        <v>0.967</v>
      </c>
      <c r="E18" s="99" t="str">
        <f>IFERROR(__xludf.DUMMYFUNCTION("""COMPUTED_VALUE"""),"omission")</f>
        <v>omission</v>
      </c>
      <c r="F18" s="99" t="str">
        <f>IFERROR(__xludf.DUMMYFUNCTION("""COMPUTED_VALUE"""),"OK")</f>
        <v>OK</v>
      </c>
      <c r="G18" s="99"/>
      <c r="H18" s="99" t="str">
        <f>IFERROR(__xludf.DUMMYFUNCTION("""COMPUTED_VALUE"""),"x")</f>
        <v>x</v>
      </c>
      <c r="I18" s="99"/>
      <c r="J18" s="99"/>
      <c r="K18" s="99"/>
      <c r="L18" s="99"/>
      <c r="M18" s="99"/>
      <c r="N18" s="99"/>
      <c r="O18" s="99"/>
      <c r="P18" s="99"/>
    </row>
    <row r="19">
      <c r="A19" s="99">
        <f>IFERROR(__xludf.DUMMYFUNCTION("""COMPUTED_VALUE"""),44.0)</f>
        <v>44</v>
      </c>
      <c r="B19" s="99" t="str">
        <f>IFERROR(__xludf.DUMMYFUNCTION("""COMPUTED_VALUE"""),"The Mill is a cheap English restaurant in the city centre near Raja Indian Cuisine. It is not family-friendly.")</f>
        <v>The Mill is a cheap English restaurant in the city centre near Raja Indian Cuisine. It is not family-friendly.</v>
      </c>
      <c r="C19" s="99" t="str">
        <f>IFERROR(__xludf.DUMMYFUNCTION("""COMPUTED_VALUE"""),"The Mill|eat_type|restaurant ++ The Mill|food|English ++ The Mill|price_range|less than £20 ++ The Mill|area|city centre ++ The Mill|family_friendly|no ++ The Mill|near|Raja Indian Cuisine")</f>
        <v>The Mill|eat_type|restaurant ++ The Mill|food|English ++ The Mill|price_range|less than £20 ++ The Mill|area|city centre ++ The Mill|family_friendly|no ++ The Mill|near|Raja Indian Cuisine</v>
      </c>
      <c r="D19" s="99" t="str">
        <f>IFERROR(__xludf.DUMMYFUNCTION("""COMPUTED_VALUE"""),"0.165")</f>
        <v>0.165</v>
      </c>
      <c r="E19" s="99" t="str">
        <f>IFERROR(__xludf.DUMMYFUNCTION("""COMPUTED_VALUE"""),"OK")</f>
        <v>OK</v>
      </c>
      <c r="F19" s="99" t="str">
        <f>IFERROR(__xludf.DUMMYFUNCTION("""COMPUTED_VALUE"""),"omission")</f>
        <v>omission</v>
      </c>
      <c r="G19" s="99" t="str">
        <f>IFERROR(__xludf.DUMMYFUNCTION("""COMPUTED_VALUE"""),"x")</f>
        <v>x</v>
      </c>
      <c r="H19" s="99"/>
      <c r="I19" s="99"/>
      <c r="J19" s="99"/>
      <c r="K19" s="99"/>
      <c r="L19" s="99"/>
      <c r="M19" s="99"/>
      <c r="N19" s="99"/>
      <c r="O19" s="99"/>
      <c r="P19" s="99"/>
    </row>
    <row r="20">
      <c r="A20" s="99">
        <f>IFERROR(__xludf.DUMMYFUNCTION("""COMPUTED_VALUE"""),80.0)</f>
        <v>80</v>
      </c>
      <c r="B20" s="99" t="str">
        <f>IFERROR(__xludf.DUMMYFUNCTION("""COMPUTED_VALUE"""),"The Mill is a fast food pub in the city centre near Café Sicilia. It is not children friendly and has a high price range and an average customer rating.")</f>
        <v>The Mill is a fast food pub in the city centre near Café Sicilia. It is not children friendly and has a high price range and an average customer rating.</v>
      </c>
      <c r="C20" s="99" t="str">
        <f>IFERROR(__xludf.DUMMYFUNCTION("""COMPUTED_VALUE"""),"The Mill|eat_type|pub ++ The Mill|food|Fast food ++ The Mill|price_range|high ++ The Mill|rating|average ++ The Mill|area|city centre ++ The Mill|family_friendly|no ++ The Mill|near|Café Sicilia")</f>
        <v>The Mill|eat_type|pub ++ The Mill|food|Fast food ++ The Mill|price_range|high ++ The Mill|rating|average ++ The Mill|area|city centre ++ The Mill|family_friendly|no ++ The Mill|near|Café Sicilia</v>
      </c>
      <c r="D20" s="99" t="str">
        <f>IFERROR(__xludf.DUMMYFUNCTION("""COMPUTED_VALUE"""),"0.962")</f>
        <v>0.962</v>
      </c>
      <c r="E20" s="99" t="str">
        <f>IFERROR(__xludf.DUMMYFUNCTION("""COMPUTED_VALUE"""),"hallucination")</f>
        <v>hallucination</v>
      </c>
      <c r="F20" s="99" t="str">
        <f>IFERROR(__xludf.DUMMYFUNCTION("""COMPUTED_VALUE"""),"OK")</f>
        <v>OK</v>
      </c>
      <c r="G20" s="99"/>
      <c r="H20" s="99" t="str">
        <f>IFERROR(__xludf.DUMMYFUNCTION("""COMPUTED_VALUE"""),"x")</f>
        <v>x</v>
      </c>
      <c r="I20" s="99"/>
      <c r="J20" s="99"/>
      <c r="K20" s="99"/>
      <c r="L20" s="99"/>
      <c r="M20" s="99"/>
      <c r="N20" s="99"/>
      <c r="O20" s="99"/>
      <c r="P20" s="99"/>
    </row>
    <row r="21">
      <c r="A21" s="99">
        <f>IFERROR(__xludf.DUMMYFUNCTION("""COMPUTED_VALUE"""),33.0)</f>
        <v>33</v>
      </c>
      <c r="B21" s="99" t="str">
        <f>IFERROR(__xludf.DUMMYFUNCTION("""COMPUTED_VALUE"""),"The Vaults, which has a high customer rating, is a high-priced pub offering Italian food. It is in riverside near Rainbow Vegetarian Café. It is family-friendly.")</f>
        <v>The Vaults, which has a high customer rating, is a high-priced pub offering Italian food. It is in riverside near Rainbow Vegetarian Café. It is family-friendly.</v>
      </c>
      <c r="C21" s="99" t="str">
        <f>IFERROR(__xludf.DUMMYFUNCTION("""COMPUTED_VALUE"""),"The Vaults|eat_type|pub ++ The Vaults|food|Italian ++ The Vaults|price_range|more than £30 ++ The Vaults|rating|high ++ The Vaults|area|riverside ++ The Vaults|family_friendly|yes ++ The Vaults|near|Rainbow Vegetarian Café")</f>
        <v>The Vaults|eat_type|pub ++ The Vaults|food|Italian ++ The Vaults|price_range|more than £30 ++ The Vaults|rating|high ++ The Vaults|area|riverside ++ The Vaults|family_friendly|yes ++ The Vaults|near|Rainbow Vegetarian Café</v>
      </c>
      <c r="D21" s="99" t="str">
        <f>IFERROR(__xludf.DUMMYFUNCTION("""COMPUTED_VALUE"""),"0.030")</f>
        <v>0.030</v>
      </c>
      <c r="E21" s="99" t="str">
        <f>IFERROR(__xludf.DUMMYFUNCTION("""COMPUTED_VALUE"""),"OK")</f>
        <v>OK</v>
      </c>
      <c r="F21" s="99" t="str">
        <f>IFERROR(__xludf.DUMMYFUNCTION("""COMPUTED_VALUE"""),"omission")</f>
        <v>omission</v>
      </c>
      <c r="G21" s="99" t="str">
        <f>IFERROR(__xludf.DUMMYFUNCTION("""COMPUTED_VALUE"""),"x")</f>
        <v>x</v>
      </c>
      <c r="H21" s="99"/>
      <c r="I21" s="99"/>
      <c r="J21" s="99"/>
      <c r="K21" s="99"/>
      <c r="L21" s="99"/>
      <c r="M21" s="99"/>
      <c r="N21" s="99"/>
      <c r="O21" s="99"/>
      <c r="P21" s="99"/>
    </row>
    <row r="22">
      <c r="A22" s="99">
        <f>IFERROR(__xludf.DUMMYFUNCTION("""COMPUTED_VALUE"""),106.0)</f>
        <v>106</v>
      </c>
      <c r="B22" s="99" t="str">
        <f>IFERROR(__xludf.DUMMYFUNCTION("""COMPUTED_VALUE"""),"In the city centre near CafÃ© Sicilia, there is a French restaurant called The Phoenix. It is not kid friendly and has a price range of Â£20-25 and a customer rating of 3 out of 5.")</f>
        <v>In the city centre near CafÃ© Sicilia, there is a French restaurant called The Phoenix. It is not kid friendly and has a price range of Â£20-25 and a customer rating of 3 out of 5.</v>
      </c>
      <c r="C22" s="99" t="str">
        <f>IFERROR(__xludf.DUMMYFUNCTION("""COMPUTED_VALUE"""),"The Phoenix|eat_type|pub ++ The Phoenix|food|French ++ The Phoenix|price_range|Â£20-25 ++ The Phoenix|rating|3 out of 5 ++ The Phoenix|area|city centre ++ The Phoenix|family_friendly|no ++ The Phoenix|near|CafÃ© Sicilia")</f>
        <v>The Phoenix|eat_type|pub ++ The Phoenix|food|French ++ The Phoenix|price_range|Â£20-25 ++ The Phoenix|rating|3 out of 5 ++ The Phoenix|area|city centre ++ The Phoenix|family_friendly|no ++ The Phoenix|near|CafÃ© Sicilia</v>
      </c>
      <c r="D22" s="99" t="str">
        <f>IFERROR(__xludf.DUMMYFUNCTION("""COMPUTED_VALUE"""),"0.004")</f>
        <v>0.004</v>
      </c>
      <c r="E22" s="99" t="str">
        <f>IFERROR(__xludf.DUMMYFUNCTION("""COMPUTED_VALUE"""),"hallucination+omission")</f>
        <v>hallucination+omission</v>
      </c>
      <c r="F22" s="99" t="str">
        <f>IFERROR(__xludf.DUMMYFUNCTION("""COMPUTED_VALUE"""),"omission")</f>
        <v>omission</v>
      </c>
      <c r="G22" s="99" t="str">
        <f>IFERROR(__xludf.DUMMYFUNCTION("""COMPUTED_VALUE"""),"x")</f>
        <v>x</v>
      </c>
      <c r="H22" s="99"/>
      <c r="I22" s="99"/>
      <c r="J22" s="99" t="str">
        <f>IFERROR(__xludf.DUMMYFUNCTION("""COMPUTED_VALUE"""),"x")</f>
        <v>x</v>
      </c>
      <c r="K22" s="99"/>
      <c r="L22" s="99"/>
      <c r="M22" s="99"/>
      <c r="N22" s="99"/>
      <c r="O22" s="99"/>
      <c r="P22" s="99"/>
    </row>
    <row r="23">
      <c r="A23" s="99">
        <f>IFERROR(__xludf.DUMMYFUNCTION("""COMPUTED_VALUE"""),86.0)</f>
        <v>86</v>
      </c>
      <c r="B23" s="99" t="str">
        <f>IFERROR(__xludf.DUMMYFUNCTION("""COMPUTED_VALUE"""),"The Mill is a moderate restaurant that serves English food. Yes it is kids-friendly. Its customer rating is 3 out of 5. It is located in the riverside area near Café Rouge.")</f>
        <v>The Mill is a moderate restaurant that serves English food. Yes it is kids-friendly. Its customer rating is 3 out of 5. It is located in the riverside area near Café Rouge.</v>
      </c>
      <c r="C23" s="99" t="str">
        <f>IFERROR(__xludf.DUMMYFUNCTION("""COMPUTED_VALUE"""),"The Mill|eat_type|restaurant ++ The Mill|food|English ++ The Mill|price_range|moderate ++ The Mill|rating|3 out of 5 ++ The Mill|area|riverside ++ The Mill|family_friendly|yes ++ The Mill|near|Café Rouge")</f>
        <v>The Mill|eat_type|restaurant ++ The Mill|food|English ++ The Mill|price_range|moderate ++ The Mill|rating|3 out of 5 ++ The Mill|area|riverside ++ The Mill|family_friendly|yes ++ The Mill|near|Café Rouge</v>
      </c>
      <c r="D23" s="99" t="str">
        <f>IFERROR(__xludf.DUMMYFUNCTION("""COMPUTED_VALUE"""),"0.784")</f>
        <v>0.784</v>
      </c>
      <c r="E23" s="99" t="str">
        <f>IFERROR(__xludf.DUMMYFUNCTION("""COMPUTED_VALUE"""),"omission")</f>
        <v>omission</v>
      </c>
      <c r="F23" s="99" t="str">
        <f>IFERROR(__xludf.DUMMYFUNCTION("""COMPUTED_VALUE"""),"OK")</f>
        <v>OK</v>
      </c>
      <c r="G23" s="99"/>
      <c r="H23" s="99" t="str">
        <f>IFERROR(__xludf.DUMMYFUNCTION("""COMPUTED_VALUE"""),"x")</f>
        <v>x</v>
      </c>
      <c r="I23" s="99"/>
      <c r="J23" s="99"/>
      <c r="K23" s="99"/>
      <c r="L23" s="99"/>
      <c r="M23" s="99"/>
      <c r="N23" s="99"/>
      <c r="O23" s="99"/>
      <c r="P23" s="99"/>
    </row>
    <row r="24">
      <c r="A24" s="99">
        <f>IFERROR(__xludf.DUMMYFUNCTION("""COMPUTED_VALUE"""),72.0)</f>
        <v>72</v>
      </c>
      <c r="B24" s="99" t="str">
        <f>IFERROR(__xludf.DUMMYFUNCTION("""COMPUTED_VALUE"""),"There is a pub called The Wrestlers that is located near Raja Indian Cuisine . It has wonderful food although it is within the high price range .")</f>
        <v>There is a pub called The Wrestlers that is located near Raja Indian Cuisine . It has wonderful food although it is within the high price range .</v>
      </c>
      <c r="C24" s="99" t="str">
        <f>IFERROR(__xludf.DUMMYFUNCTION("""COMPUTED_VALUE"""),"The Wrestlers|eat_type|pub ++ The Wrestlers|food|Japanese ++ The Wrestlers|price_range|more than £30 ++ The Wrestlers|rating|low ++ The Wrestlers|area|riverside ++ The Wrestlers|family_friendly|yes ++ The Wrestlers|near|Raja Indian Cuisine")</f>
        <v>The Wrestlers|eat_type|pub ++ The Wrestlers|food|Japanese ++ The Wrestlers|price_range|more than £30 ++ The Wrestlers|rating|low ++ The Wrestlers|area|riverside ++ The Wrestlers|family_friendly|yes ++ The Wrestlers|near|Raja Indian Cuisine</v>
      </c>
      <c r="D24" s="99" t="str">
        <f>IFERROR(__xludf.DUMMYFUNCTION("""COMPUTED_VALUE"""),"0.001")</f>
        <v>0.001</v>
      </c>
      <c r="E24" s="99" t="str">
        <f>IFERROR(__xludf.DUMMYFUNCTION("""COMPUTED_VALUE"""),"omission")</f>
        <v>omission</v>
      </c>
      <c r="F24" s="99" t="str">
        <f>IFERROR(__xludf.DUMMYFUNCTION("""COMPUTED_VALUE"""),"hallucination+omission")</f>
        <v>hallucination+omission</v>
      </c>
      <c r="G24" s="99"/>
      <c r="H24" s="99" t="str">
        <f>IFERROR(__xludf.DUMMYFUNCTION("""COMPUTED_VALUE"""),"x")</f>
        <v>x</v>
      </c>
      <c r="I24" s="99"/>
      <c r="J24" s="99"/>
      <c r="K24" s="99" t="str">
        <f>IFERROR(__xludf.DUMMYFUNCTION("""COMPUTED_VALUE"""),"x")</f>
        <v>x</v>
      </c>
      <c r="L24" s="99"/>
      <c r="M24" s="99"/>
      <c r="N24" s="99"/>
      <c r="O24" s="99"/>
      <c r="P24" s="99"/>
    </row>
    <row r="25">
      <c r="A25" s="99">
        <f>IFERROR(__xludf.DUMMYFUNCTION("""COMPUTED_VALUE"""),24.0)</f>
        <v>24</v>
      </c>
      <c r="B25" s="99" t="str">
        <f>IFERROR(__xludf.DUMMYFUNCTION("""COMPUTED_VALUE"""),"In the city centre near Café Sicilia there is a cheap Fast food restaurant called The Mill. It has a customer rating of 5 out of 5 and is not family-friendly.")</f>
        <v>In the city centre near Café Sicilia there is a cheap Fast food restaurant called The Mill. It has a customer rating of 5 out of 5 and is not family-friendly.</v>
      </c>
      <c r="C25" s="99" t="str">
        <f>IFERROR(__xludf.DUMMYFUNCTION("""COMPUTED_VALUE"""),"The Mill|eat_type|pub ++ The Mill|food|Fast food ++ The Mill|price_range|cheap ++ The Mill|rating|5 out of 5 ++ The Mill|area|city centre ++ The Mill|family_friendly|no ++ The Mill|near|Café Sicilia")</f>
        <v>The Mill|eat_type|pub ++ The Mill|food|Fast food ++ The Mill|price_range|cheap ++ The Mill|rating|5 out of 5 ++ The Mill|area|city centre ++ The Mill|family_friendly|no ++ The Mill|near|Café Sicilia</v>
      </c>
      <c r="D25" s="99" t="str">
        <f>IFERROR(__xludf.DUMMYFUNCTION("""COMPUTED_VALUE"""),"0.002")</f>
        <v>0.002</v>
      </c>
      <c r="E25" s="99" t="str">
        <f>IFERROR(__xludf.DUMMYFUNCTION("""COMPUTED_VALUE"""),"OK")</f>
        <v>OK</v>
      </c>
      <c r="F25" s="99" t="str">
        <f>IFERROR(__xludf.DUMMYFUNCTION("""COMPUTED_VALUE"""),"omission")</f>
        <v>omission</v>
      </c>
      <c r="G25" s="99"/>
      <c r="H25" s="99"/>
      <c r="I25" s="99" t="str">
        <f>IFERROR(__xludf.DUMMYFUNCTION("""COMPUTED_VALUE"""),"x")</f>
        <v>x</v>
      </c>
      <c r="J25" s="99" t="str">
        <f>IFERROR(__xludf.DUMMYFUNCTION("""COMPUTED_VALUE"""),"x")</f>
        <v>x</v>
      </c>
      <c r="K25" s="99"/>
      <c r="L25" s="99"/>
      <c r="M25" s="99"/>
      <c r="N25" s="99"/>
      <c r="O25" s="99"/>
      <c r="P25" s="99"/>
    </row>
    <row r="26">
      <c r="A26" s="99">
        <f>IFERROR(__xludf.DUMMYFUNCTION("""COMPUTED_VALUE"""),63.0)</f>
        <v>63</v>
      </c>
      <c r="B26" s="99" t="str">
        <f>IFERROR(__xludf.DUMMYFUNCTION("""COMPUTED_VALUE"""),"The Mill is a cheap English pub in the city centre near Raja Indian Cuisine. It is not family-friendly.")</f>
        <v>The Mill is a cheap English pub in the city centre near Raja Indian Cuisine. It is not family-friendly.</v>
      </c>
      <c r="C26" s="99" t="str">
        <f>IFERROR(__xludf.DUMMYFUNCTION("""COMPUTED_VALUE"""),"The Mill|eat_type|pub ++ The Mill|food|English ++ The Mill|price_range|less than £20 ++ The Mill|area|city centre ++ The Mill|family_friendly|no ++ The Mill|near|Raja Indian Cuisine")</f>
        <v>The Mill|eat_type|pub ++ The Mill|food|English ++ The Mill|price_range|less than £20 ++ The Mill|area|city centre ++ The Mill|family_friendly|no ++ The Mill|near|Raja Indian Cuisine</v>
      </c>
      <c r="D26" s="99" t="str">
        <f>IFERROR(__xludf.DUMMYFUNCTION("""COMPUTED_VALUE"""),"0.205")</f>
        <v>0.205</v>
      </c>
      <c r="E26" s="99" t="str">
        <f>IFERROR(__xludf.DUMMYFUNCTION("""COMPUTED_VALUE"""),"OK")</f>
        <v>OK</v>
      </c>
      <c r="F26" s="99" t="str">
        <f>IFERROR(__xludf.DUMMYFUNCTION("""COMPUTED_VALUE"""),"omission")</f>
        <v>omission</v>
      </c>
      <c r="G26" s="99" t="str">
        <f>IFERROR(__xludf.DUMMYFUNCTION("""COMPUTED_VALUE"""),"x")</f>
        <v>x</v>
      </c>
      <c r="H26" s="99"/>
      <c r="I26" s="99"/>
      <c r="J26" s="99"/>
      <c r="K26" s="99"/>
      <c r="L26" s="99"/>
      <c r="M26" s="99"/>
      <c r="N26" s="99"/>
      <c r="O26" s="99"/>
      <c r="P26" s="99"/>
    </row>
    <row r="27">
      <c r="A27" s="99">
        <f>IFERROR(__xludf.DUMMYFUNCTION("""COMPUTED_VALUE"""),5.0)</f>
        <v>5</v>
      </c>
      <c r="B27" s="99" t="str">
        <f>IFERROR(__xludf.DUMMYFUNCTION("""COMPUTED_VALUE"""),"For a child-friendly, average-rated restaurant serving Italian, try The Punter, in the riverside area, near Rainbow Vegetarian Café.")</f>
        <v>For a child-friendly, average-rated restaurant serving Italian, try The Punter, in the riverside area, near Rainbow Vegetarian Café.</v>
      </c>
      <c r="C27" s="99" t="str">
        <f>IFERROR(__xludf.DUMMYFUNCTION("""COMPUTED_VALUE"""),"The Punter|eat_type|restaurant ++ The Punter|food|Italian ++ The Punter|price_range|cheap ++ The Punter|rating|average ++ The Punter|area|riverside ++ The Punter|family_friendly|yes ++ The Punter|near|Rainbow Vegetarian Café")</f>
        <v>The Punter|eat_type|restaurant ++ The Punter|food|Italian ++ The Punter|price_range|cheap ++ The Punter|rating|average ++ The Punter|area|riverside ++ The Punter|family_friendly|yes ++ The Punter|near|Rainbow Vegetarian Café</v>
      </c>
      <c r="D27" s="99" t="str">
        <f>IFERROR(__xludf.DUMMYFUNCTION("""COMPUTED_VALUE"""),"0.550")</f>
        <v>0.550</v>
      </c>
      <c r="E27" s="99" t="str">
        <f>IFERROR(__xludf.DUMMYFUNCTION("""COMPUTED_VALUE"""),"omission")</f>
        <v>omission</v>
      </c>
      <c r="F27" s="99" t="str">
        <f>IFERROR(__xludf.DUMMYFUNCTION("""COMPUTED_VALUE"""),"OK")</f>
        <v>OK</v>
      </c>
      <c r="G27" s="99" t="str">
        <f>IFERROR(__xludf.DUMMYFUNCTION("""COMPUTED_VALUE"""),"x")</f>
        <v>x</v>
      </c>
      <c r="H27" s="99"/>
      <c r="I27" s="99"/>
      <c r="J27" s="99"/>
      <c r="K27" s="99"/>
      <c r="L27" s="99"/>
      <c r="M27" s="99"/>
      <c r="N27" s="99" t="str">
        <f>IFERROR(__xludf.DUMMYFUNCTION("""COMPUTED_VALUE"""),"x")</f>
        <v>x</v>
      </c>
      <c r="O27" s="99"/>
      <c r="P27" s="99" t="str">
        <f>IFERROR(__xludf.DUMMYFUNCTION("""COMPUTED_VALUE"""),"pricerange")</f>
        <v>pricerange</v>
      </c>
    </row>
    <row r="28">
      <c r="A28" s="99">
        <f>IFERROR(__xludf.DUMMYFUNCTION("""COMPUTED_VALUE"""),23.0)</f>
        <v>23</v>
      </c>
      <c r="B28" s="99" t="str">
        <f>IFERROR(__xludf.DUMMYFUNCTION("""COMPUTED_VALUE"""),"The Mill is a pub that serves Fast food and is children friendly. It is in the high price range and has an average customer rating. It is located in the riverside area near Café Sicilia.")</f>
        <v>The Mill is a pub that serves Fast food and is children friendly. It is in the high price range and has an average customer rating. It is located in the riverside area near Café Sicilia.</v>
      </c>
      <c r="C28" s="99" t="str">
        <f>IFERROR(__xludf.DUMMYFUNCTION("""COMPUTED_VALUE"""),"The Mill|eat_type|pub ++ The Mill|food|Fast food ++ The Mill|price_range|high ++ The Mill|rating|average ++ The Mill|area|riverside ++ The Mill|family_friendly|yes ++ The Mill|near|Café Sicilia")</f>
        <v>The Mill|eat_type|pub ++ The Mill|food|Fast food ++ The Mill|price_range|high ++ The Mill|rating|average ++ The Mill|area|riverside ++ The Mill|family_friendly|yes ++ The Mill|near|Café Sicilia</v>
      </c>
      <c r="D28" s="99" t="str">
        <f>IFERROR(__xludf.DUMMYFUNCTION("""COMPUTED_VALUE"""),"0.949")</f>
        <v>0.949</v>
      </c>
      <c r="E28" s="99" t="str">
        <f>IFERROR(__xludf.DUMMYFUNCTION("""COMPUTED_VALUE"""),"hallucination")</f>
        <v>hallucination</v>
      </c>
      <c r="F28" s="99" t="str">
        <f>IFERROR(__xludf.DUMMYFUNCTION("""COMPUTED_VALUE"""),"OK")</f>
        <v>OK</v>
      </c>
      <c r="G28" s="99"/>
      <c r="H28" s="99" t="str">
        <f>IFERROR(__xludf.DUMMYFUNCTION("""COMPUTED_VALUE"""),"x")</f>
        <v>x</v>
      </c>
      <c r="I28" s="99"/>
      <c r="J28" s="99"/>
      <c r="K28" s="99"/>
      <c r="L28" s="99"/>
      <c r="M28" s="99"/>
      <c r="N28" s="99"/>
      <c r="O28" s="99"/>
      <c r="P28" s="99"/>
    </row>
    <row r="29">
      <c r="A29" s="99">
        <f>IFERROR(__xludf.DUMMYFUNCTION("""COMPUTED_VALUE"""),100.0)</f>
        <v>100</v>
      </c>
      <c r="B29" s="99" t="str">
        <f>IFERROR(__xludf.DUMMYFUNCTION("""COMPUTED_VALUE"""),"The Punter, which has a high customer rating, is a high-priced restaurant offering Indian cuisine. It is in the riverside area by Express by Holiday Inn. It is not kid-friendly.")</f>
        <v>The Punter, which has a high customer rating, is a high-priced restaurant offering Indian cuisine. It is in the riverside area by Express by Holiday Inn. It is not kid-friendly.</v>
      </c>
      <c r="C29" s="99" t="str">
        <f>IFERROR(__xludf.DUMMYFUNCTION("""COMPUTED_VALUE"""),"The Punter|eat_type|restaurant ++ The Punter|food|Indian ++ The Punter|price_range|more than £30 ++ The Punter|rating|high ++ The Punter|area|riverside ++ The Punter|family_friendly|no ++ The Punter|near|Express by Holiday Inn")</f>
        <v>The Punter|eat_type|restaurant ++ The Punter|food|Indian ++ The Punter|price_range|more than £30 ++ The Punter|rating|high ++ The Punter|area|riverside ++ The Punter|family_friendly|no ++ The Punter|near|Express by Holiday Inn</v>
      </c>
      <c r="D29" s="99" t="str">
        <f>IFERROR(__xludf.DUMMYFUNCTION("""COMPUTED_VALUE"""),"0.024")</f>
        <v>0.024</v>
      </c>
      <c r="E29" s="99" t="str">
        <f>IFERROR(__xludf.DUMMYFUNCTION("""COMPUTED_VALUE"""),"OK")</f>
        <v>OK</v>
      </c>
      <c r="F29" s="99" t="str">
        <f>IFERROR(__xludf.DUMMYFUNCTION("""COMPUTED_VALUE"""),"omission")</f>
        <v>omission</v>
      </c>
      <c r="G29" s="99" t="str">
        <f>IFERROR(__xludf.DUMMYFUNCTION("""COMPUTED_VALUE"""),"x")</f>
        <v>x</v>
      </c>
      <c r="H29" s="99"/>
      <c r="I29" s="99"/>
      <c r="J29" s="99"/>
      <c r="K29" s="99"/>
      <c r="L29" s="99"/>
      <c r="M29" s="99"/>
      <c r="N29" s="99"/>
      <c r="O29" s="99"/>
      <c r="P29" s="99"/>
    </row>
    <row r="30">
      <c r="A30" s="99">
        <f>IFERROR(__xludf.DUMMYFUNCTION("""COMPUTED_VALUE"""),58.0)</f>
        <v>58</v>
      </c>
      <c r="B30" s="99" t="str">
        <f>IFERROR(__xludf.DUMMYFUNCTION("""COMPUTED_VALUE"""),"If you are looking for a coffee shop near Café Sicilia then the Cocum is a highly rated restaurant.")</f>
        <v>If you are looking for a coffee shop near Café Sicilia then the Cocum is a highly rated restaurant.</v>
      </c>
      <c r="C30" s="99" t="str">
        <f>IFERROR(__xludf.DUMMYFUNCTION("""COMPUTED_VALUE"""),"Cocum|eat_type|coffee shop ++ Cocum|rating|high ++ Cocum|near|Café Sicilia")</f>
        <v>Cocum|eat_type|coffee shop ++ Cocum|rating|high ++ Cocum|near|Café Sicilia</v>
      </c>
      <c r="D30" s="99" t="str">
        <f>IFERROR(__xludf.DUMMYFUNCTION("""COMPUTED_VALUE"""),"0.862")</f>
        <v>0.862</v>
      </c>
      <c r="E30" s="99" t="str">
        <f>IFERROR(__xludf.DUMMYFUNCTION("""COMPUTED_VALUE"""),"hallucination")</f>
        <v>hallucination</v>
      </c>
      <c r="F30" s="99" t="str">
        <f>IFERROR(__xludf.DUMMYFUNCTION("""COMPUTED_VALUE"""),"OK")</f>
        <v>OK</v>
      </c>
      <c r="G30" s="99"/>
      <c r="H30" s="99" t="str">
        <f>IFERROR(__xludf.DUMMYFUNCTION("""COMPUTED_VALUE"""),"x")</f>
        <v>x</v>
      </c>
      <c r="I30" s="99"/>
      <c r="J30" s="99"/>
      <c r="K30" s="99"/>
      <c r="L30" s="99"/>
      <c r="M30" s="99"/>
      <c r="N30" s="99"/>
      <c r="O30" s="99"/>
      <c r="P30" s="99"/>
    </row>
    <row r="31">
      <c r="A31" s="99">
        <f>IFERROR(__xludf.DUMMYFUNCTION("""COMPUTED_VALUE"""),78.0)</f>
        <v>78</v>
      </c>
      <c r="B31" s="99" t="str">
        <f>IFERROR(__xludf.DUMMYFUNCTION("""COMPUTED_VALUE"""),"The Punter is a family friendly English restaurant in the riverside area near Raja Indian Cuisine with a price range of less than £20.")</f>
        <v>The Punter is a family friendly English restaurant in the riverside area near Raja Indian Cuisine with a price range of less than £20.</v>
      </c>
      <c r="C31" s="99" t="str">
        <f>IFERROR(__xludf.DUMMYFUNCTION("""COMPUTED_VALUE"""),"The Punter|eat_type|restaurant ++ The Punter|food|English ++ The Punter|price_range|cheap ++ The Punter|area|riverside ++ The Punter|family_friendly|yes ++ The Punter|near|Raja Indian Cuisine")</f>
        <v>The Punter|eat_type|restaurant ++ The Punter|food|English ++ The Punter|price_range|cheap ++ The Punter|area|riverside ++ The Punter|family_friendly|yes ++ The Punter|near|Raja Indian Cuisine</v>
      </c>
      <c r="D31" s="99" t="str">
        <f>IFERROR(__xludf.DUMMYFUNCTION("""COMPUTED_VALUE"""),"0.006")</f>
        <v>0.006</v>
      </c>
      <c r="E31" s="99" t="str">
        <f>IFERROR(__xludf.DUMMYFUNCTION("""COMPUTED_VALUE"""),"OK")</f>
        <v>OK</v>
      </c>
      <c r="F31" s="99" t="str">
        <f>IFERROR(__xludf.DUMMYFUNCTION("""COMPUTED_VALUE"""),"hallucination")</f>
        <v>hallucination</v>
      </c>
      <c r="G31" s="99" t="str">
        <f>IFERROR(__xludf.DUMMYFUNCTION("""COMPUTED_VALUE"""),"x")</f>
        <v>x</v>
      </c>
      <c r="H31" s="99"/>
      <c r="I31" s="99"/>
      <c r="J31" s="99"/>
      <c r="K31" s="99"/>
      <c r="L31" s="99"/>
      <c r="M31" s="99"/>
      <c r="N31" s="99"/>
      <c r="O31" s="99"/>
      <c r="P31" s="99"/>
    </row>
    <row r="32">
      <c r="A32" s="99">
        <f>IFERROR(__xludf.DUMMYFUNCTION("""COMPUTED_VALUE"""),48.0)</f>
        <v>48</v>
      </c>
      <c r="B32" s="99" t="str">
        <f>IFERROR(__xludf.DUMMYFUNCTION("""COMPUTED_VALUE"""),"Come to the family friendly Wildwood Indian pup in the riverside area near Raja Indian Cuisine .")</f>
        <v>Come to the family friendly Wildwood Indian pup in the riverside area near Raja Indian Cuisine .</v>
      </c>
      <c r="C32" s="99" t="str">
        <f>IFERROR(__xludf.DUMMYFUNCTION("""COMPUTED_VALUE"""),"Wildwood|eat_type|restaurant ++ Wildwood|food|Indian ++ Wildwood|area|riverside ++ Wildwood|family_friendly|yes ++ Wildwood|near|Raja Indian Cuisine")</f>
        <v>Wildwood|eat_type|restaurant ++ Wildwood|food|Indian ++ Wildwood|area|riverside ++ Wildwood|family_friendly|yes ++ Wildwood|near|Raja Indian Cuisine</v>
      </c>
      <c r="D32" s="99" t="str">
        <f>IFERROR(__xludf.DUMMYFUNCTION("""COMPUTED_VALUE"""),"0.455")</f>
        <v>0.455</v>
      </c>
      <c r="E32" s="99" t="str">
        <f>IFERROR(__xludf.DUMMYFUNCTION("""COMPUTED_VALUE"""),"omission")</f>
        <v>omission</v>
      </c>
      <c r="F32" s="99" t="str">
        <f>IFERROR(__xludf.DUMMYFUNCTION("""COMPUTED_VALUE"""),"OK")</f>
        <v>OK</v>
      </c>
      <c r="G32" s="99" t="str">
        <f>IFERROR(__xludf.DUMMYFUNCTION("""COMPUTED_VALUE"""),"x")</f>
        <v>x</v>
      </c>
      <c r="H32" s="99"/>
      <c r="I32" s="99"/>
      <c r="J32" s="99" t="str">
        <f>IFERROR(__xludf.DUMMYFUNCTION("""COMPUTED_VALUE"""),"x")</f>
        <v>x</v>
      </c>
      <c r="K32" s="99"/>
      <c r="L32" s="99"/>
      <c r="M32" s="99"/>
      <c r="N32" s="99"/>
      <c r="O32" s="99"/>
      <c r="P32" s="99"/>
    </row>
    <row r="33">
      <c r="A33" s="99">
        <f>IFERROR(__xludf.DUMMYFUNCTION("""COMPUTED_VALUE"""),105.0)</f>
        <v>105</v>
      </c>
      <c r="B33" s="99" t="str">
        <f>IFERROR(__xludf.DUMMYFUNCTION("""COMPUTED_VALUE"""),"The Phoenix, an adult oriented pub serving French food, in riverside near Crowne Plaza Hotel, has high prices and customer ratings of 3 out of 5.")</f>
        <v>The Phoenix, an adult oriented pub serving French food, in riverside near Crowne Plaza Hotel, has high prices and customer ratings of 3 out of 5.</v>
      </c>
      <c r="C33" s="99" t="str">
        <f>IFERROR(__xludf.DUMMYFUNCTION("""COMPUTED_VALUE"""),"The Phoenix|eat_type|pub ++ The Phoenix|food|French ++ The Phoenix|price_range|high ++ The Phoenix|rating|3 out of 5 ++ The Phoenix|area|riverside ++ The Phoenix|family_friendly|no ++ The Phoenix|near|Crowne Plaza Hotel")</f>
        <v>The Phoenix|eat_type|pub ++ The Phoenix|food|French ++ The Phoenix|price_range|high ++ The Phoenix|rating|3 out of 5 ++ The Phoenix|area|riverside ++ The Phoenix|family_friendly|no ++ The Phoenix|near|Crowne Plaza Hotel</v>
      </c>
      <c r="D33" s="99" t="str">
        <f>IFERROR(__xludf.DUMMYFUNCTION("""COMPUTED_VALUE"""),"0.739")</f>
        <v>0.739</v>
      </c>
      <c r="E33" s="99" t="str">
        <f>IFERROR(__xludf.DUMMYFUNCTION("""COMPUTED_VALUE"""),"omission")</f>
        <v>omission</v>
      </c>
      <c r="F33" s="99" t="str">
        <f>IFERROR(__xludf.DUMMYFUNCTION("""COMPUTED_VALUE"""),"OK")</f>
        <v>OK</v>
      </c>
      <c r="G33" s="99"/>
      <c r="H33" s="99" t="str">
        <f>IFERROR(__xludf.DUMMYFUNCTION("""COMPUTED_VALUE"""),"x")</f>
        <v>x</v>
      </c>
      <c r="I33" s="99"/>
      <c r="J33" s="99"/>
      <c r="K33" s="99"/>
      <c r="L33" s="99"/>
      <c r="M33" s="99"/>
      <c r="N33" s="99"/>
      <c r="O33" s="99"/>
      <c r="P33" s="99"/>
    </row>
    <row r="34">
      <c r="A34" s="99">
        <f>IFERROR(__xludf.DUMMYFUNCTION("""COMPUTED_VALUE"""),45.0)</f>
        <v>45</v>
      </c>
      <c r="B34" s="99" t="str">
        <f>IFERROR(__xludf.DUMMYFUNCTION("""COMPUTED_VALUE"""),"the vaults is a pub located in the city centre near raja indian cuisine. it serves french food for moderate. it is not family-friendly.")</f>
        <v>the vaults is a pub located in the city centre near raja indian cuisine. it serves french food for moderate. it is not family-friendly.</v>
      </c>
      <c r="C34" s="99" t="str">
        <f>IFERROR(__xludf.DUMMYFUNCTION("""COMPUTED_VALUE"""),"The Vaults|eat_type|pub ++ The Vaults|food|French ++ The Vaults|price_range|moderate ++ The Vaults|area|city centre ++ The Vaults|family_friendly|no ++ The Vaults|near|Raja Indian Cuisine")</f>
        <v>The Vaults|eat_type|pub ++ The Vaults|food|French ++ The Vaults|price_range|moderate ++ The Vaults|area|city centre ++ The Vaults|family_friendly|no ++ The Vaults|near|Raja Indian Cuisine</v>
      </c>
      <c r="D34" s="99" t="str">
        <f>IFERROR(__xludf.DUMMYFUNCTION("""COMPUTED_VALUE"""),"0.935")</f>
        <v>0.935</v>
      </c>
      <c r="E34" s="99" t="str">
        <f>IFERROR(__xludf.DUMMYFUNCTION("""COMPUTED_VALUE"""),"omission")</f>
        <v>omission</v>
      </c>
      <c r="F34" s="99" t="str">
        <f>IFERROR(__xludf.DUMMYFUNCTION("""COMPUTED_VALUE"""),"OK")</f>
        <v>OK</v>
      </c>
      <c r="G34" s="99"/>
      <c r="H34" s="99" t="str">
        <f>IFERROR(__xludf.DUMMYFUNCTION("""COMPUTED_VALUE"""),"x")</f>
        <v>x</v>
      </c>
      <c r="I34" s="99"/>
      <c r="J34" s="99"/>
      <c r="K34" s="99"/>
      <c r="L34" s="99"/>
      <c r="M34" s="99"/>
      <c r="N34" s="99"/>
      <c r="O34" s="99"/>
      <c r="P34" s="99"/>
    </row>
    <row r="35">
      <c r="A35" s="99">
        <f>IFERROR(__xludf.DUMMYFUNCTION("""COMPUTED_VALUE"""),77.0)</f>
        <v>77</v>
      </c>
      <c r="B35" s="99" t="str">
        <f>IFERROR(__xludf.DUMMYFUNCTION("""COMPUTED_VALUE"""),"The Vaults, which is located in the city centre near Raja Indian Cuisine, is a cheap restaurant serving French food. Children are welcome.")</f>
        <v>The Vaults, which is located in the city centre near Raja Indian Cuisine, is a cheap restaurant serving French food. Children are welcome.</v>
      </c>
      <c r="C35" s="99" t="str">
        <f>IFERROR(__xludf.DUMMYFUNCTION("""COMPUTED_VALUE"""),"The Vaults|eat_type|restaurant ++ The Vaults|food|French ++ The Vaults|price_range|less than £20 ++ The Vaults|area|city centre ++ The Vaults|family_friendly|yes ++ The Vaults|near|Raja Indian Cuisine")</f>
        <v>The Vaults|eat_type|restaurant ++ The Vaults|food|French ++ The Vaults|price_range|less than £20 ++ The Vaults|area|city centre ++ The Vaults|family_friendly|yes ++ The Vaults|near|Raja Indian Cuisine</v>
      </c>
      <c r="D35" s="99" t="str">
        <f>IFERROR(__xludf.DUMMYFUNCTION("""COMPUTED_VALUE"""),"0.053")</f>
        <v>0.053</v>
      </c>
      <c r="E35" s="99" t="str">
        <f>IFERROR(__xludf.DUMMYFUNCTION("""COMPUTED_VALUE"""),"OK")</f>
        <v>OK</v>
      </c>
      <c r="F35" s="99" t="str">
        <f>IFERROR(__xludf.DUMMYFUNCTION("""COMPUTED_VALUE"""),"omission")</f>
        <v>omission</v>
      </c>
      <c r="G35" s="99" t="str">
        <f>IFERROR(__xludf.DUMMYFUNCTION("""COMPUTED_VALUE"""),"x")</f>
        <v>x</v>
      </c>
      <c r="H35" s="99"/>
      <c r="I35" s="99"/>
      <c r="J35" s="99"/>
      <c r="K35" s="99"/>
      <c r="L35" s="99"/>
      <c r="M35" s="99"/>
      <c r="N35" s="99"/>
      <c r="O35" s="99"/>
      <c r="P35" s="99"/>
    </row>
    <row r="36">
      <c r="A36" s="99">
        <f>IFERROR(__xludf.DUMMYFUNCTION("""COMPUTED_VALUE"""),102.0)</f>
        <v>102</v>
      </c>
      <c r="B36" s="99" t="str">
        <f>IFERROR(__xludf.DUMMYFUNCTION("""COMPUTED_VALUE"""),"The Vaults is a high pub that serves Italian food. It is not children-friendly and has an average customer rating. It is located in the city centre area near Rainbow Vegetarian CafÃ©.")</f>
        <v>The Vaults is a high pub that serves Italian food. It is not children-friendly and has an average customer rating. It is located in the city centre area near Rainbow Vegetarian CafÃ©.</v>
      </c>
      <c r="C36" s="99" t="str">
        <f>IFERROR(__xludf.DUMMYFUNCTION("""COMPUTED_VALUE"""),"The Vaults|eat_type|pub ++ The Vaults|food|Italian ++ The Vaults|price_range|high ++ The Vaults|rating|average ++ The Vaults|area|city centre ++ The Vaults|family_friendly|no ++ The Vaults|near|Rainbow Vegetarian CafÃ©")</f>
        <v>The Vaults|eat_type|pub ++ The Vaults|food|Italian ++ The Vaults|price_range|high ++ The Vaults|rating|average ++ The Vaults|area|city centre ++ The Vaults|family_friendly|no ++ The Vaults|near|Rainbow Vegetarian CafÃ©</v>
      </c>
      <c r="D36" s="99" t="str">
        <f>IFERROR(__xludf.DUMMYFUNCTION("""COMPUTED_VALUE"""),"0.918")</f>
        <v>0.918</v>
      </c>
      <c r="E36" s="99" t="str">
        <f>IFERROR(__xludf.DUMMYFUNCTION("""COMPUTED_VALUE"""),"omission")</f>
        <v>omission</v>
      </c>
      <c r="F36" s="99" t="str">
        <f>IFERROR(__xludf.DUMMYFUNCTION("""COMPUTED_VALUE"""),"OK")</f>
        <v>OK</v>
      </c>
      <c r="G36" s="99" t="str">
        <f>IFERROR(__xludf.DUMMYFUNCTION("""COMPUTED_VALUE"""),"x")</f>
        <v>x</v>
      </c>
      <c r="H36" s="99"/>
      <c r="I36" s="99"/>
      <c r="J36" s="99"/>
      <c r="K36" s="99" t="str">
        <f>IFERROR(__xludf.DUMMYFUNCTION("""COMPUTED_VALUE"""),"x")</f>
        <v>x</v>
      </c>
      <c r="L36" s="99"/>
      <c r="M36" s="99"/>
      <c r="N36" s="99"/>
      <c r="O36" s="99"/>
      <c r="P36" s="99"/>
    </row>
    <row r="37">
      <c r="A37" s="99">
        <f>IFERROR(__xludf.DUMMYFUNCTION("""COMPUTED_VALUE"""),82.0)</f>
        <v>82</v>
      </c>
      <c r="B37" s="99" t="str">
        <f>IFERROR(__xludf.DUMMYFUNCTION("""COMPUTED_VALUE"""),"The Cricketers, a kids friendly restaurant with a £20-£25 price range, with a rating of high. It serves English food and is in city centre near All Bar One.")</f>
        <v>The Cricketers, a kids friendly restaurant with a £20-£25 price range, with a rating of high. It serves English food and is in city centre near All Bar One.</v>
      </c>
      <c r="C37" s="99" t="str">
        <f>IFERROR(__xludf.DUMMYFUNCTION("""COMPUTED_VALUE"""),"The Cricketers|eat_type|restaurant ++ The Cricketers|food|English ++ The Cricketers|price_range|£20-25 ++ The Cricketers|rating|high ++ The Cricketers|area|city centre ++ The Cricketers|family_friendly|yes ++ The Cricketers|near|All Bar One")</f>
        <v>The Cricketers|eat_type|restaurant ++ The Cricketers|food|English ++ The Cricketers|price_range|£20-25 ++ The Cricketers|rating|high ++ The Cricketers|area|city centre ++ The Cricketers|family_friendly|yes ++ The Cricketers|near|All Bar One</v>
      </c>
      <c r="D37" s="99" t="str">
        <f>IFERROR(__xludf.DUMMYFUNCTION("""COMPUTED_VALUE"""),"0.963")</f>
        <v>0.963</v>
      </c>
      <c r="E37" s="99" t="str">
        <f>IFERROR(__xludf.DUMMYFUNCTION("""COMPUTED_VALUE"""),"omission")</f>
        <v>omission</v>
      </c>
      <c r="F37" s="99" t="str">
        <f>IFERROR(__xludf.DUMMYFUNCTION("""COMPUTED_VALUE"""),"OK")</f>
        <v>OK</v>
      </c>
      <c r="G37" s="99"/>
      <c r="H37" s="99" t="str">
        <f>IFERROR(__xludf.DUMMYFUNCTION("""COMPUTED_VALUE"""),"x")</f>
        <v>x</v>
      </c>
      <c r="I37" s="99"/>
      <c r="J37" s="99"/>
      <c r="K37" s="99"/>
      <c r="L37" s="99"/>
      <c r="M37" s="99"/>
      <c r="N37" s="99"/>
      <c r="O37" s="99"/>
      <c r="P37" s="99"/>
    </row>
    <row r="38">
      <c r="A38" s="99">
        <f>IFERROR(__xludf.DUMMYFUNCTION("""COMPUTED_VALUE"""),95.0)</f>
        <v>95</v>
      </c>
      <c r="B38" s="99" t="str">
        <f>IFERROR(__xludf.DUMMYFUNCTION("""COMPUTED_VALUE"""),"The Vaults is a pub that serves Italian food and is children friendly. It is in the high price range and has an average customer rating. It is located in the riverside area near Rainbow Vegetarian Café.")</f>
        <v>The Vaults is a pub that serves Italian food and is children friendly. It is in the high price range and has an average customer rating. It is located in the riverside area near Rainbow Vegetarian Café.</v>
      </c>
      <c r="C38" s="99" t="str">
        <f>IFERROR(__xludf.DUMMYFUNCTION("""COMPUTED_VALUE"""),"The Vaults|eat_type|pub ++ The Vaults|food|Italian ++ The Vaults|price_range|high ++ The Vaults|rating|average ++ The Vaults|area|riverside ++ The Vaults|family_friendly|yes ++ The Vaults|near|Rainbow Vegetarian Café")</f>
        <v>The Vaults|eat_type|pub ++ The Vaults|food|Italian ++ The Vaults|price_range|high ++ The Vaults|rating|average ++ The Vaults|area|riverside ++ The Vaults|family_friendly|yes ++ The Vaults|near|Rainbow Vegetarian Café</v>
      </c>
      <c r="D38" s="99" t="str">
        <f>IFERROR(__xludf.DUMMYFUNCTION("""COMPUTED_VALUE"""),"0.952")</f>
        <v>0.952</v>
      </c>
      <c r="E38" s="99" t="str">
        <f>IFERROR(__xludf.DUMMYFUNCTION("""COMPUTED_VALUE"""),"hallucination")</f>
        <v>hallucination</v>
      </c>
      <c r="F38" s="99" t="str">
        <f>IFERROR(__xludf.DUMMYFUNCTION("""COMPUTED_VALUE"""),"OK")</f>
        <v>OK</v>
      </c>
      <c r="G38" s="99"/>
      <c r="H38" s="99" t="str">
        <f>IFERROR(__xludf.DUMMYFUNCTION("""COMPUTED_VALUE"""),"x")</f>
        <v>x</v>
      </c>
      <c r="I38" s="99"/>
      <c r="J38" s="99"/>
      <c r="K38" s="99"/>
      <c r="L38" s="99"/>
      <c r="M38" s="99"/>
      <c r="N38" s="99"/>
      <c r="O38" s="99"/>
      <c r="P38" s="99"/>
    </row>
    <row r="39">
      <c r="A39" s="99">
        <f>IFERROR(__xludf.DUMMYFUNCTION("""COMPUTED_VALUE"""),71.0)</f>
        <v>71</v>
      </c>
      <c r="B39" s="99" t="str">
        <f>IFERROR(__xludf.DUMMYFUNCTION("""COMPUTED_VALUE"""),"There is a pub called The Mill that serves Fast food in the £20-25 price range with a high customer rating in the city centre near Café Rouge and is not kid friendly.")</f>
        <v>There is a pub called The Mill that serves Fast food in the £20-25 price range with a high customer rating in the city centre near Café Rouge and is not kid friendly.</v>
      </c>
      <c r="C39" s="99" t="str">
        <f>IFERROR(__xludf.DUMMYFUNCTION("""COMPUTED_VALUE"""),"The Mill|eat_type|pub ++ The Mill|food|Fast food ++ The Mill|price_range|£20-25 ++ The Mill|rating|high ++ The Mill|area|city centre ++ The Mill|family_friendly|no ++ The Mill|near|Café Rouge")</f>
        <v>The Mill|eat_type|pub ++ The Mill|food|Fast food ++ The Mill|price_range|£20-25 ++ The Mill|rating|high ++ The Mill|area|city centre ++ The Mill|family_friendly|no ++ The Mill|near|Café Rouge</v>
      </c>
      <c r="D39" s="99" t="str">
        <f>IFERROR(__xludf.DUMMYFUNCTION("""COMPUTED_VALUE"""),"0.976")</f>
        <v>0.976</v>
      </c>
      <c r="E39" s="99" t="str">
        <f>IFERROR(__xludf.DUMMYFUNCTION("""COMPUTED_VALUE"""),"hallucination")</f>
        <v>hallucination</v>
      </c>
      <c r="F39" s="99" t="str">
        <f>IFERROR(__xludf.DUMMYFUNCTION("""COMPUTED_VALUE"""),"OK")</f>
        <v>OK</v>
      </c>
      <c r="G39" s="99"/>
      <c r="H39" s="99" t="str">
        <f>IFERROR(__xludf.DUMMYFUNCTION("""COMPUTED_VALUE"""),"x")</f>
        <v>x</v>
      </c>
      <c r="I39" s="99"/>
      <c r="J39" s="99"/>
      <c r="K39" s="99"/>
      <c r="L39" s="99"/>
      <c r="M39" s="99"/>
      <c r="N39" s="99"/>
      <c r="O39" s="99"/>
      <c r="P39" s="99"/>
    </row>
    <row r="40">
      <c r="A40" s="99">
        <f>IFERROR(__xludf.DUMMYFUNCTION("""COMPUTED_VALUE"""),55.0)</f>
        <v>55</v>
      </c>
      <c r="B40" s="99" t="str">
        <f>IFERROR(__xludf.DUMMYFUNCTION("""COMPUTED_VALUE"""),"The Wrestlers, which is located in the city centre near Raja Indian Cuisine, is a cheap restaurant that serves Japanese food. It is not family-friendly.")</f>
        <v>The Wrestlers, which is located in the city centre near Raja Indian Cuisine, is a cheap restaurant that serves Japanese food. It is not family-friendly.</v>
      </c>
      <c r="C40" s="99" t="str">
        <f>IFERROR(__xludf.DUMMYFUNCTION("""COMPUTED_VALUE"""),"The Wrestlers|eat_type|restaurant ++ The Wrestlers|food|Japanese ++ The Wrestlers|price_range|less than £20 ++ The Wrestlers|area|city centre ++ The Wrestlers|family_friendly|no ++ The Wrestlers|near|Raja Indian Cuisine")</f>
        <v>The Wrestlers|eat_type|restaurant ++ The Wrestlers|food|Japanese ++ The Wrestlers|price_range|less than £20 ++ The Wrestlers|area|city centre ++ The Wrestlers|family_friendly|no ++ The Wrestlers|near|Raja Indian Cuisine</v>
      </c>
      <c r="D40" s="99" t="str">
        <f>IFERROR(__xludf.DUMMYFUNCTION("""COMPUTED_VALUE"""),"0.030")</f>
        <v>0.030</v>
      </c>
      <c r="E40" s="99" t="str">
        <f>IFERROR(__xludf.DUMMYFUNCTION("""COMPUTED_VALUE"""),"OK")</f>
        <v>OK</v>
      </c>
      <c r="F40" s="99" t="str">
        <f>IFERROR(__xludf.DUMMYFUNCTION("""COMPUTED_VALUE"""),"omission")</f>
        <v>omission</v>
      </c>
      <c r="G40" s="99" t="str">
        <f>IFERROR(__xludf.DUMMYFUNCTION("""COMPUTED_VALUE"""),"x")</f>
        <v>x</v>
      </c>
      <c r="H40" s="99"/>
      <c r="I40" s="99"/>
      <c r="J40" s="99"/>
      <c r="K40" s="99"/>
      <c r="L40" s="99"/>
      <c r="M40" s="99"/>
      <c r="N40" s="99"/>
      <c r="O40" s="99"/>
      <c r="P40" s="99"/>
    </row>
    <row r="41">
      <c r="A41" s="99">
        <f>IFERROR(__xludf.DUMMYFUNCTION("""COMPUTED_VALUE"""),91.0)</f>
        <v>91</v>
      </c>
      <c r="B41" s="99" t="str">
        <f>IFERROR(__xludf.DUMMYFUNCTION("""COMPUTED_VALUE"""),"Cheap Chinese food for all the family can be found at The Cricketers restaurant, near All Bar One, in the riverside area. Average ratings.")</f>
        <v>Cheap Chinese food for all the family can be found at The Cricketers restaurant, near All Bar One, in the riverside area. Average ratings.</v>
      </c>
      <c r="C41" s="99" t="str">
        <f>IFERROR(__xludf.DUMMYFUNCTION("""COMPUTED_VALUE"""),"The Cricketers|eat_type|restaurant ++ The Cricketers|food|Chinese ++ The Cricketers|price_range|cheap ++ The Cricketers|rating|average ++ The Cricketers|area|riverside ++ The Cricketers|family_friendly|yes ++ The Cricketers|near|All Bar One")</f>
        <v>The Cricketers|eat_type|restaurant ++ The Cricketers|food|Chinese ++ The Cricketers|price_range|cheap ++ The Cricketers|rating|average ++ The Cricketers|area|riverside ++ The Cricketers|family_friendly|yes ++ The Cricketers|near|All Bar One</v>
      </c>
      <c r="D41" s="99" t="str">
        <f>IFERROR(__xludf.DUMMYFUNCTION("""COMPUTED_VALUE"""),"0.873")</f>
        <v>0.873</v>
      </c>
      <c r="E41" s="99" t="str">
        <f>IFERROR(__xludf.DUMMYFUNCTION("""COMPUTED_VALUE"""),"omission")</f>
        <v>omission</v>
      </c>
      <c r="F41" s="99" t="str">
        <f>IFERROR(__xludf.DUMMYFUNCTION("""COMPUTED_VALUE"""),"OK")</f>
        <v>OK</v>
      </c>
      <c r="G41" s="99"/>
      <c r="H41" s="99" t="str">
        <f>IFERROR(__xludf.DUMMYFUNCTION("""COMPUTED_VALUE"""),"x")</f>
        <v>x</v>
      </c>
      <c r="I41" s="99"/>
      <c r="J41" s="99"/>
      <c r="K41" s="99"/>
      <c r="L41" s="99"/>
      <c r="M41" s="99"/>
      <c r="N41" s="99"/>
      <c r="O41" s="99"/>
      <c r="P41" s="99"/>
    </row>
    <row r="42">
      <c r="A42" s="99">
        <f>IFERROR(__xludf.DUMMYFUNCTION("""COMPUTED_VALUE"""),74.0)</f>
        <v>74</v>
      </c>
      <c r="B42" s="99" t="str">
        <f>IFERROR(__xludf.DUMMYFUNCTION("""COMPUTED_VALUE"""),"In the riverside, near Raja Indian Cuisine, you will find The Wrestlers. It is a non children-friendly pub that serves Japanese food. While its price range is quite 1 out of 5, moderate, it has a 1 out of 5 customer ratings.")</f>
        <v>In the riverside, near Raja Indian Cuisine, you will find The Wrestlers. It is a non children-friendly pub that serves Japanese food. While its price range is quite 1 out of 5, moderate, it has a 1 out of 5 customer ratings.</v>
      </c>
      <c r="C42" s="99" t="str">
        <f>IFERROR(__xludf.DUMMYFUNCTION("""COMPUTED_VALUE"""),"The Wrestlers|eat_type|pub ++ The Wrestlers|food|Japanese ++ The Wrestlers|price_range|moderate ++ The Wrestlers|rating|1 out of 5 ++ The Wrestlers|area|riverside ++ The Wrestlers|family_friendly|no ++ The Wrestlers|near|Raja Indian Cuisine")</f>
        <v>The Wrestlers|eat_type|pub ++ The Wrestlers|food|Japanese ++ The Wrestlers|price_range|moderate ++ The Wrestlers|rating|1 out of 5 ++ The Wrestlers|area|riverside ++ The Wrestlers|family_friendly|no ++ The Wrestlers|near|Raja Indian Cuisine</v>
      </c>
      <c r="D42" s="99" t="str">
        <f>IFERROR(__xludf.DUMMYFUNCTION("""COMPUTED_VALUE"""),"0.975")</f>
        <v>0.975</v>
      </c>
      <c r="E42" s="99" t="str">
        <f>IFERROR(__xludf.DUMMYFUNCTION("""COMPUTED_VALUE"""),"omission")</f>
        <v>omission</v>
      </c>
      <c r="F42" s="99" t="str">
        <f>IFERROR(__xludf.DUMMYFUNCTION("""COMPUTED_VALUE"""),"OK")</f>
        <v>OK</v>
      </c>
      <c r="G42" s="99"/>
      <c r="H42" s="99"/>
      <c r="I42" s="99" t="str">
        <f>IFERROR(__xludf.DUMMYFUNCTION("""COMPUTED_VALUE"""),"x")</f>
        <v>x</v>
      </c>
      <c r="J42" s="99"/>
      <c r="K42" s="99" t="str">
        <f>IFERROR(__xludf.DUMMYFUNCTION("""COMPUTED_VALUE"""),"x")</f>
        <v>x</v>
      </c>
      <c r="L42" s="99"/>
      <c r="M42" s="99"/>
      <c r="N42" s="99" t="str">
        <f>IFERROR(__xludf.DUMMYFUNCTION("""COMPUTED_VALUE"""),"x")</f>
        <v>x</v>
      </c>
      <c r="O42" s="99" t="str">
        <f>IFERROR(__xludf.DUMMYFUNCTION("""COMPUTED_VALUE"""),"x")</f>
        <v>x</v>
      </c>
      <c r="P42" s="99"/>
    </row>
    <row r="43">
      <c r="A43" s="99">
        <f>IFERROR(__xludf.DUMMYFUNCTION("""COMPUTED_VALUE"""),115.0)</f>
        <v>115</v>
      </c>
      <c r="B43" s="99" t="str">
        <f>IFERROR(__xludf.DUMMYFUNCTION("""COMPUTED_VALUE"""),"There is a city centre restaurant near Raja Indian Cuisine called The Mill, that serves English food in the less than Â£20 price range. This venue is not suited for families with children.")</f>
        <v>There is a city centre restaurant near Raja Indian Cuisine called The Mill, that serves English food in the less than Â£20 price range. This venue is not suited for families with children.</v>
      </c>
      <c r="C43" s="99" t="str">
        <f>IFERROR(__xludf.DUMMYFUNCTION("""COMPUTED_VALUE"""),"The Mill|eat_type|restaurant ++ The Mill|food|English ++ The Mill|price_range|less than Â£20 ++ The Mill|area|city centre ++ The Mill|family_friendly|no ++ The Mill|near|Raja Indian Cuisine")</f>
        <v>The Mill|eat_type|restaurant ++ The Mill|food|English ++ The Mill|price_range|less than Â£20 ++ The Mill|area|city centre ++ The Mill|family_friendly|no ++ The Mill|near|Raja Indian Cuisine</v>
      </c>
      <c r="D43" s="99" t="str">
        <f>IFERROR(__xludf.DUMMYFUNCTION("""COMPUTED_VALUE"""),"0.979")</f>
        <v>0.979</v>
      </c>
      <c r="E43" s="99" t="str">
        <f>IFERROR(__xludf.DUMMYFUNCTION("""COMPUTED_VALUE"""),"hallucination+omission")</f>
        <v>hallucination+omission</v>
      </c>
      <c r="F43" s="99" t="str">
        <f>IFERROR(__xludf.DUMMYFUNCTION("""COMPUTED_VALUE"""),"OK")</f>
        <v>OK</v>
      </c>
      <c r="G43" s="99"/>
      <c r="H43" s="99" t="str">
        <f>IFERROR(__xludf.DUMMYFUNCTION("""COMPUTED_VALUE"""),"x")</f>
        <v>x</v>
      </c>
      <c r="I43" s="99"/>
      <c r="J43" s="99"/>
      <c r="K43" s="99"/>
      <c r="L43" s="99"/>
      <c r="M43" s="99"/>
      <c r="N43" s="99"/>
      <c r="O43" s="99"/>
      <c r="P43" s="99"/>
    </row>
    <row r="44">
      <c r="A44" s="99">
        <f>IFERROR(__xludf.DUMMYFUNCTION("""COMPUTED_VALUE"""),114.0)</f>
        <v>114</v>
      </c>
      <c r="B44" s="99" t="str">
        <f>IFERROR(__xludf.DUMMYFUNCTION("""COMPUTED_VALUE"""),"There is a low rated , family friendly restaurant called The Punter that serves moderately priced Indian food near the river and Express by Holiday Inn .")</f>
        <v>There is a low rated , family friendly restaurant called The Punter that serves moderately priced Indian food near the river and Express by Holiday Inn .</v>
      </c>
      <c r="C44" s="99" t="str">
        <f>IFERROR(__xludf.DUMMYFUNCTION("""COMPUTED_VALUE"""),"The Punter|eat_type|restaurant ++ The Punter|food|Indian ++ The Punter|price_range|cheap ++ The Punter|rating|average ++ The Punter|area|riverside ++ The Punter|family_friendly|yes ++ The Punter|near|Express by Holiday Inn")</f>
        <v>The Punter|eat_type|restaurant ++ The Punter|food|Indian ++ The Punter|price_range|cheap ++ The Punter|rating|average ++ The Punter|area|riverside ++ The Punter|family_friendly|yes ++ The Punter|near|Express by Holiday Inn</v>
      </c>
      <c r="D44" s="99" t="str">
        <f>IFERROR(__xludf.DUMMYFUNCTION("""COMPUTED_VALUE"""),"0.025")</f>
        <v>0.025</v>
      </c>
      <c r="E44" s="99" t="str">
        <f>IFERROR(__xludf.DUMMYFUNCTION("""COMPUTED_VALUE"""),"hallucination+omission")</f>
        <v>hallucination+omission</v>
      </c>
      <c r="F44" s="99" t="str">
        <f>IFERROR(__xludf.DUMMYFUNCTION("""COMPUTED_VALUE"""),"omission")</f>
        <v>omission</v>
      </c>
      <c r="G44" s="99" t="str">
        <f>IFERROR(__xludf.DUMMYFUNCTION("""COMPUTED_VALUE"""),"x")</f>
        <v>x</v>
      </c>
      <c r="H44" s="99"/>
      <c r="I44" s="99"/>
      <c r="J44" s="99"/>
      <c r="K44" s="99"/>
      <c r="L44" s="99"/>
      <c r="M44" s="99"/>
      <c r="N44" s="99"/>
      <c r="O44" s="99"/>
      <c r="P44" s="99" t="str">
        <f>IFERROR(__xludf.DUMMYFUNCTION("""COMPUTED_VALUE"""),"customer rating")</f>
        <v>customer rating</v>
      </c>
    </row>
    <row r="45">
      <c r="A45" s="99">
        <f>IFERROR(__xludf.DUMMYFUNCTION("""COMPUTED_VALUE"""),112.0)</f>
        <v>112</v>
      </c>
      <c r="B45" s="99" t="str">
        <f>IFERROR(__xludf.DUMMYFUNCTION("""COMPUTED_VALUE"""),"The Phoenix is a high priced french restaurant located in the city centre near Crowne Plaza Hotel. It is not child friendly and has a customer rating of 3 out of 5.'")</f>
        <v>The Phoenix is a high priced french restaurant located in the city centre near Crowne Plaza Hotel. It is not child friendly and has a customer rating of 3 out of 5.'</v>
      </c>
      <c r="C45" s="99" t="str">
        <f>IFERROR(__xludf.DUMMYFUNCTION("""COMPUTED_VALUE"""),"The Phoenix|eat_type|pub ++ The Phoenix|food|French ++ The Phoenix|price_range|high ++ The Phoenix|rating|3 out of 5 ++ The Phoenix|area|city centre ++ The Phoenix|family_friendly|no ++ The Phoenix|near|Crowne Plaza Hotel")</f>
        <v>The Phoenix|eat_type|pub ++ The Phoenix|food|French ++ The Phoenix|price_range|high ++ The Phoenix|rating|3 out of 5 ++ The Phoenix|area|city centre ++ The Phoenix|family_friendly|no ++ The Phoenix|near|Crowne Plaza Hotel</v>
      </c>
      <c r="D45" s="99" t="str">
        <f>IFERROR(__xludf.DUMMYFUNCTION("""COMPUTED_VALUE"""),"0.001")</f>
        <v>0.001</v>
      </c>
      <c r="E45" s="99" t="str">
        <f>IFERROR(__xludf.DUMMYFUNCTION("""COMPUTED_VALUE"""),"hallucination+omission")</f>
        <v>hallucination+omission</v>
      </c>
      <c r="F45" s="99" t="str">
        <f>IFERROR(__xludf.DUMMYFUNCTION("""COMPUTED_VALUE"""),"omission")</f>
        <v>omission</v>
      </c>
      <c r="G45" s="99" t="str">
        <f>IFERROR(__xludf.DUMMYFUNCTION("""COMPUTED_VALUE"""),"x")</f>
        <v>x</v>
      </c>
      <c r="H45" s="99"/>
      <c r="I45" s="99"/>
      <c r="J45" s="99" t="str">
        <f>IFERROR(__xludf.DUMMYFUNCTION("""COMPUTED_VALUE"""),"x")</f>
        <v>x</v>
      </c>
      <c r="K45" s="99"/>
      <c r="L45" s="99"/>
      <c r="M45" s="99"/>
      <c r="N45" s="99"/>
      <c r="O45" s="99"/>
      <c r="P45" s="99"/>
    </row>
    <row r="46">
      <c r="A46" s="99">
        <f>IFERROR(__xludf.DUMMYFUNCTION("""COMPUTED_VALUE"""),111.0)</f>
        <v>111</v>
      </c>
      <c r="B46" s="99" t="str">
        <f>IFERROR(__xludf.DUMMYFUNCTION("""COMPUTED_VALUE"""),"The Cricketers provides chinese food in the less than Â£20 price range. It is located in the city centre. It is near All Bar One. Its customer rating is low. It is not family-friendly.'")</f>
        <v>The Cricketers provides chinese food in the less than Â£20 price range. It is located in the city centre. It is near All Bar One. Its customer rating is low. It is not family-friendly.'</v>
      </c>
      <c r="C46" s="99" t="str">
        <f>IFERROR(__xludf.DUMMYFUNCTION("""COMPUTED_VALUE"""),"The Cricketers|eat_type|restaurant ++ The Cricketers|food|Chinese ++ The Cricketers|price_range|less than Â£20 ++ The Cricketers|rating|low ++ The Cricketers|area|city centre ++ The Cricketers|family_friendly|no ++ The Cricketers|near|All Bar One")</f>
        <v>The Cricketers|eat_type|restaurant ++ The Cricketers|food|Chinese ++ The Cricketers|price_range|less than Â£20 ++ The Cricketers|rating|low ++ The Cricketers|area|city centre ++ The Cricketers|family_friendly|no ++ The Cricketers|near|All Bar One</v>
      </c>
      <c r="D46" s="99" t="str">
        <f>IFERROR(__xludf.DUMMYFUNCTION("""COMPUTED_VALUE"""),"0.811")</f>
        <v>0.811</v>
      </c>
      <c r="E46" s="99" t="str">
        <f>IFERROR(__xludf.DUMMYFUNCTION("""COMPUTED_VALUE"""),"omission")</f>
        <v>omission</v>
      </c>
      <c r="F46" s="99" t="str">
        <f>IFERROR(__xludf.DUMMYFUNCTION("""COMPUTED_VALUE"""),"OK")</f>
        <v>OK</v>
      </c>
      <c r="G46" s="99" t="str">
        <f>IFERROR(__xludf.DUMMYFUNCTION("""COMPUTED_VALUE"""),"x")</f>
        <v>x</v>
      </c>
      <c r="H46" s="99"/>
      <c r="I46" s="99"/>
      <c r="J46" s="99" t="str">
        <f>IFERROR(__xludf.DUMMYFUNCTION("""COMPUTED_VALUE"""),"x")</f>
        <v>x</v>
      </c>
      <c r="K46" s="99"/>
      <c r="L46" s="99"/>
      <c r="M46" s="99"/>
      <c r="N46" s="99"/>
      <c r="O46" s="99"/>
      <c r="P46" s="99"/>
    </row>
    <row r="47">
      <c r="A47" s="99">
        <f>IFERROR(__xludf.DUMMYFUNCTION("""COMPUTED_VALUE"""),52.0)</f>
        <v>52</v>
      </c>
      <c r="B47" s="99" t="str">
        <f>IFERROR(__xludf.DUMMYFUNCTION("""COMPUTED_VALUE"""),"The Vaults is a pub serving Japanese food with a high customer rating with meals £20-£25 and is family friendly in city centre area near Rainbow Vegetarian Café.")</f>
        <v>The Vaults is a pub serving Japanese food with a high customer rating with meals £20-£25 and is family friendly in city centre area near Rainbow Vegetarian Café.</v>
      </c>
      <c r="C47" s="99" t="str">
        <f>IFERROR(__xludf.DUMMYFUNCTION("""COMPUTED_VALUE"""),"The Vaults|eat_type|pub ++ The Vaults|food|Japanese ++ The Vaults|price_range|£20-25 ++ The Vaults|rating|high ++ The Vaults|area|city centre ++ The Vaults|family_friendly|yes ++ The Vaults|near|Rainbow Vegetarian Café")</f>
        <v>The Vaults|eat_type|pub ++ The Vaults|food|Japanese ++ The Vaults|price_range|£20-25 ++ The Vaults|rating|high ++ The Vaults|area|city centre ++ The Vaults|family_friendly|yes ++ The Vaults|near|Rainbow Vegetarian Café</v>
      </c>
      <c r="D47" s="99" t="str">
        <f>IFERROR(__xludf.DUMMYFUNCTION("""COMPUTED_VALUE"""),"0.959")</f>
        <v>0.959</v>
      </c>
      <c r="E47" s="99" t="str">
        <f>IFERROR(__xludf.DUMMYFUNCTION("""COMPUTED_VALUE"""),"omission")</f>
        <v>omission</v>
      </c>
      <c r="F47" s="99" t="str">
        <f>IFERROR(__xludf.DUMMYFUNCTION("""COMPUTED_VALUE"""),"OK")</f>
        <v>OK</v>
      </c>
      <c r="G47" s="99"/>
      <c r="H47" s="99" t="str">
        <f>IFERROR(__xludf.DUMMYFUNCTION("""COMPUTED_VALUE"""),"x")</f>
        <v>x</v>
      </c>
      <c r="I47" s="99"/>
      <c r="J47" s="99"/>
      <c r="K47" s="99"/>
      <c r="L47" s="99"/>
      <c r="M47" s="99"/>
      <c r="N47" s="99"/>
      <c r="O47" s="99"/>
      <c r="P47" s="99"/>
    </row>
    <row r="48">
      <c r="A48" s="99">
        <f>IFERROR(__xludf.DUMMYFUNCTION("""COMPUTED_VALUE"""),29.0)</f>
        <v>29</v>
      </c>
      <c r="B48" s="99" t="str">
        <f>IFERROR(__xludf.DUMMYFUNCTION("""COMPUTED_VALUE"""),"Giraffe is a beautiful restaurant close to the Rainbow Vegetarian Café . It is reasonably liked place serves English food and is children friendly .")</f>
        <v>Giraffe is a beautiful restaurant close to the Rainbow Vegetarian Café . It is reasonably liked place serves English food and is children friendly .</v>
      </c>
      <c r="C48" s="99" t="str">
        <f>IFERROR(__xludf.DUMMYFUNCTION("""COMPUTED_VALUE"""),"Giraffe|eat_type|restaurant ++ Giraffe|food|English ++ Giraffe|area|riverside ++ Giraffe|family_friendly|yes ++ Giraffe|near|Rainbow Vegetarian Café")</f>
        <v>Giraffe|eat_type|restaurant ++ Giraffe|food|English ++ Giraffe|area|riverside ++ Giraffe|family_friendly|yes ++ Giraffe|near|Rainbow Vegetarian Café</v>
      </c>
      <c r="D48" s="99" t="str">
        <f>IFERROR(__xludf.DUMMYFUNCTION("""COMPUTED_VALUE"""),"0.006")</f>
        <v>0.006</v>
      </c>
      <c r="E48" s="99" t="str">
        <f>IFERROR(__xludf.DUMMYFUNCTION("""COMPUTED_VALUE"""),"omission")</f>
        <v>omission</v>
      </c>
      <c r="F48" s="99" t="str">
        <f>IFERROR(__xludf.DUMMYFUNCTION("""COMPUTED_VALUE"""),"hallucination+omission")</f>
        <v>hallucination+omission</v>
      </c>
      <c r="G48" s="99"/>
      <c r="H48" s="99" t="str">
        <f>IFERROR(__xludf.DUMMYFUNCTION("""COMPUTED_VALUE"""),"x")</f>
        <v>x</v>
      </c>
      <c r="I48" s="99"/>
      <c r="J48" s="99"/>
      <c r="K48" s="99"/>
      <c r="L48" s="99"/>
      <c r="M48" s="99"/>
      <c r="N48" s="99" t="str">
        <f>IFERROR(__xludf.DUMMYFUNCTION("""COMPUTED_VALUE"""),"x")</f>
        <v>x</v>
      </c>
      <c r="O48" s="99" t="str">
        <f>IFERROR(__xludf.DUMMYFUNCTION("""COMPUTED_VALUE"""),"x")</f>
        <v>x</v>
      </c>
      <c r="P48" s="99" t="str">
        <f>IFERROR(__xludf.DUMMYFUNCTION("""COMPUTED_VALUE"""),"area+near")</f>
        <v>area+near</v>
      </c>
    </row>
    <row r="49">
      <c r="A49" s="99">
        <f>IFERROR(__xludf.DUMMYFUNCTION("""COMPUTED_VALUE"""),4.0)</f>
        <v>4</v>
      </c>
      <c r="B49" s="99" t="str">
        <f>IFERROR(__xludf.DUMMYFUNCTION("""COMPUTED_VALUE"""),"The Punter is a italian pub in the city centre near Rainbow Vegetarian Café. It has an average customer rating and a high price range. It is not children friendly.")</f>
        <v>The Punter is a italian pub in the city centre near Rainbow Vegetarian Café. It has an average customer rating and a high price range. It is not children friendly.</v>
      </c>
      <c r="C49" s="99" t="str">
        <f>IFERROR(__xludf.DUMMYFUNCTION("""COMPUTED_VALUE"""),"The Punter|eat_type|pub ++ The Punter|food|Italian ++ The Punter|price_range|high ++ The Punter|rating|average ++ The Punter|area|city centre ++ The Punter|family_friendly|no ++ The Punter|near|Rainbow Vegetarian Café")</f>
        <v>The Punter|eat_type|pub ++ The Punter|food|Italian ++ The Punter|price_range|high ++ The Punter|rating|average ++ The Punter|area|city centre ++ The Punter|family_friendly|no ++ The Punter|near|Rainbow Vegetarian Café</v>
      </c>
      <c r="D49" s="99" t="str">
        <f>IFERROR(__xludf.DUMMYFUNCTION("""COMPUTED_VALUE"""),"0.972")</f>
        <v>0.972</v>
      </c>
      <c r="E49" s="99" t="str">
        <f>IFERROR(__xludf.DUMMYFUNCTION("""COMPUTED_VALUE"""),"hallucination")</f>
        <v>hallucination</v>
      </c>
      <c r="F49" s="99" t="str">
        <f>IFERROR(__xludf.DUMMYFUNCTION("""COMPUTED_VALUE"""),"OK")</f>
        <v>OK</v>
      </c>
      <c r="G49" s="99"/>
      <c r="H49" s="99" t="str">
        <f>IFERROR(__xludf.DUMMYFUNCTION("""COMPUTED_VALUE"""),"x")</f>
        <v>x</v>
      </c>
      <c r="I49" s="99"/>
      <c r="J49" s="99"/>
      <c r="K49" s="99"/>
      <c r="L49" s="99"/>
      <c r="M49" s="99"/>
      <c r="N49" s="99"/>
      <c r="O49" s="99"/>
      <c r="P49" s="99"/>
    </row>
    <row r="50">
      <c r="A50" s="99">
        <f>IFERROR(__xludf.DUMMYFUNCTION("""COMPUTED_VALUE"""),62.0)</f>
        <v>62</v>
      </c>
      <c r="B50" s="99" t="str">
        <f>IFERROR(__xludf.DUMMYFUNCTION("""COMPUTED_VALUE"""),"The Mill, which is in the city centre area by Raja Indian Cuisine, is a cheap restaurant offering English cuisine. It is kid-friendly.")</f>
        <v>The Mill, which is in the city centre area by Raja Indian Cuisine, is a cheap restaurant offering English cuisine. It is kid-friendly.</v>
      </c>
      <c r="C50" s="99" t="str">
        <f>IFERROR(__xludf.DUMMYFUNCTION("""COMPUTED_VALUE"""),"The Mill|eat_type|restaurant ++ The Mill|food|English ++ The Mill|price_range|less than £20 ++ The Mill|area|city centre ++ The Mill|family_friendly|yes ++ The Mill|near|Raja Indian Cuisine")</f>
        <v>The Mill|eat_type|restaurant ++ The Mill|food|English ++ The Mill|price_range|less than £20 ++ The Mill|area|city centre ++ The Mill|family_friendly|yes ++ The Mill|near|Raja Indian Cuisine</v>
      </c>
      <c r="D50" s="99" t="str">
        <f>IFERROR(__xludf.DUMMYFUNCTION("""COMPUTED_VALUE"""),"0.047")</f>
        <v>0.047</v>
      </c>
      <c r="E50" s="99" t="str">
        <f>IFERROR(__xludf.DUMMYFUNCTION("""COMPUTED_VALUE"""),"OK")</f>
        <v>OK</v>
      </c>
      <c r="F50" s="99" t="str">
        <f>IFERROR(__xludf.DUMMYFUNCTION("""COMPUTED_VALUE"""),"omission")</f>
        <v>omission</v>
      </c>
      <c r="G50" s="99" t="str">
        <f>IFERROR(__xludf.DUMMYFUNCTION("""COMPUTED_VALUE"""),"x")</f>
        <v>x</v>
      </c>
      <c r="H50" s="99"/>
      <c r="I50" s="99"/>
      <c r="J50" s="99"/>
      <c r="K50" s="99"/>
      <c r="L50" s="99"/>
      <c r="M50" s="99"/>
      <c r="N50" s="99"/>
      <c r="O50" s="99"/>
      <c r="P50" s="99"/>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sheetData>
    <row r="1">
      <c r="A1" s="99" t="str">
        <f>'Original-E2E'!A2</f>
        <v/>
      </c>
      <c r="B1" s="99" t="str">
        <f>'Original-E2E'!B2</f>
        <v>sent</v>
      </c>
      <c r="C1" s="99" t="str">
        <f>'Original-E2E'!C2</f>
        <v>MRs</v>
      </c>
      <c r="D1" s="99" t="str">
        <f>'Original-E2E'!D2</f>
        <v>OK_conf</v>
      </c>
      <c r="E1" s="99" t="str">
        <f>'Original-E2E'!E2</f>
        <v>error_type</v>
      </c>
      <c r="F1" s="99" t="str">
        <f>'Original-E2E'!F2</f>
        <v/>
      </c>
      <c r="G1" s="99" t="str">
        <f>'Original-E2E'!G2</f>
        <v>who is correct</v>
      </c>
      <c r="H1" s="99" t="str">
        <f>'Original-E2E'!H2</f>
        <v/>
      </c>
      <c r="I1" s="99" t="str">
        <f>'Original-E2E'!I2</f>
        <v/>
      </c>
      <c r="J1" s="99" t="str">
        <f>'Original-E2E'!J2</f>
        <v>problem</v>
      </c>
      <c r="K1" s="99" t="str">
        <f>'Original-E2E'!K2</f>
        <v/>
      </c>
      <c r="L1" s="99" t="str">
        <f>'Original-E2E'!L2</f>
        <v/>
      </c>
      <c r="M1" s="99" t="str">
        <f>'Original-E2E'!M2</f>
        <v/>
      </c>
      <c r="N1" s="99" t="str">
        <f>'Original-E2E'!N2</f>
        <v/>
      </c>
      <c r="O1" s="99" t="str">
        <f>'Original-E2E'!O2</f>
        <v/>
      </c>
      <c r="P1" s="99" t="str">
        <f>'Original-E2E'!P2</f>
        <v/>
      </c>
    </row>
    <row r="2">
      <c r="A2" s="99" t="str">
        <f>'Original-E2E'!A3</f>
        <v>#</v>
      </c>
      <c r="B2" s="99" t="str">
        <f>'Original-E2E'!B3</f>
        <v/>
      </c>
      <c r="C2" s="99" t="str">
        <f>'Original-E2E'!C3</f>
        <v/>
      </c>
      <c r="D2" s="99" t="str">
        <f>'Original-E2E'!D3</f>
        <v/>
      </c>
      <c r="E2" s="99" t="str">
        <f>'Original-E2E'!E3</f>
        <v>gold</v>
      </c>
      <c r="F2" s="99" t="str">
        <f>'Original-E2E'!F3</f>
        <v>NLI</v>
      </c>
      <c r="G2" s="99" t="str">
        <f>'Original-E2E'!G3</f>
        <v>gold</v>
      </c>
      <c r="H2" s="99" t="str">
        <f>'Original-E2E'!H3</f>
        <v>NLI</v>
      </c>
      <c r="I2" s="99" t="str">
        <f>'Original-E2E'!I3</f>
        <v>neither / cannot decide</v>
      </c>
      <c r="J2" s="99" t="str">
        <f>'Original-E2E'!J3</f>
        <v>eatType=restaurant</v>
      </c>
      <c r="K2" s="99" t="str">
        <f>'Original-E2E'!K3</f>
        <v>priceRange</v>
      </c>
      <c r="L2" s="99" t="str">
        <f>'Original-E2E'!L3</f>
        <v>familyFriendly</v>
      </c>
      <c r="M2" s="99" t="str">
        <f>'Original-E2E'!M3</f>
        <v>off-topic blabber</v>
      </c>
      <c r="N2" s="99" t="str">
        <f>'Original-E2E'!N3</f>
        <v>unjustified omission</v>
      </c>
      <c r="O2" s="99" t="str">
        <f>'Original-E2E'!O3</f>
        <v>unjustified hallucination</v>
      </c>
      <c r="P2" s="99" t="str">
        <f>'Original-E2E'!P3</f>
        <v>other</v>
      </c>
    </row>
    <row r="3">
      <c r="A3" s="99">
        <f>'retrieve E2E TCF random'!A5</f>
        <v>2</v>
      </c>
      <c r="B3" s="99" t="str">
        <f>'retrieve E2E TCF random'!B5</f>
        <v>The Phoenix, which offers fast food, is a mid-priced pub. It has a customer rating of 3 out of 5. It is in riverside near Café Sicilia. It is family-friendly.</v>
      </c>
      <c r="C3" s="99" t="str">
        <f>'retrieve E2E TCF random'!C5</f>
        <v>The Phoenix|eat_type|pub ++ The Phoenix|food|Fast food ++ The Phoenix|price_range|moderate ++ The Phoenix|rating|3 out of 5 ++ The Phoenix|area|riverside ++ The Phoenix|family_friendly|yes ++ The Phoenix|near|Café Sicilia</v>
      </c>
      <c r="D3" s="99" t="str">
        <f>'retrieve E2E TCF random'!D5</f>
        <v>0.985</v>
      </c>
      <c r="E3" s="99" t="str">
        <f>'retrieve E2E TCF random'!E5</f>
        <v>omission</v>
      </c>
      <c r="F3" s="99" t="str">
        <f>'retrieve E2E TCF random'!F5</f>
        <v>OK</v>
      </c>
      <c r="G3" s="99" t="str">
        <f>'retrieve E2E TCF random'!G5</f>
        <v/>
      </c>
      <c r="H3" s="99" t="str">
        <f>'retrieve E2E TCF random'!H5</f>
        <v>x</v>
      </c>
      <c r="I3" s="99" t="str">
        <f>'retrieve E2E TCF random'!I5</f>
        <v/>
      </c>
      <c r="J3" s="99" t="str">
        <f>'retrieve E2E TCF random'!J5</f>
        <v/>
      </c>
      <c r="K3" s="99" t="str">
        <f>'retrieve E2E TCF random'!K5</f>
        <v/>
      </c>
      <c r="L3" s="99" t="str">
        <f>'retrieve E2E TCF random'!L5</f>
        <v/>
      </c>
      <c r="M3" s="99" t="str">
        <f>'retrieve E2E TCF random'!M5</f>
        <v/>
      </c>
      <c r="N3" s="99" t="str">
        <f>'retrieve E2E TCF random'!N5</f>
        <v/>
      </c>
      <c r="O3" s="99" t="str">
        <f>'retrieve E2E TCF random'!O5</f>
        <v/>
      </c>
      <c r="P3" s="99" t="str">
        <f>'retrieve E2E TCF random'!P5</f>
        <v/>
      </c>
    </row>
    <row r="4">
      <c r="A4" s="99">
        <f>'retrieve E2E AB random'!A31</f>
        <v>3</v>
      </c>
      <c r="B4" s="99" t="str">
        <f>'retrieve E2E AB random'!B31</f>
        <v>The Mill can be found near Café Sicilia . It is a cheap , family friendly pub with a five star rating and full service .</v>
      </c>
      <c r="C4" s="99" t="str">
        <f>'retrieve E2E AB random'!C31</f>
        <v>The Mill|eat_type|pub ++ The Mill|food|Fast food ++ The Mill|price_range|cheap ++ The Mill|rating|5 out of 5 ++ The Mill|area|riverside ++ The Mill|family_friendly|yes ++ The Mill|near|Café Sicilia</v>
      </c>
      <c r="D4" s="99" t="str">
        <f>'retrieve E2E AB random'!D31</f>
        <v>0.004</v>
      </c>
      <c r="E4" s="99" t="str">
        <f>'retrieve E2E AB random'!E31</f>
        <v>omission</v>
      </c>
      <c r="F4" s="99" t="str">
        <f>'retrieve E2E AB random'!F31</f>
        <v>hallucination+omission</v>
      </c>
      <c r="G4" s="99" t="str">
        <f>'retrieve E2E AB random'!G31</f>
        <v/>
      </c>
      <c r="H4" s="99" t="str">
        <f>'retrieve E2E AB random'!H31</f>
        <v>x</v>
      </c>
      <c r="I4" s="99" t="str">
        <f>'retrieve E2E AB random'!I31</f>
        <v/>
      </c>
      <c r="J4" s="99" t="str">
        <f>'retrieve E2E AB random'!J31</f>
        <v/>
      </c>
      <c r="K4" s="99" t="str">
        <f>'retrieve E2E AB random'!K31</f>
        <v/>
      </c>
      <c r="L4" s="99" t="str">
        <f>'retrieve E2E AB random'!L31</f>
        <v/>
      </c>
      <c r="M4" s="99" t="str">
        <f>'retrieve E2E AB random'!M31</f>
        <v>x</v>
      </c>
      <c r="N4" s="99" t="str">
        <f>'retrieve E2E AB random'!N31</f>
        <v/>
      </c>
      <c r="O4" s="99" t="str">
        <f>'retrieve E2E AB random'!O31</f>
        <v/>
      </c>
      <c r="P4" s="99" t="str">
        <f>'retrieve E2E AB random'!P31</f>
        <v>gold misses hallucination ('full service'); unclear why</v>
      </c>
    </row>
    <row r="5">
      <c r="A5" s="99">
        <f>'retrieve E2E TCF random'!A49</f>
        <v>4</v>
      </c>
      <c r="B5" s="99" t="str">
        <f>'retrieve E2E TCF random'!B49</f>
        <v>The Punter is a italian pub in the city centre near Rainbow Vegetarian Café. It has an average customer rating and a high price range. It is not children friendly.</v>
      </c>
      <c r="C5" s="99" t="str">
        <f>'retrieve E2E TCF random'!C49</f>
        <v>The Punter|eat_type|pub ++ The Punter|food|Italian ++ The Punter|price_range|high ++ The Punter|rating|average ++ The Punter|area|city centre ++ The Punter|family_friendly|no ++ The Punter|near|Rainbow Vegetarian Café</v>
      </c>
      <c r="D5" s="99" t="str">
        <f>'retrieve E2E TCF random'!D49</f>
        <v>0.972</v>
      </c>
      <c r="E5" s="99" t="str">
        <f>'retrieve E2E TCF random'!E49</f>
        <v>hallucination</v>
      </c>
      <c r="F5" s="99" t="str">
        <f>'retrieve E2E TCF random'!F49</f>
        <v>OK</v>
      </c>
      <c r="G5" s="99" t="str">
        <f>'retrieve E2E TCF random'!G49</f>
        <v/>
      </c>
      <c r="H5" s="99" t="str">
        <f>'retrieve E2E TCF random'!H49</f>
        <v>x</v>
      </c>
      <c r="I5" s="99" t="str">
        <f>'retrieve E2E TCF random'!I49</f>
        <v/>
      </c>
      <c r="J5" s="99" t="str">
        <f>'retrieve E2E TCF random'!J49</f>
        <v/>
      </c>
      <c r="K5" s="99" t="str">
        <f>'retrieve E2E TCF random'!K49</f>
        <v/>
      </c>
      <c r="L5" s="99" t="str">
        <f>'retrieve E2E TCF random'!L49</f>
        <v/>
      </c>
      <c r="M5" s="99" t="str">
        <f>'retrieve E2E TCF random'!M49</f>
        <v/>
      </c>
      <c r="N5" s="99" t="str">
        <f>'retrieve E2E TCF random'!N49</f>
        <v/>
      </c>
      <c r="O5" s="99" t="str">
        <f>'retrieve E2E TCF random'!O49</f>
        <v/>
      </c>
      <c r="P5" s="99" t="str">
        <f>'retrieve E2E TCF random'!P49</f>
        <v/>
      </c>
    </row>
    <row r="6">
      <c r="A6" s="99">
        <f>'retrieve E2E TCF random'!A27</f>
        <v>5</v>
      </c>
      <c r="B6" s="99" t="str">
        <f>'retrieve E2E TCF random'!B27</f>
        <v>For a child-friendly, average-rated restaurant serving Italian, try The Punter, in the riverside area, near Rainbow Vegetarian Café.</v>
      </c>
      <c r="C6" s="99" t="str">
        <f>'retrieve E2E TCF random'!C27</f>
        <v>The Punter|eat_type|restaurant ++ The Punter|food|Italian ++ The Punter|price_range|cheap ++ The Punter|rating|average ++ The Punter|area|riverside ++ The Punter|family_friendly|yes ++ The Punter|near|Rainbow Vegetarian Café</v>
      </c>
      <c r="D6" s="99" t="str">
        <f>'retrieve E2E TCF random'!D27</f>
        <v>0.550</v>
      </c>
      <c r="E6" s="99" t="str">
        <f>'retrieve E2E TCF random'!E27</f>
        <v>omission</v>
      </c>
      <c r="F6" s="99" t="str">
        <f>'retrieve E2E TCF random'!F27</f>
        <v>OK</v>
      </c>
      <c r="G6" s="99" t="str">
        <f>'retrieve E2E TCF random'!G27</f>
        <v>x</v>
      </c>
      <c r="H6" s="99" t="str">
        <f>'retrieve E2E TCF random'!H27</f>
        <v/>
      </c>
      <c r="I6" s="99" t="str">
        <f>'retrieve E2E TCF random'!I27</f>
        <v/>
      </c>
      <c r="J6" s="99" t="str">
        <f>'retrieve E2E TCF random'!J27</f>
        <v/>
      </c>
      <c r="K6" s="99" t="str">
        <f>'retrieve E2E TCF random'!K27</f>
        <v/>
      </c>
      <c r="L6" s="99" t="str">
        <f>'retrieve E2E TCF random'!L27</f>
        <v/>
      </c>
      <c r="M6" s="99" t="str">
        <f>'retrieve E2E TCF random'!M27</f>
        <v/>
      </c>
      <c r="N6" s="99" t="str">
        <f>'retrieve E2E TCF random'!N27</f>
        <v>x</v>
      </c>
      <c r="O6" s="99" t="str">
        <f>'retrieve E2E TCF random'!O27</f>
        <v/>
      </c>
      <c r="P6" s="99" t="str">
        <f>'retrieve E2E TCF random'!P27</f>
        <v>pricerange</v>
      </c>
    </row>
    <row r="7">
      <c r="A7" s="99">
        <f>'retrieve E2E AB random'!A37</f>
        <v>6</v>
      </c>
      <c r="B7" s="99" t="str">
        <f>'retrieve E2E AB random'!B37</f>
        <v>The Mill is a high pub that serves fast food. It is not children-friendly and has a rating of 1 out of 5. It is located in the riverside area near Café Sicilia.</v>
      </c>
      <c r="C7" s="99" t="str">
        <f>'retrieve E2E AB random'!C37</f>
        <v>The Mill|eat_type|pub ++ The Mill|food|Fast food ++ The Mill|price_range|high ++ The Mill|rating|1 out of 5 ++ The Mill|area|riverside ++ The Mill|family_friendly|no ++ The Mill|near|Café Sicilia</v>
      </c>
      <c r="D7" s="99" t="str">
        <f>'retrieve E2E AB random'!D37</f>
        <v>0.913</v>
      </c>
      <c r="E7" s="99" t="str">
        <f>'retrieve E2E AB random'!E37</f>
        <v>omission</v>
      </c>
      <c r="F7" s="99" t="str">
        <f>'retrieve E2E AB random'!F37</f>
        <v>OK</v>
      </c>
      <c r="G7" s="99" t="str">
        <f>'retrieve E2E AB random'!G37</f>
        <v/>
      </c>
      <c r="H7" s="99" t="str">
        <f>'retrieve E2E AB random'!H37</f>
        <v/>
      </c>
      <c r="I7" s="99" t="str">
        <f>'retrieve E2E AB random'!I37</f>
        <v>x</v>
      </c>
      <c r="J7" s="99" t="str">
        <f>'retrieve E2E AB random'!J37</f>
        <v/>
      </c>
      <c r="K7" s="99" t="str">
        <f>'retrieve E2E AB random'!K37</f>
        <v>x</v>
      </c>
      <c r="L7" s="99" t="str">
        <f>'retrieve E2E AB random'!L37</f>
        <v/>
      </c>
      <c r="M7" s="99" t="str">
        <f>'retrieve E2E AB random'!M37</f>
        <v>x</v>
      </c>
      <c r="N7" s="99" t="str">
        <f>'retrieve E2E AB random'!N37</f>
        <v> </v>
      </c>
      <c r="O7" s="99" t="str">
        <f>'retrieve E2E AB random'!O37</f>
        <v/>
      </c>
      <c r="P7" s="99" t="str">
        <f>'retrieve E2E AB random'!P37</f>
        <v>gold seems to diagnose 'high' for price_range=high as an omission because it's not a valid realisation; could go either way: both wrong or just gold wrong, because if it's not OK it's omission+hallucination</v>
      </c>
    </row>
    <row r="8">
      <c r="A8" s="99">
        <f>'retrieve E2E AB random'!A35</f>
        <v>7</v>
      </c>
      <c r="B8" s="99" t="str">
        <f>'retrieve E2E AB random'!B35</f>
        <v>The Punter, which has a low customer rating, is a low-priced restaurant offering Indian cuisine. It is in the riverside area by Express by Holiday Inn. It is not child-friendly.</v>
      </c>
      <c r="C8" s="99" t="str">
        <f>'retrieve E2E AB random'!C35</f>
        <v>The Punter|eat_type|restaurant ++ The Punter|food|Indian ++ The Punter|price_range|less than £20 ++ The Punter|rating|low ++ The Punter|area|riverside ++ The Punter|family_friendly|no ++ The Punter|near|Express by Holiday Inn</v>
      </c>
      <c r="D8" s="99" t="str">
        <f>'retrieve E2E AB random'!D35</f>
        <v>0.047</v>
      </c>
      <c r="E8" s="99" t="str">
        <f>'retrieve E2E AB random'!E35</f>
        <v>OK</v>
      </c>
      <c r="F8" s="99" t="str">
        <f>'retrieve E2E AB random'!F35</f>
        <v>omission</v>
      </c>
      <c r="G8" s="99" t="str">
        <f>'retrieve E2E AB random'!G35</f>
        <v>x</v>
      </c>
      <c r="H8" s="99" t="str">
        <f>'retrieve E2E AB random'!H35</f>
        <v/>
      </c>
      <c r="I8" s="99" t="str">
        <f>'retrieve E2E AB random'!I35</f>
        <v/>
      </c>
      <c r="J8" s="99" t="str">
        <f>'retrieve E2E AB random'!J35</f>
        <v/>
      </c>
      <c r="K8" s="99" t="str">
        <f>'retrieve E2E AB random'!K35</f>
        <v>x</v>
      </c>
      <c r="L8" s="99" t="str">
        <f>'retrieve E2E AB random'!L35</f>
        <v/>
      </c>
      <c r="M8" s="99" t="str">
        <f>'retrieve E2E AB random'!M35</f>
        <v/>
      </c>
      <c r="N8" s="99" t="str">
        <f>'retrieve E2E AB random'!N35</f>
        <v>x</v>
      </c>
      <c r="O8" s="99" t="str">
        <f>'retrieve E2E AB random'!O35</f>
        <v/>
      </c>
      <c r="P8" s="99" t="str">
        <f>'retrieve E2E AB random'!P35</f>
        <v>NLI wrongly has omission maybe because it doesn't recognise low priced as a realisation of &lt;£20</v>
      </c>
    </row>
    <row r="9">
      <c r="A9" s="99">
        <f>'retrieve E2E AB random'!A14</f>
        <v>8</v>
      </c>
      <c r="B9" s="99" t="str">
        <f>'retrieve E2E AB random'!B14</f>
        <v>The Mill, which has a low customer rating, is a low-priced restaurant offering English food. It is in city centre near Café Rouge. It is not family-friendly.</v>
      </c>
      <c r="C9" s="99" t="str">
        <f>'retrieve E2E AB random'!C14</f>
        <v>The Mill|eat_type|restaurant ++ The Mill|food|English ++ The Mill|price_range|less than £20 ++ The Mill|rating|low ++ The Mill|area|city centre ++ The Mill|family_friendly|no ++ The Mill|near|Café Rouge</v>
      </c>
      <c r="D9" s="99" t="str">
        <f>'retrieve E2E AB random'!D14</f>
        <v>0.033</v>
      </c>
      <c r="E9" s="99" t="str">
        <f>'retrieve E2E AB random'!E14</f>
        <v>OK</v>
      </c>
      <c r="F9" s="99" t="str">
        <f>'retrieve E2E AB random'!F14</f>
        <v>omission</v>
      </c>
      <c r="G9" s="99" t="str">
        <f>'retrieve E2E AB random'!G14</f>
        <v>x</v>
      </c>
      <c r="H9" s="99" t="str">
        <f>'retrieve E2E AB random'!H14</f>
        <v/>
      </c>
      <c r="I9" s="99" t="str">
        <f>'retrieve E2E AB random'!I14</f>
        <v/>
      </c>
      <c r="J9" s="99" t="str">
        <f>'retrieve E2E AB random'!J14</f>
        <v/>
      </c>
      <c r="K9" s="99" t="str">
        <f>'retrieve E2E AB random'!K14</f>
        <v>x</v>
      </c>
      <c r="L9" s="99" t="str">
        <f>'retrieve E2E AB random'!L14</f>
        <v/>
      </c>
      <c r="M9" s="99" t="str">
        <f>'retrieve E2E AB random'!M14</f>
        <v/>
      </c>
      <c r="N9" s="99" t="str">
        <f>'retrieve E2E AB random'!N14</f>
        <v>x</v>
      </c>
      <c r="O9" s="99" t="str">
        <f>'retrieve E2E AB random'!O14</f>
        <v/>
      </c>
      <c r="P9" s="99" t="str">
        <f>'retrieve E2E AB random'!P14</f>
        <v>NLI wrongly has omission maybe because it doesn't recognise low priced as a realisation of &lt;£20</v>
      </c>
    </row>
    <row r="10">
      <c r="A10" s="99">
        <f>'retrieve E2E AB random'!A47</f>
        <v>9</v>
      </c>
      <c r="B10" s="99" t="str">
        <f>'retrieve E2E AB random'!B47</f>
        <v>Giraffe is a French restaurant in the riverside near Raja Indian Cuisine, it is not family-friendly. It is a pub.</v>
      </c>
      <c r="C10" s="99" t="str">
        <f>'retrieve E2E AB random'!C47</f>
        <v>Giraffe|eat_type|pub ++ Giraffe|food|French ++ Giraffe|area|riverside ++ Giraffe|family_friendly|no ++ Giraffe|near|Raja Indian Cuisine</v>
      </c>
      <c r="D10" s="99" t="str">
        <f>'retrieve E2E AB random'!D47</f>
        <v>0.771</v>
      </c>
      <c r="E10" s="99" t="str">
        <f>'retrieve E2E AB random'!E47</f>
        <v>hallucination</v>
      </c>
      <c r="F10" s="99" t="str">
        <f>'retrieve E2E AB random'!F47</f>
        <v>OK</v>
      </c>
      <c r="G10" s="99" t="str">
        <f>'retrieve E2E AB random'!G47</f>
        <v>x</v>
      </c>
      <c r="H10" s="99" t="str">
        <f>'retrieve E2E AB random'!H47</f>
        <v/>
      </c>
      <c r="I10" s="99" t="str">
        <f>'retrieve E2E AB random'!I47</f>
        <v/>
      </c>
      <c r="J10" s="99" t="str">
        <f>'retrieve E2E AB random'!J47</f>
        <v/>
      </c>
      <c r="K10" s="99" t="str">
        <f>'retrieve E2E AB random'!K47</f>
        <v/>
      </c>
      <c r="L10" s="99" t="str">
        <f>'retrieve E2E AB random'!L47</f>
        <v/>
      </c>
      <c r="M10" s="99" t="str">
        <f>'retrieve E2E AB random'!M47</f>
        <v>x</v>
      </c>
      <c r="N10" s="99" t="str">
        <f>'retrieve E2E AB random'!N47</f>
        <v/>
      </c>
      <c r="O10" s="99" t="str">
        <f>'retrieve E2E AB random'!O47</f>
        <v/>
      </c>
      <c r="P10" s="99" t="str">
        <f>'retrieve E2E AB random'!P47</f>
        <v>NLI wrongly has OK (eat_type=pub but both 'restaurant' and pub)</v>
      </c>
    </row>
    <row r="11">
      <c r="A11" s="99">
        <f>'retrieve E2E AB random'!A13</f>
        <v>10</v>
      </c>
      <c r="B11" s="99" t="str">
        <f>'retrieve E2E AB random'!B13</f>
        <v>The Cricketers, which has a low customer rating, is a cheap restaurant offering Chinese food. It is in riverside near All Bar One. It is not child-friendly.</v>
      </c>
      <c r="C11" s="99" t="str">
        <f>'retrieve E2E AB random'!C13</f>
        <v>The Cricketers|eat_type|restaurant ++ The Cricketers|food|Chinese ++ The Cricketers|price_range|less than £20 ++ The Cricketers|rating|low ++ The Cricketers|area|riverside ++ The Cricketers|family_friendly|no ++ The Cricketers|near|All Bar One</v>
      </c>
      <c r="D11" s="99" t="str">
        <f>'retrieve E2E AB random'!D13</f>
        <v>0.049</v>
      </c>
      <c r="E11" s="99" t="str">
        <f>'retrieve E2E AB random'!E13</f>
        <v>OK</v>
      </c>
      <c r="F11" s="99" t="str">
        <f>'retrieve E2E AB random'!F13</f>
        <v>omission</v>
      </c>
      <c r="G11" s="99" t="str">
        <f>'retrieve E2E AB random'!G13</f>
        <v>x</v>
      </c>
      <c r="H11" s="99" t="str">
        <f>'retrieve E2E AB random'!H13</f>
        <v/>
      </c>
      <c r="I11" s="99" t="str">
        <f>'retrieve E2E AB random'!I13</f>
        <v/>
      </c>
      <c r="J11" s="99" t="str">
        <f>'retrieve E2E AB random'!J13</f>
        <v/>
      </c>
      <c r="K11" s="99" t="str">
        <f>'retrieve E2E AB random'!K13</f>
        <v>x</v>
      </c>
      <c r="L11" s="99" t="str">
        <f>'retrieve E2E AB random'!L13</f>
        <v/>
      </c>
      <c r="M11" s="99" t="str">
        <f>'retrieve E2E AB random'!M13</f>
        <v/>
      </c>
      <c r="N11" s="99" t="str">
        <f>'retrieve E2E AB random'!N13</f>
        <v>x</v>
      </c>
      <c r="O11" s="99" t="str">
        <f>'retrieve E2E AB random'!O13</f>
        <v/>
      </c>
      <c r="P11" s="99" t="str">
        <f>'retrieve E2E AB random'!P13</f>
        <v>NLI wrongly has omission maybe because it doesn't recognise low priced as a realisation of &lt;£20</v>
      </c>
    </row>
    <row r="12">
      <c r="A12" s="99">
        <f>'retrieve E2E TCF random'!A18</f>
        <v>11</v>
      </c>
      <c r="B12" s="99" t="str">
        <f>'retrieve E2E TCF random'!B18</f>
        <v>The Phoenix is a restaurant that also serves Indian food. The price range is £20-£25 and rated a high by customers. The Phoenix is not a kid friendly place but if you would like to try it, it is located by the city centre area near Crowne Plaza Hotel.</v>
      </c>
      <c r="C12" s="99" t="str">
        <f>'retrieve E2E TCF random'!C18</f>
        <v>The Phoenix|eat_type|restaurant ++ The Phoenix|food|Indian ++ The Phoenix|price_range|£20-25 ++ The Phoenix|rating|high ++ The Phoenix|area|city centre ++ The Phoenix|family_friendly|no ++ The Phoenix|near|Crowne Plaza Hotel</v>
      </c>
      <c r="D12" s="99" t="str">
        <f>'retrieve E2E TCF random'!D18</f>
        <v>0.967</v>
      </c>
      <c r="E12" s="99" t="str">
        <f>'retrieve E2E TCF random'!E18</f>
        <v>omission</v>
      </c>
      <c r="F12" s="99" t="str">
        <f>'retrieve E2E TCF random'!F18</f>
        <v>OK</v>
      </c>
      <c r="G12" s="99" t="str">
        <f>'retrieve E2E TCF random'!G18</f>
        <v/>
      </c>
      <c r="H12" s="99" t="str">
        <f>'retrieve E2E TCF random'!H18</f>
        <v>x</v>
      </c>
      <c r="I12" s="99" t="str">
        <f>'retrieve E2E TCF random'!I18</f>
        <v/>
      </c>
      <c r="J12" s="99" t="str">
        <f>'retrieve E2E TCF random'!J18</f>
        <v/>
      </c>
      <c r="K12" s="99" t="str">
        <f>'retrieve E2E TCF random'!K18</f>
        <v/>
      </c>
      <c r="L12" s="99" t="str">
        <f>'retrieve E2E TCF random'!L18</f>
        <v/>
      </c>
      <c r="M12" s="99" t="str">
        <f>'retrieve E2E TCF random'!M18</f>
        <v/>
      </c>
      <c r="N12" s="99" t="str">
        <f>'retrieve E2E TCF random'!N18</f>
        <v/>
      </c>
      <c r="O12" s="99" t="str">
        <f>'retrieve E2E TCF random'!O18</f>
        <v/>
      </c>
      <c r="P12" s="99" t="str">
        <f>'retrieve E2E TCF random'!P18</f>
        <v/>
      </c>
    </row>
    <row r="13">
      <c r="A13" s="99">
        <f>'retrieve E2E AB random'!A48</f>
        <v>12</v>
      </c>
      <c r="B13" s="99" t="str">
        <f>'retrieve E2E AB random'!B48</f>
        <v>Located near Café Sicilia in the city centre, The Mill is a Fast food pub with a high price range and an average customer rating and is not child friendly.</v>
      </c>
      <c r="C13" s="99" t="str">
        <f>'retrieve E2E AB random'!C48</f>
        <v>The Mill|eat_type|pub ++ The Mill|food|Fast food ++ The Mill|price_range|high ++ The Mill|rating|average ++ The Mill|area|city centre ++ The Mill|family_friendly|no ++ The Mill|near|Café Sicilia</v>
      </c>
      <c r="D13" s="99" t="str">
        <f>'retrieve E2E AB random'!D48</f>
        <v>0.973</v>
      </c>
      <c r="E13" s="99" t="str">
        <f>'retrieve E2E AB random'!E48</f>
        <v>hallucination</v>
      </c>
      <c r="F13" s="99" t="str">
        <f>'retrieve E2E AB random'!F48</f>
        <v>OK</v>
      </c>
      <c r="G13" s="99" t="str">
        <f>'retrieve E2E AB random'!G48</f>
        <v/>
      </c>
      <c r="H13" s="99" t="str">
        <f>'retrieve E2E AB random'!H48</f>
        <v>x</v>
      </c>
      <c r="I13" s="99" t="str">
        <f>'retrieve E2E AB random'!I48</f>
        <v/>
      </c>
      <c r="J13" s="99" t="str">
        <f>'retrieve E2E AB random'!J48</f>
        <v/>
      </c>
      <c r="K13" s="99" t="str">
        <f>'retrieve E2E AB random'!K48</f>
        <v/>
      </c>
      <c r="L13" s="99" t="str">
        <f>'retrieve E2E AB random'!L48</f>
        <v/>
      </c>
      <c r="M13" s="99" t="str">
        <f>'retrieve E2E AB random'!M48</f>
        <v/>
      </c>
      <c r="N13" s="99" t="str">
        <f>'retrieve E2E AB random'!N48</f>
        <v/>
      </c>
      <c r="O13" s="99" t="str">
        <f>'retrieve E2E AB random'!O48</f>
        <v>x</v>
      </c>
      <c r="P13" s="99" t="str">
        <f>'retrieve E2E AB random'!P48</f>
        <v>gold wrongly has hallucination; unclear why</v>
      </c>
    </row>
    <row r="14">
      <c r="A14" s="99">
        <f>'retrieve E2E TCF random'!A17</f>
        <v>13</v>
      </c>
      <c r="B14" s="99" t="str">
        <f>'retrieve E2E TCF random'!B17</f>
        <v>The Phoenix is a moderate priced pub that serves fast food . Kids are located in the city centre near Raja Indian Cuisine . Kids are home .</v>
      </c>
      <c r="C14" s="99" t="str">
        <f>'retrieve E2E TCF random'!C17</f>
        <v>The Phoenix|eat_type|pub ++ The Phoenix|food|Fast food ++ The Phoenix|price_range|moderate ++ The Phoenix|area|city centre ++ The Phoenix|family_friendly|yes ++ The Phoenix|near|Raja Indian Cuisine</v>
      </c>
      <c r="D14" s="99" t="str">
        <f>'retrieve E2E TCF random'!D17</f>
        <v>0.722</v>
      </c>
      <c r="E14" s="99" t="str">
        <f>'retrieve E2E TCF random'!E17</f>
        <v>omission</v>
      </c>
      <c r="F14" s="99" t="str">
        <f>'retrieve E2E TCF random'!F17</f>
        <v>OK</v>
      </c>
      <c r="G14" s="99" t="str">
        <f>'retrieve E2E TCF random'!G17</f>
        <v>x</v>
      </c>
      <c r="H14" s="99" t="str">
        <f>'retrieve E2E TCF random'!H17</f>
        <v/>
      </c>
      <c r="I14" s="99" t="str">
        <f>'retrieve E2E TCF random'!I17</f>
        <v/>
      </c>
      <c r="J14" s="99" t="str">
        <f>'retrieve E2E TCF random'!J17</f>
        <v/>
      </c>
      <c r="K14" s="99" t="str">
        <f>'retrieve E2E TCF random'!K17</f>
        <v/>
      </c>
      <c r="L14" s="99" t="str">
        <f>'retrieve E2E TCF random'!L17</f>
        <v>x</v>
      </c>
      <c r="M14" s="99" t="str">
        <f>'retrieve E2E TCF random'!M17</f>
        <v/>
      </c>
      <c r="N14" s="99" t="str">
        <f>'retrieve E2E TCF random'!N17</f>
        <v/>
      </c>
      <c r="O14" s="99" t="str">
        <f>'retrieve E2E TCF random'!O17</f>
        <v/>
      </c>
      <c r="P14" s="99" t="str">
        <f>'retrieve E2E TCF random'!P17</f>
        <v/>
      </c>
    </row>
    <row r="15">
      <c r="A15" s="99">
        <f>'retrieve E2E AB random'!A50</f>
        <v>14</v>
      </c>
      <c r="B15" s="99" t="str">
        <f>'retrieve E2E AB random'!B50</f>
        <v>The Mill is a family - friendly restaurant offering spaghetti and breakfast at prices . It is located near Raja Indian Cuisine .</v>
      </c>
      <c r="C15" s="99" t="str">
        <f>'retrieve E2E AB random'!C50</f>
        <v>The Mill|eat_type|restaurant ++ The Mill|food|English ++ The Mill|price_range|more than £30 ++ The Mill|area|riverside ++ The Mill|family_friendly|yes ++ The Mill|near|Raja Indian Cuisine</v>
      </c>
      <c r="D15" s="99" t="str">
        <f>'retrieve E2E AB random'!D50</f>
        <v>0.003</v>
      </c>
      <c r="E15" s="99" t="str">
        <f>'retrieve E2E AB random'!E50</f>
        <v>omission</v>
      </c>
      <c r="F15" s="99" t="str">
        <f>'retrieve E2E AB random'!F50</f>
        <v>hallucination+omission</v>
      </c>
      <c r="G15" s="99" t="str">
        <f>'retrieve E2E AB random'!G50</f>
        <v/>
      </c>
      <c r="H15" s="99" t="str">
        <f>'retrieve E2E AB random'!H50</f>
        <v>x</v>
      </c>
      <c r="I15" s="99" t="str">
        <f>'retrieve E2E AB random'!I50</f>
        <v/>
      </c>
      <c r="J15" s="99" t="str">
        <f>'retrieve E2E AB random'!J50</f>
        <v/>
      </c>
      <c r="K15" s="99" t="str">
        <f>'retrieve E2E AB random'!K50</f>
        <v/>
      </c>
      <c r="L15" s="99" t="str">
        <f>'retrieve E2E AB random'!L50</f>
        <v/>
      </c>
      <c r="M15" s="99" t="str">
        <f>'retrieve E2E AB random'!M50</f>
        <v>x</v>
      </c>
      <c r="N15" s="99" t="str">
        <f>'retrieve E2E AB random'!N50</f>
        <v/>
      </c>
      <c r="O15" s="99" t="str">
        <f>'retrieve E2E AB random'!O50</f>
        <v/>
      </c>
      <c r="P15" s="99" t="str">
        <f>'retrieve E2E AB random'!P50</f>
        <v>gold misses hallucination ('spaghetti', 'breakfast'); unclear why</v>
      </c>
    </row>
    <row r="16">
      <c r="A16" s="99">
        <f>'retrieve E2E AB random'!A15</f>
        <v>15</v>
      </c>
      <c r="B16" s="99" t="str">
        <f>'retrieve E2E AB random'!B15</f>
        <v>The Mill, which is in the riverside area by Raja Indian Cuisine, is a low-priced pub offering English cuisine. It is child-friendly.</v>
      </c>
      <c r="C16" s="99" t="str">
        <f>'retrieve E2E AB random'!C15</f>
        <v>The Mill|eat_type|pub ++ The Mill|food|English ++ The Mill|price_range|less than £20 ++ The Mill|area|riverside ++ The Mill|family_friendly|yes ++ The Mill|near|Raja Indian Cuisine</v>
      </c>
      <c r="D16" s="99" t="str">
        <f>'retrieve E2E AB random'!D15</f>
        <v>0.047</v>
      </c>
      <c r="E16" s="99" t="str">
        <f>'retrieve E2E AB random'!E15</f>
        <v>OK</v>
      </c>
      <c r="F16" s="99" t="str">
        <f>'retrieve E2E AB random'!F15</f>
        <v>omission</v>
      </c>
      <c r="G16" s="99" t="str">
        <f>'retrieve E2E AB random'!G15</f>
        <v>x</v>
      </c>
      <c r="H16" s="99" t="str">
        <f>'retrieve E2E AB random'!H15</f>
        <v/>
      </c>
      <c r="I16" s="99" t="str">
        <f>'retrieve E2E AB random'!I15</f>
        <v/>
      </c>
      <c r="J16" s="99" t="str">
        <f>'retrieve E2E AB random'!J15</f>
        <v/>
      </c>
      <c r="K16" s="99" t="str">
        <f>'retrieve E2E AB random'!K15</f>
        <v>x</v>
      </c>
      <c r="L16" s="99" t="str">
        <f>'retrieve E2E AB random'!L15</f>
        <v/>
      </c>
      <c r="M16" s="99" t="str">
        <f>'retrieve E2E AB random'!M15</f>
        <v/>
      </c>
      <c r="N16" s="99" t="str">
        <f>'retrieve E2E AB random'!N15</f>
        <v>x</v>
      </c>
      <c r="O16" s="99" t="str">
        <f>'retrieve E2E AB random'!O15</f>
        <v/>
      </c>
      <c r="P16" s="99" t="str">
        <f>'retrieve E2E AB random'!P15</f>
        <v>NLI wrongly has omission maybe because it doesn't recognise low priced as a realisation of &lt;£20</v>
      </c>
    </row>
    <row r="17">
      <c r="A17" s="99">
        <f>'retrieve E2E AB random'!A8</f>
        <v>16</v>
      </c>
      <c r="B17" s="99" t="str">
        <f>'retrieve E2E AB random'!B8</f>
        <v>For a child-friendly, average-rated restaurant serving English, try The Cricketers, in the riverside area, near Café Rouge.</v>
      </c>
      <c r="C17" s="99" t="str">
        <f>'retrieve E2E AB random'!C8</f>
        <v>The Cricketers|eat_type|restaurant ++ The Cricketers|food|English ++ The Cricketers|price_range|cheap ++ The Cricketers|rating|average ++ The Cricketers|area|riverside ++ The Cricketers|family_friendly|yes ++ The Cricketers|near|Café Rouge</v>
      </c>
      <c r="D17" s="99" t="str">
        <f>'retrieve E2E AB random'!D8</f>
        <v>0.742</v>
      </c>
      <c r="E17" s="99" t="str">
        <f>'retrieve E2E AB random'!E8</f>
        <v>omission</v>
      </c>
      <c r="F17" s="99" t="str">
        <f>'retrieve E2E AB random'!F8</f>
        <v>OK</v>
      </c>
      <c r="G17" s="99" t="str">
        <f>'retrieve E2E AB random'!G8</f>
        <v>x</v>
      </c>
      <c r="H17" s="99" t="str">
        <f>'retrieve E2E AB random'!H8</f>
        <v/>
      </c>
      <c r="I17" s="99" t="str">
        <f>'retrieve E2E AB random'!I8</f>
        <v/>
      </c>
      <c r="J17" s="99" t="str">
        <f>'retrieve E2E AB random'!J8</f>
        <v/>
      </c>
      <c r="K17" s="99" t="str">
        <f>'retrieve E2E AB random'!K8</f>
        <v>x</v>
      </c>
      <c r="L17" s="99" t="str">
        <f>'retrieve E2E AB random'!L8</f>
        <v/>
      </c>
      <c r="M17" s="99" t="str">
        <f>'retrieve E2E AB random'!M8</f>
        <v/>
      </c>
      <c r="N17" s="99" t="str">
        <f>'retrieve E2E AB random'!N8</f>
        <v/>
      </c>
      <c r="O17" s="99" t="str">
        <f>'retrieve E2E AB random'!O8</f>
        <v/>
      </c>
      <c r="P17" s="99" t="str">
        <f>'retrieve E2E AB random'!P8</f>
        <v>NLI misses omission ('cheap')</v>
      </c>
    </row>
    <row r="18">
      <c r="A18" s="99">
        <f>'retrieve E2E AB random'!A49</f>
        <v>17</v>
      </c>
      <c r="B18" s="99" t="str">
        <f>'retrieve E2E AB random'!B49</f>
        <v>Less than £20 French food for all the family can be found at The Phoenix pub, near Crowne Plaza Hotel, in the city centre area. Average ratings.</v>
      </c>
      <c r="C18" s="99" t="str">
        <f>'retrieve E2E AB random'!C49</f>
        <v>The Phoenix|eat_type|pub ++ The Phoenix|food|French ++ The Phoenix|price_range|less than £20 ++ The Phoenix|rating|average ++ The Phoenix|area|city centre ++ The Phoenix|family_friendly|yes ++ The Phoenix|near|Crowne Plaza Hotel</v>
      </c>
      <c r="D18" s="99" t="str">
        <f>'retrieve E2E AB random'!D49</f>
        <v>0.682</v>
      </c>
      <c r="E18" s="99" t="str">
        <f>'retrieve E2E AB random'!E49</f>
        <v>omission</v>
      </c>
      <c r="F18" s="99" t="str">
        <f>'retrieve E2E AB random'!F49</f>
        <v>OK</v>
      </c>
      <c r="G18" s="99" t="str">
        <f>'retrieve E2E AB random'!G49</f>
        <v/>
      </c>
      <c r="H18" s="99" t="str">
        <f>'retrieve E2E AB random'!H49</f>
        <v>x</v>
      </c>
      <c r="I18" s="99" t="str">
        <f>'retrieve E2E AB random'!I49</f>
        <v/>
      </c>
      <c r="J18" s="99" t="str">
        <f>'retrieve E2E AB random'!J49</f>
        <v/>
      </c>
      <c r="K18" s="99" t="str">
        <f>'retrieve E2E AB random'!K49</f>
        <v/>
      </c>
      <c r="L18" s="99" t="str">
        <f>'retrieve E2E AB random'!L49</f>
        <v/>
      </c>
      <c r="M18" s="99" t="str">
        <f>'retrieve E2E AB random'!M49</f>
        <v/>
      </c>
      <c r="N18" s="99" t="str">
        <f>'retrieve E2E AB random'!N49</f>
        <v>x</v>
      </c>
      <c r="O18" s="99" t="str">
        <f>'retrieve E2E AB random'!O49</f>
        <v/>
      </c>
      <c r="P18" s="99" t="str">
        <f>'retrieve E2E AB random'!P49</f>
        <v>NLI wrongly has omission; unclear why</v>
      </c>
    </row>
    <row r="19">
      <c r="A19" s="99">
        <f>'retrieve E2E AB random'!A22</f>
        <v>18</v>
      </c>
      <c r="B19" s="99" t="str">
        <f>'retrieve E2E AB random'!B22</f>
        <v>The Wrestlers is a child friendly japanese pub with a high price range and a customer rating of 5 out of 5. It is located near Raja Indian Cuisine in the riverside area.'</v>
      </c>
      <c r="C19" s="99" t="str">
        <f>'retrieve E2E AB random'!C22</f>
        <v>The Wrestlers|eat_type|pub ++ The Wrestlers|food|Japanese ++ The Wrestlers|price_range|more than £30 ++ The Wrestlers|rating|5 out of 5 ++ The Wrestlers|area|riverside ++ The Wrestlers|family_friendly|yes ++ The Wrestlers|near|Raja Indian Cuisine</v>
      </c>
      <c r="D19" s="99" t="str">
        <f>'retrieve E2E AB random'!D22</f>
        <v>0.022</v>
      </c>
      <c r="E19" s="99" t="str">
        <f>'retrieve E2E AB random'!E22</f>
        <v>OK</v>
      </c>
      <c r="F19" s="99" t="str">
        <f>'retrieve E2E AB random'!F22</f>
        <v>omission</v>
      </c>
      <c r="G19" s="99" t="str">
        <f>'retrieve E2E AB random'!G22</f>
        <v>x</v>
      </c>
      <c r="H19" s="99" t="str">
        <f>'retrieve E2E AB random'!H22</f>
        <v/>
      </c>
      <c r="I19" s="99" t="str">
        <f>'retrieve E2E AB random'!I22</f>
        <v/>
      </c>
      <c r="J19" s="99" t="str">
        <f>'retrieve E2E AB random'!J22</f>
        <v/>
      </c>
      <c r="K19" s="99" t="str">
        <f>'retrieve E2E AB random'!K22</f>
        <v>x</v>
      </c>
      <c r="L19" s="99" t="str">
        <f>'retrieve E2E AB random'!L22</f>
        <v/>
      </c>
      <c r="M19" s="99" t="str">
        <f>'retrieve E2E AB random'!M22</f>
        <v/>
      </c>
      <c r="N19" s="99" t="str">
        <f>'retrieve E2E AB random'!N22</f>
        <v>x</v>
      </c>
      <c r="O19" s="99" t="str">
        <f>'retrieve E2E AB random'!O22</f>
        <v/>
      </c>
      <c r="P19" s="99" t="str">
        <f>'retrieve E2E AB random'!P22</f>
        <v>NLI wrongly has omission maybe because it doesn't recognise high price as a realisation of more than £30</v>
      </c>
    </row>
    <row r="20">
      <c r="A20" s="99">
        <f>'retrieve E2E TCF random'!A3</f>
        <v>19</v>
      </c>
      <c r="B20" s="99" t="str">
        <f>'retrieve E2E TCF random'!B3</f>
        <v>There is a restaurant, The Punter, serving English food along the city centre near Raja Indian Cuisine. It is not kids friendly and is highly priced.</v>
      </c>
      <c r="C20" s="99" t="str">
        <f>'retrieve E2E TCF random'!C3</f>
        <v>The Punter|eat_type|restaurant ++ The Punter|food|English ++ The Punter|price_range|high ++ The Punter|area|city centre ++ The Punter|family_friendly|no ++ The Punter|near|Raja Indian Cuisine</v>
      </c>
      <c r="D20" s="99" t="str">
        <f>'retrieve E2E TCF random'!D3</f>
        <v>0.977</v>
      </c>
      <c r="E20" s="99" t="str">
        <f>'retrieve E2E TCF random'!E3</f>
        <v>omission</v>
      </c>
      <c r="F20" s="99" t="str">
        <f>'retrieve E2E TCF random'!F3</f>
        <v>OK</v>
      </c>
      <c r="G20" s="99" t="str">
        <f>'retrieve E2E TCF random'!G3</f>
        <v/>
      </c>
      <c r="H20" s="99" t="str">
        <f>'retrieve E2E TCF random'!H3</f>
        <v>x</v>
      </c>
      <c r="I20" s="99" t="str">
        <f>'retrieve E2E TCF random'!I3</f>
        <v/>
      </c>
      <c r="J20" s="99" t="str">
        <f>'retrieve E2E TCF random'!J3</f>
        <v/>
      </c>
      <c r="K20" s="99" t="str">
        <f>'retrieve E2E TCF random'!K3</f>
        <v/>
      </c>
      <c r="L20" s="99" t="str">
        <f>'retrieve E2E TCF random'!L3</f>
        <v/>
      </c>
      <c r="M20" s="99" t="str">
        <f>'retrieve E2E TCF random'!M3</f>
        <v/>
      </c>
      <c r="N20" s="99" t="str">
        <f>'retrieve E2E TCF random'!N3</f>
        <v/>
      </c>
      <c r="O20" s="99" t="str">
        <f>'retrieve E2E TCF random'!O3</f>
        <v/>
      </c>
      <c r="P20" s="99" t="str">
        <f>'retrieve E2E TCF random'!P3</f>
        <v/>
      </c>
    </row>
    <row r="21">
      <c r="A21" s="99">
        <f>'retrieve E2E AB random'!A21</f>
        <v>20</v>
      </c>
      <c r="B21" s="99" t="str">
        <f>'retrieve E2E AB random'!B21</f>
        <v>The Mill is a pub serving Fast food in the city centre near Café Sicilia . It has a high price range and an average customer rating . It is not children friendly .</v>
      </c>
      <c r="C21" s="99" t="str">
        <f>'retrieve E2E AB random'!C21</f>
        <v>The Mill|eat_type|pub ++ The Mill|food|Fast food ++ The Mill|price_range|high ++ The Mill|rating|average ++ The Mill|area|city centre ++ The Mill|family_friendly|no ++ The Mill|near|Café Sicilia</v>
      </c>
      <c r="D21" s="99" t="str">
        <f>'retrieve E2E AB random'!D21</f>
        <v>0.977</v>
      </c>
      <c r="E21" s="99" t="str">
        <f>'retrieve E2E AB random'!E21</f>
        <v>hallucination</v>
      </c>
      <c r="F21" s="99" t="str">
        <f>'retrieve E2E AB random'!F21</f>
        <v>OK</v>
      </c>
      <c r="G21" s="99" t="str">
        <f>'retrieve E2E AB random'!G21</f>
        <v/>
      </c>
      <c r="H21" s="99" t="str">
        <f>'retrieve E2E AB random'!H21</f>
        <v>x</v>
      </c>
      <c r="I21" s="99" t="str">
        <f>'retrieve E2E AB random'!I21</f>
        <v/>
      </c>
      <c r="J21" s="99" t="str">
        <f>'retrieve E2E AB random'!J21</f>
        <v/>
      </c>
      <c r="K21" s="99" t="str">
        <f>'retrieve E2E AB random'!K21</f>
        <v/>
      </c>
      <c r="L21" s="99" t="str">
        <f>'retrieve E2E AB random'!L21</f>
        <v/>
      </c>
      <c r="M21" s="99" t="str">
        <f>'retrieve E2E AB random'!M21</f>
        <v/>
      </c>
      <c r="N21" s="99" t="str">
        <f>'retrieve E2E AB random'!N21</f>
        <v/>
      </c>
      <c r="O21" s="99" t="str">
        <f>'retrieve E2E AB random'!O21</f>
        <v>x</v>
      </c>
      <c r="P21" s="99" t="str">
        <f>'retrieve E2E AB random'!P21</f>
        <v>gold wrongly has hallucination; unclear why</v>
      </c>
    </row>
    <row r="22">
      <c r="A22" s="99">
        <f>'retrieve E2E AB random'!A26</f>
        <v>21</v>
      </c>
      <c r="B22" s="99" t="str">
        <f>'retrieve E2E AB random'!B26</f>
        <v>The Mill is a pub that serves Fast food. It is located near Café Rouge in the city centre. It is not kid friendly. The price range is £20-£25 and the customer rating is high.</v>
      </c>
      <c r="C22" s="99" t="str">
        <f>'retrieve E2E AB random'!C26</f>
        <v>The Mill|eat_type|pub ++ The Mill|food|Fast food ++ The Mill|price_range|£20-25 ++ The Mill|rating|high ++ The Mill|area|city centre ++ The Mill|family_friendly|no ++ The Mill|near|Café Rouge</v>
      </c>
      <c r="D22" s="99" t="str">
        <f>'retrieve E2E AB random'!D26</f>
        <v>0.984</v>
      </c>
      <c r="E22" s="99" t="str">
        <f>'retrieve E2E AB random'!E26</f>
        <v>omission</v>
      </c>
      <c r="F22" s="99" t="str">
        <f>'retrieve E2E AB random'!F26</f>
        <v>OK</v>
      </c>
      <c r="G22" s="99" t="str">
        <f>'retrieve E2E AB random'!G26</f>
        <v/>
      </c>
      <c r="H22" s="99" t="str">
        <f>'retrieve E2E AB random'!H26</f>
        <v>x</v>
      </c>
      <c r="I22" s="99" t="str">
        <f>'retrieve E2E AB random'!I26</f>
        <v/>
      </c>
      <c r="J22" s="99" t="str">
        <f>'retrieve E2E AB random'!J26</f>
        <v/>
      </c>
      <c r="K22" s="99" t="str">
        <f>'retrieve E2E AB random'!K26</f>
        <v/>
      </c>
      <c r="L22" s="99" t="str">
        <f>'retrieve E2E AB random'!L26</f>
        <v/>
      </c>
      <c r="M22" s="99" t="str">
        <f>'retrieve E2E AB random'!M26</f>
        <v/>
      </c>
      <c r="N22" s="99" t="str">
        <f>'retrieve E2E AB random'!N26</f>
        <v>x</v>
      </c>
      <c r="O22" s="99" t="str">
        <f>'retrieve E2E AB random'!O26</f>
        <v/>
      </c>
      <c r="P22" s="99" t="str">
        <f>'retrieve E2E AB random'!P26</f>
        <v>gold wrongly has omission; unclear why</v>
      </c>
    </row>
    <row r="23">
      <c r="A23" s="99">
        <f>'retrieve E2E AB random'!A40</f>
        <v>22</v>
      </c>
      <c r="B23" s="99" t="str">
        <f>'retrieve E2E AB random'!B40</f>
        <v>Clowns is a pub located a few steps of The Sorrento.</v>
      </c>
      <c r="C23" s="99" t="str">
        <f>'retrieve E2E AB random'!C40</f>
        <v>Clowns|eat_type|pub ++ Clowns|near|The Sorrento</v>
      </c>
      <c r="D23" s="99" t="str">
        <f>'retrieve E2E AB random'!D40</f>
        <v>0.005</v>
      </c>
      <c r="E23" s="99" t="str">
        <f>'retrieve E2E AB random'!E40</f>
        <v>OK</v>
      </c>
      <c r="F23" s="99" t="str">
        <f>'retrieve E2E AB random'!F40</f>
        <v>hallucination</v>
      </c>
      <c r="G23" s="99" t="str">
        <f>'retrieve E2E AB random'!G40</f>
        <v>x</v>
      </c>
      <c r="H23" s="99" t="str">
        <f>'retrieve E2E AB random'!H40</f>
        <v/>
      </c>
      <c r="I23" s="99" t="str">
        <f>'retrieve E2E AB random'!I40</f>
        <v/>
      </c>
      <c r="J23" s="99" t="str">
        <f>'retrieve E2E AB random'!J40</f>
        <v/>
      </c>
      <c r="K23" s="99" t="str">
        <f>'retrieve E2E AB random'!K40</f>
        <v/>
      </c>
      <c r="L23" s="99" t="str">
        <f>'retrieve E2E AB random'!L40</f>
        <v/>
      </c>
      <c r="M23" s="99" t="str">
        <f>'retrieve E2E AB random'!M40</f>
        <v/>
      </c>
      <c r="N23" s="99" t="str">
        <f>'retrieve E2E AB random'!N40</f>
        <v/>
      </c>
      <c r="O23" s="99" t="str">
        <f>'retrieve E2E AB random'!O40</f>
        <v>x</v>
      </c>
      <c r="P23" s="99" t="str">
        <f>'retrieve E2E AB random'!P40</f>
        <v>NLI wrongly has hallucination (maybe because of 'a few steps')</v>
      </c>
    </row>
    <row r="24">
      <c r="A24" s="99">
        <f>'retrieve E2E TCF random'!A28</f>
        <v>23</v>
      </c>
      <c r="B24" s="99" t="str">
        <f>'retrieve E2E TCF random'!B28</f>
        <v>The Mill is a pub that serves Fast food and is children friendly. It is in the high price range and has an average customer rating. It is located in the riverside area near Café Sicilia.</v>
      </c>
      <c r="C24" s="99" t="str">
        <f>'retrieve E2E TCF random'!C28</f>
        <v>The Mill|eat_type|pub ++ The Mill|food|Fast food ++ The Mill|price_range|high ++ The Mill|rating|average ++ The Mill|area|riverside ++ The Mill|family_friendly|yes ++ The Mill|near|Café Sicilia</v>
      </c>
      <c r="D24" s="99" t="str">
        <f>'retrieve E2E TCF random'!D28</f>
        <v>0.949</v>
      </c>
      <c r="E24" s="99" t="str">
        <f>'retrieve E2E TCF random'!E28</f>
        <v>hallucination</v>
      </c>
      <c r="F24" s="99" t="str">
        <f>'retrieve E2E TCF random'!F28</f>
        <v>OK</v>
      </c>
      <c r="G24" s="99" t="str">
        <f>'retrieve E2E TCF random'!G28</f>
        <v/>
      </c>
      <c r="H24" s="99" t="str">
        <f>'retrieve E2E TCF random'!H28</f>
        <v>x</v>
      </c>
      <c r="I24" s="99" t="str">
        <f>'retrieve E2E TCF random'!I28</f>
        <v/>
      </c>
      <c r="J24" s="99" t="str">
        <f>'retrieve E2E TCF random'!J28</f>
        <v/>
      </c>
      <c r="K24" s="99" t="str">
        <f>'retrieve E2E TCF random'!K28</f>
        <v/>
      </c>
      <c r="L24" s="99" t="str">
        <f>'retrieve E2E TCF random'!L28</f>
        <v/>
      </c>
      <c r="M24" s="99" t="str">
        <f>'retrieve E2E TCF random'!M28</f>
        <v/>
      </c>
      <c r="N24" s="99" t="str">
        <f>'retrieve E2E TCF random'!N28</f>
        <v/>
      </c>
      <c r="O24" s="99" t="str">
        <f>'retrieve E2E TCF random'!O28</f>
        <v/>
      </c>
      <c r="P24" s="99" t="str">
        <f>'retrieve E2E TCF random'!P28</f>
        <v/>
      </c>
    </row>
    <row r="25">
      <c r="A25" s="99">
        <f>'retrieve E2E TCF random'!A25</f>
        <v>24</v>
      </c>
      <c r="B25" s="99" t="str">
        <f>'retrieve E2E TCF random'!B25</f>
        <v>In the city centre near Café Sicilia there is a cheap Fast food restaurant called The Mill. It has a customer rating of 5 out of 5 and is not family-friendly.</v>
      </c>
      <c r="C25" s="99" t="str">
        <f>'retrieve E2E TCF random'!C25</f>
        <v>The Mill|eat_type|pub ++ The Mill|food|Fast food ++ The Mill|price_range|cheap ++ The Mill|rating|5 out of 5 ++ The Mill|area|city centre ++ The Mill|family_friendly|no ++ The Mill|near|Café Sicilia</v>
      </c>
      <c r="D25" s="99" t="str">
        <f>'retrieve E2E TCF random'!D25</f>
        <v>0.002</v>
      </c>
      <c r="E25" s="99" t="str">
        <f>'retrieve E2E TCF random'!E25</f>
        <v>OK</v>
      </c>
      <c r="F25" s="99" t="str">
        <f>'retrieve E2E TCF random'!F25</f>
        <v>omission</v>
      </c>
      <c r="G25" s="99" t="str">
        <f>'retrieve E2E TCF random'!G25</f>
        <v/>
      </c>
      <c r="H25" s="99" t="str">
        <f>'retrieve E2E TCF random'!H25</f>
        <v/>
      </c>
      <c r="I25" s="99" t="str">
        <f>'retrieve E2E TCF random'!I25</f>
        <v>x</v>
      </c>
      <c r="J25" s="99" t="str">
        <f>'retrieve E2E TCF random'!J25</f>
        <v>x</v>
      </c>
      <c r="K25" s="99" t="str">
        <f>'retrieve E2E TCF random'!K25</f>
        <v/>
      </c>
      <c r="L25" s="99" t="str">
        <f>'retrieve E2E TCF random'!L25</f>
        <v/>
      </c>
      <c r="M25" s="99" t="str">
        <f>'retrieve E2E TCF random'!M25</f>
        <v/>
      </c>
      <c r="N25" s="99" t="str">
        <f>'retrieve E2E TCF random'!N25</f>
        <v/>
      </c>
      <c r="O25" s="99" t="str">
        <f>'retrieve E2E TCF random'!O25</f>
        <v/>
      </c>
      <c r="P25" s="99" t="str">
        <f>'retrieve E2E TCF random'!P25</f>
        <v/>
      </c>
    </row>
    <row r="26">
      <c r="A26" s="99">
        <f>'retrieve E2E AB random'!A4</f>
        <v>25</v>
      </c>
      <c r="B26" s="99" t="str">
        <f>'retrieve E2E AB random'!B4</f>
        <v>The Cricketers is a high restaurant that serves English food. Yes it is kids-friendly. It has an average customer rating and is located in the city centre area near Café Rouge.</v>
      </c>
      <c r="C26" s="99" t="str">
        <f>'retrieve E2E AB random'!C4</f>
        <v>The Cricketers|eat_type|restaurant ++ The Cricketers|food|English ++ The Cricketers|price_range|high ++ The Cricketers|rating|average ++ The Cricketers|area|city centre ++ The Cricketers|family_friendly|yes ++ The Cricketers|near|Café Rouge</v>
      </c>
      <c r="D26" s="99" t="str">
        <f>'retrieve E2E AB random'!D4</f>
        <v>0.887</v>
      </c>
      <c r="E26" s="99" t="str">
        <f>'retrieve E2E AB random'!E4</f>
        <v>omission</v>
      </c>
      <c r="F26" s="99" t="str">
        <f>'retrieve E2E AB random'!F4</f>
        <v>OK</v>
      </c>
      <c r="G26" s="99" t="str">
        <f>'retrieve E2E AB random'!G4</f>
        <v/>
      </c>
      <c r="H26" s="99" t="str">
        <f>'retrieve E2E AB random'!H4</f>
        <v/>
      </c>
      <c r="I26" s="99" t="str">
        <f>'retrieve E2E AB random'!I4</f>
        <v>x</v>
      </c>
      <c r="J26" s="99" t="str">
        <f>'retrieve E2E AB random'!J4</f>
        <v/>
      </c>
      <c r="K26" s="99" t="str">
        <f>'retrieve E2E AB random'!K4</f>
        <v>x</v>
      </c>
      <c r="L26" s="99" t="str">
        <f>'retrieve E2E AB random'!L4</f>
        <v/>
      </c>
      <c r="M26" s="99" t="str">
        <f>'retrieve E2E AB random'!M4</f>
        <v>x</v>
      </c>
      <c r="N26" s="99" t="str">
        <f>'retrieve E2E AB random'!N4</f>
        <v/>
      </c>
      <c r="O26" s="99" t="str">
        <f>'retrieve E2E AB random'!O4</f>
        <v/>
      </c>
      <c r="P26" s="99" t="str">
        <f>'retrieve E2E AB random'!P4</f>
        <v>gold seems to diagnose 'high' for price_range=high as an omission because it's not a valid realisation; could go either way: both wrong or just gold wrong, because if it's not OK it's omission+hallucination</v>
      </c>
    </row>
    <row r="27">
      <c r="A27" s="99">
        <f>'retrieve E2E AB random'!A33</f>
        <v>27</v>
      </c>
      <c r="B27" s="99" t="str">
        <f>'retrieve E2E AB random'!B33</f>
        <v>The Phoenix restaurant serves Fast food food and is near the riverside and the Raja Indian Cuisine. It is not family-friendly and is priced in the moderate pound range.</v>
      </c>
      <c r="C27" s="99" t="str">
        <f>'retrieve E2E AB random'!C33</f>
        <v>The Phoenix|eat_type|restaurant ++ The Phoenix|food|Fast food ++ The Phoenix|price_range|moderate ++ The Phoenix|area|riverside ++ The Phoenix|family_friendly|no ++ The Phoenix|near|Raja Indian Cuisine</v>
      </c>
      <c r="D27" s="99" t="str">
        <f>'retrieve E2E AB random'!D33</f>
        <v>0.717</v>
      </c>
      <c r="E27" s="99" t="str">
        <f>'retrieve E2E AB random'!E33</f>
        <v>omission</v>
      </c>
      <c r="F27" s="99" t="str">
        <f>'retrieve E2E AB random'!F33</f>
        <v>OK</v>
      </c>
      <c r="G27" s="99" t="str">
        <f>'retrieve E2E AB random'!G33</f>
        <v/>
      </c>
      <c r="H27" s="99" t="str">
        <f>'retrieve E2E AB random'!H33</f>
        <v>x</v>
      </c>
      <c r="I27" s="99" t="str">
        <f>'retrieve E2E AB random'!I33</f>
        <v/>
      </c>
      <c r="J27" s="99" t="str">
        <f>'retrieve E2E AB random'!J33</f>
        <v/>
      </c>
      <c r="K27" s="99" t="str">
        <f>'retrieve E2E AB random'!K33</f>
        <v/>
      </c>
      <c r="L27" s="99" t="str">
        <f>'retrieve E2E AB random'!L33</f>
        <v/>
      </c>
      <c r="M27" s="99" t="str">
        <f>'retrieve E2E AB random'!M33</f>
        <v/>
      </c>
      <c r="N27" s="99" t="str">
        <f>'retrieve E2E AB random'!N33</f>
        <v>x</v>
      </c>
      <c r="O27" s="99" t="str">
        <f>'retrieve E2E AB random'!O33</f>
        <v/>
      </c>
      <c r="P27" s="99" t="str">
        <f>'retrieve E2E AB random'!P33</f>
        <v>gold wrongly has omission; unclear why</v>
      </c>
    </row>
    <row r="28">
      <c r="A28" s="99">
        <f>'retrieve E2E TCF random'!A7</f>
        <v>28</v>
      </c>
      <c r="B28" s="99" t="str">
        <f>'retrieve E2E TCF random'!B7</f>
        <v>The Vaults is a italian pub in the city centre near Rainbow Vegetarian Café. It is children friendly and has a high price range and an average customer rating.</v>
      </c>
      <c r="C28" s="99" t="str">
        <f>'retrieve E2E TCF random'!C7</f>
        <v>The Vaults|eat_type|pub ++ The Vaults|food|Italian ++ The Vaults|price_range|high ++ The Vaults|rating|average ++ The Vaults|area|city centre ++ The Vaults|family_friendly|yes ++ The Vaults|near|Rainbow Vegetarian Café</v>
      </c>
      <c r="D28" s="99" t="str">
        <f>'retrieve E2E TCF random'!D7</f>
        <v>0.976</v>
      </c>
      <c r="E28" s="99" t="str">
        <f>'retrieve E2E TCF random'!E7</f>
        <v>hallucination</v>
      </c>
      <c r="F28" s="99" t="str">
        <f>'retrieve E2E TCF random'!F7</f>
        <v>OK</v>
      </c>
      <c r="G28" s="99" t="str">
        <f>'retrieve E2E TCF random'!G7</f>
        <v/>
      </c>
      <c r="H28" s="99" t="str">
        <f>'retrieve E2E TCF random'!H7</f>
        <v>x</v>
      </c>
      <c r="I28" s="99" t="str">
        <f>'retrieve E2E TCF random'!I7</f>
        <v/>
      </c>
      <c r="J28" s="99" t="str">
        <f>'retrieve E2E TCF random'!J7</f>
        <v/>
      </c>
      <c r="K28" s="99" t="str">
        <f>'retrieve E2E TCF random'!K7</f>
        <v/>
      </c>
      <c r="L28" s="99" t="str">
        <f>'retrieve E2E TCF random'!L7</f>
        <v/>
      </c>
      <c r="M28" s="99" t="str">
        <f>'retrieve E2E TCF random'!M7</f>
        <v/>
      </c>
      <c r="N28" s="99" t="str">
        <f>'retrieve E2E TCF random'!N7</f>
        <v/>
      </c>
      <c r="O28" s="99" t="str">
        <f>'retrieve E2E TCF random'!O7</f>
        <v/>
      </c>
      <c r="P28" s="99" t="str">
        <f>'retrieve E2E TCF random'!P7</f>
        <v/>
      </c>
    </row>
    <row r="29">
      <c r="A29" s="99">
        <f>'retrieve E2E TCF random'!A48</f>
        <v>29</v>
      </c>
      <c r="B29" s="99" t="str">
        <f>'retrieve E2E TCF random'!B48</f>
        <v>Giraffe is a beautiful restaurant close to the Rainbow Vegetarian Café . It is reasonably liked place serves English food and is children friendly .</v>
      </c>
      <c r="C29" s="99" t="str">
        <f>'retrieve E2E TCF random'!C48</f>
        <v>Giraffe|eat_type|restaurant ++ Giraffe|food|English ++ Giraffe|area|riverside ++ Giraffe|family_friendly|yes ++ Giraffe|near|Rainbow Vegetarian Café</v>
      </c>
      <c r="D29" s="99" t="str">
        <f>'retrieve E2E TCF random'!D48</f>
        <v>0.006</v>
      </c>
      <c r="E29" s="99" t="str">
        <f>'retrieve E2E TCF random'!E48</f>
        <v>omission</v>
      </c>
      <c r="F29" s="99" t="str">
        <f>'retrieve E2E TCF random'!F48</f>
        <v>hallucination+omission</v>
      </c>
      <c r="G29" s="99" t="str">
        <f>'retrieve E2E TCF random'!G48</f>
        <v/>
      </c>
      <c r="H29" s="99" t="str">
        <f>'retrieve E2E TCF random'!H48</f>
        <v>x</v>
      </c>
      <c r="I29" s="99" t="str">
        <f>'retrieve E2E TCF random'!I48</f>
        <v/>
      </c>
      <c r="J29" s="99" t="str">
        <f>'retrieve E2E TCF random'!J48</f>
        <v/>
      </c>
      <c r="K29" s="99" t="str">
        <f>'retrieve E2E TCF random'!K48</f>
        <v/>
      </c>
      <c r="L29" s="99" t="str">
        <f>'retrieve E2E TCF random'!L48</f>
        <v/>
      </c>
      <c r="M29" s="99" t="str">
        <f>'retrieve E2E TCF random'!M48</f>
        <v/>
      </c>
      <c r="N29" s="99" t="str">
        <f>'retrieve E2E TCF random'!N48</f>
        <v>x</v>
      </c>
      <c r="O29" s="99" t="str">
        <f>'retrieve E2E TCF random'!O48</f>
        <v>x</v>
      </c>
      <c r="P29" s="99" t="str">
        <f>'retrieve E2E TCF random'!P48</f>
        <v>area+near</v>
      </c>
    </row>
    <row r="30">
      <c r="A30" s="99">
        <f>'retrieve E2E TCF random'!A6</f>
        <v>30</v>
      </c>
      <c r="B30" s="99" t="str">
        <f>'retrieve E2E TCF random'!B6</f>
        <v>The Vaults, which has an average customer rating, is a cheap pub that serves Japanese cuisine. It is located in the city centre area and can be found near Raja Indian Cuisine. Children are welcome.</v>
      </c>
      <c r="C30" s="99" t="str">
        <f>'retrieve E2E TCF random'!C6</f>
        <v>The Vaults|eat_type|pub ++ The Vaults|food|Japanese ++ The Vaults|price_range|less than £20 ++ The Vaults|rating|average ++ The Vaults|area|city centre ++ The Vaults|family_friendly|yes ++ The Vaults|near|Raja Indian Cuisine</v>
      </c>
      <c r="D30" s="99" t="str">
        <f>'retrieve E2E TCF random'!D6</f>
        <v>0.122</v>
      </c>
      <c r="E30" s="99" t="str">
        <f>'retrieve E2E TCF random'!E6</f>
        <v>OK</v>
      </c>
      <c r="F30" s="99" t="str">
        <f>'retrieve E2E TCF random'!F6</f>
        <v>omission</v>
      </c>
      <c r="G30" s="99" t="str">
        <f>'retrieve E2E TCF random'!G6</f>
        <v>x</v>
      </c>
      <c r="H30" s="99" t="str">
        <f>'retrieve E2E TCF random'!H6</f>
        <v/>
      </c>
      <c r="I30" s="99" t="str">
        <f>'retrieve E2E TCF random'!I6</f>
        <v/>
      </c>
      <c r="J30" s="99" t="str">
        <f>'retrieve E2E TCF random'!J6</f>
        <v/>
      </c>
      <c r="K30" s="99" t="str">
        <f>'retrieve E2E TCF random'!K6</f>
        <v/>
      </c>
      <c r="L30" s="99" t="str">
        <f>'retrieve E2E TCF random'!L6</f>
        <v/>
      </c>
      <c r="M30" s="99" t="str">
        <f>'retrieve E2E TCF random'!M6</f>
        <v/>
      </c>
      <c r="N30" s="99" t="str">
        <f>'retrieve E2E TCF random'!N6</f>
        <v/>
      </c>
      <c r="O30" s="99" t="str">
        <f>'retrieve E2E TCF random'!O6</f>
        <v/>
      </c>
      <c r="P30" s="99" t="str">
        <f>'retrieve E2E TCF random'!P6</f>
        <v/>
      </c>
    </row>
    <row r="31">
      <c r="A31" s="99">
        <f>'retrieve E2E AB random'!A23</f>
        <v>31</v>
      </c>
      <c r="B31" s="99" t="str">
        <f>'retrieve E2E AB random'!B23</f>
        <v>Located near Café Sicilia in the city centre, The Mill is a child friendly Fast food pub with a high price range and average customer rating.</v>
      </c>
      <c r="C31" s="99" t="str">
        <f>'retrieve E2E AB random'!C23</f>
        <v>The Mill|eat_type|pub ++ The Mill|food|Fast food ++ The Mill|price_range|high ++ The Mill|rating|average ++ The Mill|area|city centre ++ The Mill|family_friendly|yes ++ The Mill|near|Café Sicilia</v>
      </c>
      <c r="D31" s="99" t="str">
        <f>'retrieve E2E AB random'!D23</f>
        <v>0.971</v>
      </c>
      <c r="E31" s="99" t="str">
        <f>'retrieve E2E AB random'!E23</f>
        <v>hallucination</v>
      </c>
      <c r="F31" s="99" t="str">
        <f>'retrieve E2E AB random'!F23</f>
        <v>OK</v>
      </c>
      <c r="G31" s="99" t="str">
        <f>'retrieve E2E AB random'!G23</f>
        <v/>
      </c>
      <c r="H31" s="99" t="str">
        <f>'retrieve E2E AB random'!H23</f>
        <v>x</v>
      </c>
      <c r="I31" s="99" t="str">
        <f>'retrieve E2E AB random'!I23</f>
        <v/>
      </c>
      <c r="J31" s="99" t="str">
        <f>'retrieve E2E AB random'!J23</f>
        <v/>
      </c>
      <c r="K31" s="99" t="str">
        <f>'retrieve E2E AB random'!K23</f>
        <v/>
      </c>
      <c r="L31" s="99" t="str">
        <f>'retrieve E2E AB random'!L23</f>
        <v/>
      </c>
      <c r="M31" s="99" t="str">
        <f>'retrieve E2E AB random'!M23</f>
        <v/>
      </c>
      <c r="N31" s="99" t="str">
        <f>'retrieve E2E AB random'!N23</f>
        <v/>
      </c>
      <c r="O31" s="99" t="str">
        <f>'retrieve E2E AB random'!O23</f>
        <v>x</v>
      </c>
      <c r="P31" s="99" t="str">
        <f>'retrieve E2E AB random'!P23</f>
        <v>gold wrongly has hallucination; unclear why</v>
      </c>
    </row>
    <row r="32">
      <c r="A32" s="99">
        <f>'retrieve E2E TCF random'!A21</f>
        <v>33</v>
      </c>
      <c r="B32" s="99" t="str">
        <f>'retrieve E2E TCF random'!B21</f>
        <v>The Vaults, which has a high customer rating, is a high-priced pub offering Italian food. It is in riverside near Rainbow Vegetarian Café. It is family-friendly.</v>
      </c>
      <c r="C32" s="99" t="str">
        <f>'retrieve E2E TCF random'!C21</f>
        <v>The Vaults|eat_type|pub ++ The Vaults|food|Italian ++ The Vaults|price_range|more than £30 ++ The Vaults|rating|high ++ The Vaults|area|riverside ++ The Vaults|family_friendly|yes ++ The Vaults|near|Rainbow Vegetarian Café</v>
      </c>
      <c r="D32" s="99" t="str">
        <f>'retrieve E2E TCF random'!D21</f>
        <v>0.030</v>
      </c>
      <c r="E32" s="99" t="str">
        <f>'retrieve E2E TCF random'!E21</f>
        <v>OK</v>
      </c>
      <c r="F32" s="99" t="str">
        <f>'retrieve E2E TCF random'!F21</f>
        <v>omission</v>
      </c>
      <c r="G32" s="99" t="str">
        <f>'retrieve E2E TCF random'!G21</f>
        <v>x</v>
      </c>
      <c r="H32" s="99" t="str">
        <f>'retrieve E2E TCF random'!H21</f>
        <v/>
      </c>
      <c r="I32" s="99" t="str">
        <f>'retrieve E2E TCF random'!I21</f>
        <v/>
      </c>
      <c r="J32" s="99" t="str">
        <f>'retrieve E2E TCF random'!J21</f>
        <v/>
      </c>
      <c r="K32" s="99" t="str">
        <f>'retrieve E2E TCF random'!K21</f>
        <v/>
      </c>
      <c r="L32" s="99" t="str">
        <f>'retrieve E2E TCF random'!L21</f>
        <v/>
      </c>
      <c r="M32" s="99" t="str">
        <f>'retrieve E2E TCF random'!M21</f>
        <v/>
      </c>
      <c r="N32" s="99" t="str">
        <f>'retrieve E2E TCF random'!N21</f>
        <v/>
      </c>
      <c r="O32" s="99" t="str">
        <f>'retrieve E2E TCF random'!O21</f>
        <v/>
      </c>
      <c r="P32" s="99" t="str">
        <f>'retrieve E2E TCF random'!P21</f>
        <v/>
      </c>
    </row>
    <row r="33">
      <c r="A33" s="99">
        <f>'retrieve E2E AB random'!A6</f>
        <v>34</v>
      </c>
      <c r="B33" s="99" t="str">
        <f>'retrieve E2E AB random'!B6</f>
        <v>The Cricketers is a moderate restaurant that serves Chinese food. Yes it is kids-friendly. Its customer rating is 1 out of 5. It is located in the riverside area near All Bar One.</v>
      </c>
      <c r="C33" s="99" t="str">
        <f>'retrieve E2E AB random'!C6</f>
        <v>The Cricketers|eat_type|restaurant ++ The Cricketers|food|Chinese ++ The Cricketers|price_range|moderate ++ The Cricketers|rating|1 out of 5 ++ The Cricketers|area|riverside ++ The Cricketers|family_friendly|yes ++ The Cricketers|near|All Bar One</v>
      </c>
      <c r="D33" s="99" t="str">
        <f>'retrieve E2E AB random'!D6</f>
        <v>0.854</v>
      </c>
      <c r="E33" s="99" t="str">
        <f>'retrieve E2E AB random'!E6</f>
        <v>omission</v>
      </c>
      <c r="F33" s="99" t="str">
        <f>'retrieve E2E AB random'!F6</f>
        <v>OK</v>
      </c>
      <c r="G33" s="99" t="str">
        <f>'retrieve E2E AB random'!G6</f>
        <v/>
      </c>
      <c r="H33" s="99" t="str">
        <f>'retrieve E2E AB random'!H6</f>
        <v/>
      </c>
      <c r="I33" s="99" t="str">
        <f>'retrieve E2E AB random'!I6</f>
        <v>x</v>
      </c>
      <c r="J33" s="99" t="str">
        <f>'retrieve E2E AB random'!J6</f>
        <v/>
      </c>
      <c r="K33" s="99" t="str">
        <f>'retrieve E2E AB random'!K6</f>
        <v>x</v>
      </c>
      <c r="L33" s="99" t="str">
        <f>'retrieve E2E AB random'!L6</f>
        <v/>
      </c>
      <c r="M33" s="99" t="str">
        <f>'retrieve E2E AB random'!M6</f>
        <v>x</v>
      </c>
      <c r="N33" s="99" t="str">
        <f>'retrieve E2E AB random'!N6</f>
        <v/>
      </c>
      <c r="O33" s="99" t="str">
        <f>'retrieve E2E AB random'!O6</f>
        <v/>
      </c>
      <c r="P33" s="99" t="str">
        <f>'retrieve E2E AB random'!P6</f>
        <v>gold seems to diagnose 'moderate' for price_range=moderate as an omission because it's not a valid realisation; could go either way: both wrong or just gold wrong, because if it's not OK it's omission+hallucination </v>
      </c>
    </row>
    <row r="34">
      <c r="A34" s="99">
        <f>'retrieve E2E AB random'!A2</f>
        <v>36</v>
      </c>
      <c r="B34" s="99" t="str">
        <f>'retrieve E2E AB random'!B2</f>
        <v>Family-friendly The Mill is a low-priced pub serving English cuisine. It is located in the city centre area and can be found near Raja Indian Cuisine.</v>
      </c>
      <c r="C34" s="99" t="str">
        <f>'retrieve E2E AB random'!C2</f>
        <v>The Mill|eat_type|pub ++ The Mill|food|English ++ The Mill|price_range|less than £20 ++ The Mill|area|city centre ++ The Mill|family_friendly|yes ++ The Mill|near|Raja Indian Cuisine</v>
      </c>
      <c r="D34" s="99" t="str">
        <f>'retrieve E2E AB random'!D2</f>
        <v>0.137</v>
      </c>
      <c r="E34" s="99" t="str">
        <f>'retrieve E2E AB random'!E2</f>
        <v>OK</v>
      </c>
      <c r="F34" s="99" t="str">
        <f>'retrieve E2E AB random'!F2</f>
        <v>omission</v>
      </c>
      <c r="G34" s="99" t="str">
        <f>'retrieve E2E AB random'!G2</f>
        <v>x</v>
      </c>
      <c r="H34" s="99" t="str">
        <f>'retrieve E2E AB random'!H2</f>
        <v/>
      </c>
      <c r="I34" s="99" t="str">
        <f>'retrieve E2E AB random'!I2</f>
        <v/>
      </c>
      <c r="J34" s="99" t="str">
        <f>'retrieve E2E AB random'!J2</f>
        <v/>
      </c>
      <c r="K34" s="99" t="str">
        <f>'retrieve E2E AB random'!K2</f>
        <v>x</v>
      </c>
      <c r="L34" s="99" t="str">
        <f>'retrieve E2E AB random'!L2</f>
        <v/>
      </c>
      <c r="M34" s="99" t="str">
        <f>'retrieve E2E AB random'!M2</f>
        <v/>
      </c>
      <c r="N34" s="99" t="str">
        <f>'retrieve E2E AB random'!N2</f>
        <v>x</v>
      </c>
      <c r="O34" s="99" t="str">
        <f>'retrieve E2E AB random'!O2</f>
        <v/>
      </c>
      <c r="P34" s="99" t="str">
        <f>'retrieve E2E AB random'!P2</f>
        <v>NLI wrongly has omission maybe because it doesn't recognise low priced as a realisation of &lt;£20</v>
      </c>
    </row>
    <row r="35">
      <c r="A35" s="99">
        <f>'retrieve E2E AB random'!A41</f>
        <v>37</v>
      </c>
      <c r="B35" s="99" t="str">
        <f>'retrieve E2E AB random'!B41</f>
        <v>The Phoenix is a moderately priced French pub located in the city centre near Café Sicilia it is kid friendly and has a customer rating of 3 out of 5.</v>
      </c>
      <c r="C35" s="99" t="str">
        <f>'retrieve E2E AB random'!C41</f>
        <v>The Phoenix|eat_type|pub ++ The Phoenix|food|French ++ The Phoenix|price_range|£20-25 ++ The Phoenix|rating|3 out of 5 ++ The Phoenix|area|city centre ++ The Phoenix|family_friendly|yes ++ The Phoenix|near|Café Sicilia</v>
      </c>
      <c r="D35" s="99" t="str">
        <f>'retrieve E2E AB random'!D41</f>
        <v>0.003</v>
      </c>
      <c r="E35" s="99" t="str">
        <f>'retrieve E2E AB random'!E41</f>
        <v>OK</v>
      </c>
      <c r="F35" s="99" t="str">
        <f>'retrieve E2E AB random'!F41</f>
        <v>omission</v>
      </c>
      <c r="G35" s="99" t="str">
        <f>'retrieve E2E AB random'!G41</f>
        <v>x</v>
      </c>
      <c r="H35" s="99" t="str">
        <f>'retrieve E2E AB random'!H41</f>
        <v/>
      </c>
      <c r="I35" s="99" t="str">
        <f>'retrieve E2E AB random'!I41</f>
        <v/>
      </c>
      <c r="J35" s="99" t="str">
        <f>'retrieve E2E AB random'!J41</f>
        <v/>
      </c>
      <c r="K35" s="99" t="str">
        <f>'retrieve E2E AB random'!K41</f>
        <v>x</v>
      </c>
      <c r="L35" s="99" t="str">
        <f>'retrieve E2E AB random'!L41</f>
        <v/>
      </c>
      <c r="M35" s="99" t="str">
        <f>'retrieve E2E AB random'!M41</f>
        <v/>
      </c>
      <c r="N35" s="99" t="str">
        <f>'retrieve E2E AB random'!N41</f>
        <v>x</v>
      </c>
      <c r="O35" s="99" t="str">
        <f>'retrieve E2E AB random'!O41</f>
        <v/>
      </c>
      <c r="P35" s="99" t="str">
        <f>'retrieve E2E AB random'!P41</f>
        <v>NLI wrongly has omission maybe because it doesn't recognise low priced as a realisation of £20-25</v>
      </c>
    </row>
    <row r="36">
      <c r="A36" s="99">
        <f>'retrieve E2E AB random'!A1</f>
        <v>38</v>
      </c>
      <c r="B36" s="99" t="str">
        <f>'retrieve E2E AB random'!B1</f>
        <v>The Mill, which serves fast food, is a low-priced pub. It has a low customer rating. Non-kid-friendly The Mill is located in the city centre near Café Sicilia.</v>
      </c>
      <c r="C36" s="99" t="str">
        <f>'retrieve E2E AB random'!C1</f>
        <v>The Mill|eat_type|pub ++ The Mill|food|Fast food ++ The Mill|price_range|less than £20 ++ The Mill|rating|low ++ The Mill|area|city centre ++ The Mill|family_friendly|no ++ The Mill|near|Café Sicilia</v>
      </c>
      <c r="D36" s="99" t="str">
        <f>'retrieve E2E AB random'!D1</f>
        <v>0.121</v>
      </c>
      <c r="E36" s="99" t="str">
        <f>'retrieve E2E AB random'!E1</f>
        <v>OK</v>
      </c>
      <c r="F36" s="99" t="str">
        <f>'retrieve E2E AB random'!F1</f>
        <v>omission</v>
      </c>
      <c r="G36" s="99" t="str">
        <f>'retrieve E2E AB random'!G1</f>
        <v>x</v>
      </c>
      <c r="H36" s="99" t="str">
        <f>'retrieve E2E AB random'!H1</f>
        <v/>
      </c>
      <c r="I36" s="99" t="str">
        <f>'retrieve E2E AB random'!I1</f>
        <v/>
      </c>
      <c r="J36" s="99" t="str">
        <f>'retrieve E2E AB random'!J1</f>
        <v/>
      </c>
      <c r="K36" s="99" t="str">
        <f>'retrieve E2E AB random'!K1</f>
        <v>x</v>
      </c>
      <c r="L36" s="99" t="str">
        <f>'retrieve E2E AB random'!L1</f>
        <v/>
      </c>
      <c r="M36" s="99" t="str">
        <f>'retrieve E2E AB random'!M1</f>
        <v/>
      </c>
      <c r="N36" s="99" t="str">
        <f>'retrieve E2E AB random'!N1</f>
        <v>x</v>
      </c>
      <c r="O36" s="99" t="str">
        <f>'retrieve E2E AB random'!O1</f>
        <v/>
      </c>
      <c r="P36" s="99" t="str">
        <f>'retrieve E2E AB random'!P1</f>
        <v>NLI wrongly has omission maybe because it doesn't recognise low priced as a realisation of &lt;£20</v>
      </c>
    </row>
    <row r="37">
      <c r="A37" s="99">
        <f>'retrieve E2E TCF random'!A11</f>
        <v>40</v>
      </c>
      <c r="B37" s="99" t="str">
        <f>'retrieve E2E TCF random'!B11</f>
        <v>The Cricketers is a children friendly English restaurant near Café Rouge in the city centre with an average customer rating and a high price range.</v>
      </c>
      <c r="C37" s="99" t="str">
        <f>'retrieve E2E TCF random'!C11</f>
        <v>The Cricketers|eat_type|restaurant ++ The Cricketers|food|English ++ The Cricketers|price_range|high ++ The Cricketers|rating|average ++ The Cricketers|area|city centre ++ The Cricketers|family_friendly|yes ++ The Cricketers|near|Café Rouge</v>
      </c>
      <c r="D37" s="99" t="str">
        <f>'retrieve E2E TCF random'!D11</f>
        <v>0.955</v>
      </c>
      <c r="E37" s="99" t="str">
        <f>'retrieve E2E TCF random'!E11</f>
        <v>hallucination</v>
      </c>
      <c r="F37" s="99" t="str">
        <f>'retrieve E2E TCF random'!F11</f>
        <v>OK</v>
      </c>
      <c r="G37" s="99" t="str">
        <f>'retrieve E2E TCF random'!G11</f>
        <v/>
      </c>
      <c r="H37" s="99" t="str">
        <f>'retrieve E2E TCF random'!H11</f>
        <v>x</v>
      </c>
      <c r="I37" s="99" t="str">
        <f>'retrieve E2E TCF random'!I11</f>
        <v/>
      </c>
      <c r="J37" s="99" t="str">
        <f>'retrieve E2E TCF random'!J11</f>
        <v/>
      </c>
      <c r="K37" s="99" t="str">
        <f>'retrieve E2E TCF random'!K11</f>
        <v/>
      </c>
      <c r="L37" s="99" t="str">
        <f>'retrieve E2E TCF random'!L11</f>
        <v/>
      </c>
      <c r="M37" s="99" t="str">
        <f>'retrieve E2E TCF random'!M11</f>
        <v/>
      </c>
      <c r="N37" s="99" t="str">
        <f>'retrieve E2E TCF random'!N11</f>
        <v/>
      </c>
      <c r="O37" s="99" t="str">
        <f>'retrieve E2E TCF random'!O11</f>
        <v/>
      </c>
      <c r="P37" s="99" t="str">
        <f>'retrieve E2E TCF random'!P11</f>
        <v/>
      </c>
    </row>
    <row r="38">
      <c r="A38" s="99">
        <f>'retrieve E2E AB random'!A11</f>
        <v>41</v>
      </c>
      <c r="B38" s="99" t="str">
        <f>'retrieve E2E AB random'!B11</f>
        <v>The Punter is a high priced, average rated, adult only Indian restaurant located near Express by Holiday Inn in the city centre.</v>
      </c>
      <c r="C38" s="99" t="str">
        <f>'retrieve E2E AB random'!C11</f>
        <v>The Punter|eat_type|restaurant ++ The Punter|food|Indian ++ The Punter|price_range|high ++ The Punter|rating|average ++ The Punter|area|city centre ++ The Punter|family_friendly|no ++ The Punter|near|Express by Holiday Inn</v>
      </c>
      <c r="D38" s="99" t="str">
        <f>'retrieve E2E AB random'!D11</f>
        <v>0.061</v>
      </c>
      <c r="E38" s="99" t="str">
        <f>'retrieve E2E AB random'!E11</f>
        <v>OK</v>
      </c>
      <c r="F38" s="99" t="str">
        <f>'retrieve E2E AB random'!F11</f>
        <v>hallucination</v>
      </c>
      <c r="G38" s="99" t="str">
        <f>'retrieve E2E AB random'!G11</f>
        <v/>
      </c>
      <c r="H38" s="99" t="str">
        <f>'retrieve E2E AB random'!H11</f>
        <v/>
      </c>
      <c r="I38" s="99" t="str">
        <f>'retrieve E2E AB random'!I11</f>
        <v>x</v>
      </c>
      <c r="J38" s="99" t="str">
        <f>'retrieve E2E AB random'!J11</f>
        <v/>
      </c>
      <c r="K38" s="99" t="str">
        <f>'retrieve E2E AB random'!K11</f>
        <v/>
      </c>
      <c r="L38" s="99" t="str">
        <f>'retrieve E2E AB random'!L11</f>
        <v>x</v>
      </c>
      <c r="M38" s="99" t="str">
        <f>'retrieve E2E AB random'!M11</f>
        <v>x</v>
      </c>
      <c r="N38" s="99" t="str">
        <f>'retrieve E2E AB random'!N11</f>
        <v/>
      </c>
      <c r="O38" s="99" t="str">
        <f>'retrieve E2E AB random'!O11</f>
        <v/>
      </c>
      <c r="P38" s="99" t="str">
        <f>'retrieve E2E AB random'!P11</f>
        <v>NLI seems to diagnose 'adult only' for family_friendly=no as an hallucination because it's not a valid realisation; could go either way: both wrong or just NLI wrong, because if it's not OK it's omission+hallucination </v>
      </c>
    </row>
    <row r="39">
      <c r="A39" s="99">
        <f>'retrieve E2E AB random'!A30</f>
        <v>42</v>
      </c>
      <c r="B39" s="99" t="str">
        <f>'retrieve E2E AB random'!B30</f>
        <v>The Cricketers is a non family friendly coffee shop near Crowne Plaza Hotel with an average customer rating of 5 out of 5.</v>
      </c>
      <c r="C39" s="99" t="str">
        <f>'retrieve E2E AB random'!C30</f>
        <v>The Cricketers|eat_type|coffee shop ++ The Cricketers|rating|5 out of 5 ++ The Cricketers|family_friendly|no ++ The Cricketers|near|Crowne Plaza Hotel</v>
      </c>
      <c r="D39" s="99" t="str">
        <f>'retrieve E2E AB random'!D30</f>
        <v>0.895</v>
      </c>
      <c r="E39" s="99" t="str">
        <f>'retrieve E2E AB random'!E30</f>
        <v>hallucination</v>
      </c>
      <c r="F39" s="99" t="str">
        <f>'retrieve E2E AB random'!F30</f>
        <v>OK</v>
      </c>
      <c r="G39" s="99" t="str">
        <f>'retrieve E2E AB random'!G30</f>
        <v/>
      </c>
      <c r="H39" s="99" t="str">
        <f>'retrieve E2E AB random'!H30</f>
        <v/>
      </c>
      <c r="I39" s="99" t="str">
        <f>'retrieve E2E AB random'!I30</f>
        <v>x</v>
      </c>
      <c r="J39" s="99" t="str">
        <f>'retrieve E2E AB random'!J30</f>
        <v/>
      </c>
      <c r="K39" s="99" t="str">
        <f>'retrieve E2E AB random'!K30</f>
        <v/>
      </c>
      <c r="L39" s="99" t="str">
        <f>'retrieve E2E AB random'!L30</f>
        <v/>
      </c>
      <c r="M39" s="99" t="str">
        <f>'retrieve E2E AB random'!M30</f>
        <v>x</v>
      </c>
      <c r="N39" s="99" t="str">
        <f>'retrieve E2E AB random'!N30</f>
        <v/>
      </c>
      <c r="O39" s="99" t="str">
        <f>'retrieve E2E AB random'!O30</f>
        <v/>
      </c>
      <c r="P39" s="99" t="str">
        <f>'retrieve E2E AB random'!P30</f>
        <v>should be hallucination+omission ('average' for rating=5 out of 5)</v>
      </c>
    </row>
    <row r="40">
      <c r="A40" s="99">
        <f>'retrieve E2E AB random'!A44</f>
        <v>43</v>
      </c>
      <c r="B40" s="99" t="str">
        <f>'retrieve E2E AB random'!B44</f>
        <v>There is a Chinese venue in the riverside area near Raja Indian Cuisine . It is kids friendly and has a price range of £ 20 - 25 . It is called The Plough and provide food .</v>
      </c>
      <c r="C40" s="99" t="str">
        <f>'retrieve E2E AB random'!C44</f>
        <v>The Plough|eat_type|restaurant ++ The Plough|food|Chinese ++ The Plough|price_range|£20-25 ++ The Plough|area|riverside ++ The Plough|family_friendly|yes ++ The Plough|near|Raja Indian Cuisine</v>
      </c>
      <c r="D40" s="99" t="str">
        <f>'retrieve E2E AB random'!D44</f>
        <v>0.928</v>
      </c>
      <c r="E40" s="99" t="str">
        <f>'retrieve E2E AB random'!E44</f>
        <v>omission</v>
      </c>
      <c r="F40" s="99" t="str">
        <f>'retrieve E2E AB random'!F44</f>
        <v>OK</v>
      </c>
      <c r="G40" s="99" t="str">
        <f>'retrieve E2E AB random'!G44</f>
        <v/>
      </c>
      <c r="H40" s="99" t="str">
        <f>'retrieve E2E AB random'!H44</f>
        <v>x</v>
      </c>
      <c r="I40" s="99" t="str">
        <f>'retrieve E2E AB random'!I44</f>
        <v/>
      </c>
      <c r="J40" s="99" t="str">
        <f>'retrieve E2E AB random'!J44</f>
        <v/>
      </c>
      <c r="K40" s="99" t="str">
        <f>'retrieve E2E AB random'!K44</f>
        <v/>
      </c>
      <c r="L40" s="99" t="str">
        <f>'retrieve E2E AB random'!L44</f>
        <v/>
      </c>
      <c r="M40" s="99" t="str">
        <f>'retrieve E2E AB random'!M44</f>
        <v/>
      </c>
      <c r="N40" s="99" t="str">
        <f>'retrieve E2E AB random'!N44</f>
        <v>x</v>
      </c>
      <c r="O40" s="99" t="str">
        <f>'retrieve E2E AB random'!O44</f>
        <v/>
      </c>
      <c r="P40" s="99" t="str">
        <f>'retrieve E2E AB random'!P44</f>
        <v>gold wrongly has omission; unclear why</v>
      </c>
    </row>
    <row r="41">
      <c r="A41" s="99">
        <f>'retrieve E2E TCF random'!A19</f>
        <v>44</v>
      </c>
      <c r="B41" s="99" t="str">
        <f>'retrieve E2E TCF random'!B19</f>
        <v>The Mill is a cheap English restaurant in the city centre near Raja Indian Cuisine. It is not family-friendly.</v>
      </c>
      <c r="C41" s="99" t="str">
        <f>'retrieve E2E TCF random'!C19</f>
        <v>The Mill|eat_type|restaurant ++ The Mill|food|English ++ The Mill|price_range|less than £20 ++ The Mill|area|city centre ++ The Mill|family_friendly|no ++ The Mill|near|Raja Indian Cuisine</v>
      </c>
      <c r="D41" s="99" t="str">
        <f>'retrieve E2E TCF random'!D19</f>
        <v>0.165</v>
      </c>
      <c r="E41" s="99" t="str">
        <f>'retrieve E2E TCF random'!E19</f>
        <v>OK</v>
      </c>
      <c r="F41" s="99" t="str">
        <f>'retrieve E2E TCF random'!F19</f>
        <v>omission</v>
      </c>
      <c r="G41" s="99" t="str">
        <f>'retrieve E2E TCF random'!G19</f>
        <v>x</v>
      </c>
      <c r="H41" s="99" t="str">
        <f>'retrieve E2E TCF random'!H19</f>
        <v/>
      </c>
      <c r="I41" s="99" t="str">
        <f>'retrieve E2E TCF random'!I19</f>
        <v/>
      </c>
      <c r="J41" s="99" t="str">
        <f>'retrieve E2E TCF random'!J19</f>
        <v/>
      </c>
      <c r="K41" s="99" t="str">
        <f>'retrieve E2E TCF random'!K19</f>
        <v/>
      </c>
      <c r="L41" s="99" t="str">
        <f>'retrieve E2E TCF random'!L19</f>
        <v/>
      </c>
      <c r="M41" s="99" t="str">
        <f>'retrieve E2E TCF random'!M19</f>
        <v/>
      </c>
      <c r="N41" s="99" t="str">
        <f>'retrieve E2E TCF random'!N19</f>
        <v/>
      </c>
      <c r="O41" s="99" t="str">
        <f>'retrieve E2E TCF random'!O19</f>
        <v/>
      </c>
      <c r="P41" s="99" t="str">
        <f>'retrieve E2E TCF random'!P19</f>
        <v/>
      </c>
    </row>
    <row r="42">
      <c r="A42" s="99">
        <f>'retrieve E2E TCF random'!A34</f>
        <v>45</v>
      </c>
      <c r="B42" s="99" t="str">
        <f>'retrieve E2E TCF random'!B34</f>
        <v>the vaults is a pub located in the city centre near raja indian cuisine. it serves french food for moderate. it is not family-friendly.</v>
      </c>
      <c r="C42" s="99" t="str">
        <f>'retrieve E2E TCF random'!C34</f>
        <v>The Vaults|eat_type|pub ++ The Vaults|food|French ++ The Vaults|price_range|moderate ++ The Vaults|area|city centre ++ The Vaults|family_friendly|no ++ The Vaults|near|Raja Indian Cuisine</v>
      </c>
      <c r="D42" s="99" t="str">
        <f>'retrieve E2E TCF random'!D34</f>
        <v>0.935</v>
      </c>
      <c r="E42" s="99" t="str">
        <f>'retrieve E2E TCF random'!E34</f>
        <v>omission</v>
      </c>
      <c r="F42" s="99" t="str">
        <f>'retrieve E2E TCF random'!F34</f>
        <v>OK</v>
      </c>
      <c r="G42" s="99" t="str">
        <f>'retrieve E2E TCF random'!G34</f>
        <v/>
      </c>
      <c r="H42" s="99" t="str">
        <f>'retrieve E2E TCF random'!H34</f>
        <v>x</v>
      </c>
      <c r="I42" s="99" t="str">
        <f>'retrieve E2E TCF random'!I34</f>
        <v/>
      </c>
      <c r="J42" s="99" t="str">
        <f>'retrieve E2E TCF random'!J34</f>
        <v/>
      </c>
      <c r="K42" s="99" t="str">
        <f>'retrieve E2E TCF random'!K34</f>
        <v/>
      </c>
      <c r="L42" s="99" t="str">
        <f>'retrieve E2E TCF random'!L34</f>
        <v/>
      </c>
      <c r="M42" s="99" t="str">
        <f>'retrieve E2E TCF random'!M34</f>
        <v/>
      </c>
      <c r="N42" s="99" t="str">
        <f>'retrieve E2E TCF random'!N34</f>
        <v/>
      </c>
      <c r="O42" s="99" t="str">
        <f>'retrieve E2E TCF random'!O34</f>
        <v/>
      </c>
      <c r="P42" s="99" t="str">
        <f>'retrieve E2E TCF random'!P34</f>
        <v/>
      </c>
    </row>
    <row r="43">
      <c r="A43" s="99">
        <f>'retrieve E2E AB random'!A25</f>
        <v>46</v>
      </c>
      <c r="B43" s="99" t="str">
        <f>'retrieve E2E AB random'!B25</f>
        <v>The Phoenix, which has a low customer rating, is a high-priced pub that serves French cuisine. It is located in the city centre area and can be found near Crowne Plaza Hotel. It is family-friendly.</v>
      </c>
      <c r="C43" s="99" t="str">
        <f>'retrieve E2E AB random'!C25</f>
        <v>The Phoenix|eat_type|pub ++ The Phoenix|food|French ++ The Phoenix|price_range|more than £30 ++ The Phoenix|rating|low ++ The Phoenix|area|city centre ++ The Phoenix|family_friendly|yes ++ The Phoenix|near|Crowne Plaza Hotel</v>
      </c>
      <c r="D43" s="99" t="str">
        <f>'retrieve E2E AB random'!D25</f>
        <v>0.047</v>
      </c>
      <c r="E43" s="99" t="str">
        <f>'retrieve E2E AB random'!E25</f>
        <v>OK</v>
      </c>
      <c r="F43" s="99" t="str">
        <f>'retrieve E2E AB random'!F25</f>
        <v>omission</v>
      </c>
      <c r="G43" s="99" t="str">
        <f>'retrieve E2E AB random'!G25</f>
        <v>x</v>
      </c>
      <c r="H43" s="99" t="str">
        <f>'retrieve E2E AB random'!H25</f>
        <v/>
      </c>
      <c r="I43" s="99" t="str">
        <f>'retrieve E2E AB random'!I25</f>
        <v/>
      </c>
      <c r="J43" s="99" t="str">
        <f>'retrieve E2E AB random'!J25</f>
        <v/>
      </c>
      <c r="K43" s="99" t="str">
        <f>'retrieve E2E AB random'!K25</f>
        <v>x</v>
      </c>
      <c r="L43" s="99" t="str">
        <f>'retrieve E2E AB random'!L25</f>
        <v/>
      </c>
      <c r="M43" s="99" t="str">
        <f>'retrieve E2E AB random'!M25</f>
        <v/>
      </c>
      <c r="N43" s="99" t="str">
        <f>'retrieve E2E AB random'!N25</f>
        <v>x</v>
      </c>
      <c r="O43" s="99" t="str">
        <f>'retrieve E2E AB random'!O25</f>
        <v/>
      </c>
      <c r="P43" s="99" t="str">
        <f>'retrieve E2E AB random'!P25</f>
        <v>NLI wrongly has omission maybe because it doesn't recognise high-priced as a realisation of more than £30</v>
      </c>
    </row>
    <row r="44">
      <c r="A44" s="99">
        <f>'retrieve E2E AB random'!A43</f>
        <v>47</v>
      </c>
      <c r="B44" s="99" t="str">
        <f>'retrieve E2E AB random'!B43</f>
        <v>The Mill is a pub serving English food in the low price range it is located in the riverside near Raja Indian Cuisine it is not family-friendly.</v>
      </c>
      <c r="C44" s="99" t="str">
        <f>'retrieve E2E AB random'!C43</f>
        <v>The Mill|eat_type|pub ++ The Mill|food|English ++ The Mill|price_range|less than £20 ++ The Mill|area|riverside ++ The Mill|family_friendly|no ++ The Mill|near|Raja Indian Cuisine</v>
      </c>
      <c r="D44" s="99" t="str">
        <f>'retrieve E2E AB random'!D43</f>
        <v>0.052</v>
      </c>
      <c r="E44" s="99" t="str">
        <f>'retrieve E2E AB random'!E43</f>
        <v>OK</v>
      </c>
      <c r="F44" s="99" t="str">
        <f>'retrieve E2E AB random'!F43</f>
        <v>omission</v>
      </c>
      <c r="G44" s="99" t="str">
        <f>'retrieve E2E AB random'!G43</f>
        <v>x</v>
      </c>
      <c r="H44" s="99" t="str">
        <f>'retrieve E2E AB random'!H43</f>
        <v/>
      </c>
      <c r="I44" s="99" t="str">
        <f>'retrieve E2E AB random'!I43</f>
        <v/>
      </c>
      <c r="J44" s="99" t="str">
        <f>'retrieve E2E AB random'!J43</f>
        <v/>
      </c>
      <c r="K44" s="99" t="str">
        <f>'retrieve E2E AB random'!K43</f>
        <v>x</v>
      </c>
      <c r="L44" s="99" t="str">
        <f>'retrieve E2E AB random'!L43</f>
        <v/>
      </c>
      <c r="M44" s="99" t="str">
        <f>'retrieve E2E AB random'!M43</f>
        <v/>
      </c>
      <c r="N44" s="99" t="str">
        <f>'retrieve E2E AB random'!N43</f>
        <v>x</v>
      </c>
      <c r="O44" s="99" t="str">
        <f>'retrieve E2E AB random'!O43</f>
        <v/>
      </c>
      <c r="P44" s="99" t="str">
        <f>'retrieve E2E AB random'!P43</f>
        <v>NLI wrongly has omission maybe because it doesn't recognise low priced as a realisation of &lt;£20</v>
      </c>
    </row>
    <row r="45">
      <c r="A45" s="99">
        <f>'retrieve E2E TCF random'!A32</f>
        <v>48</v>
      </c>
      <c r="B45" s="99" t="str">
        <f>'retrieve E2E TCF random'!B32</f>
        <v>Come to the family friendly Wildwood Indian pup in the riverside area near Raja Indian Cuisine .</v>
      </c>
      <c r="C45" s="99" t="str">
        <f>'retrieve E2E TCF random'!C32</f>
        <v>Wildwood|eat_type|restaurant ++ Wildwood|food|Indian ++ Wildwood|area|riverside ++ Wildwood|family_friendly|yes ++ Wildwood|near|Raja Indian Cuisine</v>
      </c>
      <c r="D45" s="99" t="str">
        <f>'retrieve E2E TCF random'!D32</f>
        <v>0.455</v>
      </c>
      <c r="E45" s="99" t="str">
        <f>'retrieve E2E TCF random'!E32</f>
        <v>omission</v>
      </c>
      <c r="F45" s="99" t="str">
        <f>'retrieve E2E TCF random'!F32</f>
        <v>OK</v>
      </c>
      <c r="G45" s="99" t="str">
        <f>'retrieve E2E TCF random'!G32</f>
        <v>x</v>
      </c>
      <c r="H45" s="99" t="str">
        <f>'retrieve E2E TCF random'!H32</f>
        <v/>
      </c>
      <c r="I45" s="99" t="str">
        <f>'retrieve E2E TCF random'!I32</f>
        <v/>
      </c>
      <c r="J45" s="99" t="str">
        <f>'retrieve E2E TCF random'!J32</f>
        <v>x</v>
      </c>
      <c r="K45" s="99" t="str">
        <f>'retrieve E2E TCF random'!K32</f>
        <v/>
      </c>
      <c r="L45" s="99" t="str">
        <f>'retrieve E2E TCF random'!L32</f>
        <v/>
      </c>
      <c r="M45" s="99" t="str">
        <f>'retrieve E2E TCF random'!M32</f>
        <v/>
      </c>
      <c r="N45" s="99" t="str">
        <f>'retrieve E2E TCF random'!N32</f>
        <v/>
      </c>
      <c r="O45" s="99" t="str">
        <f>'retrieve E2E TCF random'!O32</f>
        <v/>
      </c>
      <c r="P45" s="99" t="str">
        <f>'retrieve E2E TCF random'!P32</f>
        <v/>
      </c>
    </row>
    <row r="46">
      <c r="A46" s="99">
        <f>'retrieve E2E AB random'!A24</f>
        <v>49</v>
      </c>
      <c r="B46" s="99" t="str">
        <f>'retrieve E2E AB random'!B24</f>
        <v>The Cricketers restaurant serves Chinese food for high in the riverside near All Bar One. It is children friendly but has a 1 out of 5 customer rating.</v>
      </c>
      <c r="C46" s="99" t="str">
        <f>'retrieve E2E AB random'!C24</f>
        <v>The Cricketers|eat_type|restaurant ++ The Cricketers|food|Chinese ++ The Cricketers|price_range|high ++ The Cricketers|rating|1 out of 5 ++ The Cricketers|area|riverside ++ The Cricketers|family_friendly|yes ++ The Cricketers|near|All Bar One</v>
      </c>
      <c r="D46" s="99" t="str">
        <f>'retrieve E2E AB random'!D24</f>
        <v>0.594</v>
      </c>
      <c r="E46" s="99" t="str">
        <f>'retrieve E2E AB random'!E24</f>
        <v>omission</v>
      </c>
      <c r="F46" s="99" t="str">
        <f>'retrieve E2E AB random'!F24</f>
        <v>OK</v>
      </c>
      <c r="G46" s="99" t="str">
        <f>'retrieve E2E AB random'!G24</f>
        <v/>
      </c>
      <c r="H46" s="99" t="str">
        <f>'retrieve E2E AB random'!H24</f>
        <v/>
      </c>
      <c r="I46" s="99" t="str">
        <f>'retrieve E2E AB random'!I24</f>
        <v>x</v>
      </c>
      <c r="J46" s="99" t="str">
        <f>'retrieve E2E AB random'!J24</f>
        <v/>
      </c>
      <c r="K46" s="99" t="str">
        <f>'retrieve E2E AB random'!K24</f>
        <v>x</v>
      </c>
      <c r="L46" s="99" t="str">
        <f>'retrieve E2E AB random'!L24</f>
        <v/>
      </c>
      <c r="M46" s="99" t="str">
        <f>'retrieve E2E AB random'!M24</f>
        <v>x</v>
      </c>
      <c r="N46" s="99" t="str">
        <f>'retrieve E2E AB random'!N24</f>
        <v/>
      </c>
      <c r="O46" s="99" t="str">
        <f>'retrieve E2E AB random'!O24</f>
        <v/>
      </c>
      <c r="P46" s="99" t="str">
        <f>'retrieve E2E AB random'!P24</f>
        <v>gold seems to diagnose 'for high' for price_range=high as an omission because it's not a valid realisation; could go either way: both wrong or just gold wrong, because if it's not OK it's omission+hallucination </v>
      </c>
    </row>
    <row r="47">
      <c r="A47" s="99">
        <f>'retrieve E2E AB random'!A34</f>
        <v>51</v>
      </c>
      <c r="B47" s="99" t="str">
        <f>'retrieve E2E AB random'!B34</f>
        <v>The Waterman restaurant near Raja Indian Cuisine in the riverside sells Indian food and is less than £20 priced no kids allowed.</v>
      </c>
      <c r="C47" s="99" t="str">
        <f>'retrieve E2E AB random'!C34</f>
        <v>The Waterman|eat_type|restaurant ++ The Waterman|food|Indian ++ The Waterman|price_range|less than £20 ++ The Waterman|area|riverside ++ The Waterman|family_friendly|no ++ The Waterman|near|Raja Indian Cuisine</v>
      </c>
      <c r="D47" s="99" t="str">
        <f>'retrieve E2E AB random'!D34</f>
        <v>0.346</v>
      </c>
      <c r="E47" s="99" t="str">
        <f>'retrieve E2E AB random'!E34</f>
        <v>OK</v>
      </c>
      <c r="F47" s="99" t="str">
        <f>'retrieve E2E AB random'!F34</f>
        <v>hallucination</v>
      </c>
      <c r="G47" s="99" t="str">
        <f>'retrieve E2E AB random'!G34</f>
        <v/>
      </c>
      <c r="H47" s="99" t="str">
        <f>'retrieve E2E AB random'!H34</f>
        <v/>
      </c>
      <c r="I47" s="99" t="str">
        <f>'retrieve E2E AB random'!I34</f>
        <v>x</v>
      </c>
      <c r="J47" s="99" t="str">
        <f>'retrieve E2E AB random'!J34</f>
        <v/>
      </c>
      <c r="K47" s="99" t="str">
        <f>'retrieve E2E AB random'!K34</f>
        <v/>
      </c>
      <c r="L47" s="99" t="str">
        <f>'retrieve E2E AB random'!L34</f>
        <v>x</v>
      </c>
      <c r="M47" s="99" t="str">
        <f>'retrieve E2E AB random'!M34</f>
        <v>x</v>
      </c>
      <c r="N47" s="99" t="str">
        <f>'retrieve E2E AB random'!N34</f>
        <v/>
      </c>
      <c r="O47" s="99" t="str">
        <f>'retrieve E2E AB random'!O34</f>
        <v/>
      </c>
      <c r="P47" s="99" t="str">
        <f>'retrieve E2E AB random'!P34</f>
        <v>NLI seems to diagnose 'no kids allowed' for family_friendly=no as an hallucination because it's not a valid realisation; could go either way: both wrong or just NLI wrong, because if it's not OK it's omission+hallucination </v>
      </c>
    </row>
    <row r="48">
      <c r="A48" s="99">
        <f>'retrieve E2E TCF random'!A47</f>
        <v>52</v>
      </c>
      <c r="B48" s="99" t="str">
        <f>'retrieve E2E TCF random'!B47</f>
        <v>The Vaults is a pub serving Japanese food with a high customer rating with meals £20-£25 and is family friendly in city centre area near Rainbow Vegetarian Café.</v>
      </c>
      <c r="C48" s="99" t="str">
        <f>'retrieve E2E TCF random'!C47</f>
        <v>The Vaults|eat_type|pub ++ The Vaults|food|Japanese ++ The Vaults|price_range|£20-25 ++ The Vaults|rating|high ++ The Vaults|area|city centre ++ The Vaults|family_friendly|yes ++ The Vaults|near|Rainbow Vegetarian Café</v>
      </c>
      <c r="D48" s="99" t="str">
        <f>'retrieve E2E TCF random'!D47</f>
        <v>0.959</v>
      </c>
      <c r="E48" s="99" t="str">
        <f>'retrieve E2E TCF random'!E47</f>
        <v>omission</v>
      </c>
      <c r="F48" s="99" t="str">
        <f>'retrieve E2E TCF random'!F47</f>
        <v>OK</v>
      </c>
      <c r="G48" s="99" t="str">
        <f>'retrieve E2E TCF random'!G47</f>
        <v/>
      </c>
      <c r="H48" s="99" t="str">
        <f>'retrieve E2E TCF random'!H47</f>
        <v>x</v>
      </c>
      <c r="I48" s="99" t="str">
        <f>'retrieve E2E TCF random'!I47</f>
        <v/>
      </c>
      <c r="J48" s="99" t="str">
        <f>'retrieve E2E TCF random'!J47</f>
        <v/>
      </c>
      <c r="K48" s="99" t="str">
        <f>'retrieve E2E TCF random'!K47</f>
        <v/>
      </c>
      <c r="L48" s="99" t="str">
        <f>'retrieve E2E TCF random'!L47</f>
        <v/>
      </c>
      <c r="M48" s="99" t="str">
        <f>'retrieve E2E TCF random'!M47</f>
        <v/>
      </c>
      <c r="N48" s="99" t="str">
        <f>'retrieve E2E TCF random'!N47</f>
        <v/>
      </c>
      <c r="O48" s="99" t="str">
        <f>'retrieve E2E TCF random'!O47</f>
        <v/>
      </c>
      <c r="P48" s="99" t="str">
        <f>'retrieve E2E TCF random'!P47</f>
        <v/>
      </c>
    </row>
    <row r="49">
      <c r="A49" s="99">
        <f>'retrieve E2E AB random'!A19</f>
        <v>54</v>
      </c>
      <c r="B49" s="99" t="str">
        <f>'retrieve E2E AB random'!B19</f>
        <v>There is a French, pub located near Raja Indian Cuisine in riverside called The Phoenix. The pub is in the £20-£25 price range and is children friendly.</v>
      </c>
      <c r="C49" s="99" t="str">
        <f>'retrieve E2E AB random'!C19</f>
        <v>The Phoenix|eat_type|pub ++ The Phoenix|food|French ++ The Phoenix|price_range|£20-25 ++ The Phoenix|area|riverside ++ The Phoenix|family_friendly|yes ++ The Phoenix|near|Raja Indian Cuisine</v>
      </c>
      <c r="D49" s="99" t="str">
        <f>'retrieve E2E AB random'!D19</f>
        <v>0.943</v>
      </c>
      <c r="E49" s="99" t="str">
        <f>'retrieve E2E AB random'!E19</f>
        <v>omission</v>
      </c>
      <c r="F49" s="99" t="str">
        <f>'retrieve E2E AB random'!F19</f>
        <v>OK</v>
      </c>
      <c r="G49" s="99" t="str">
        <f>'retrieve E2E AB random'!G19</f>
        <v/>
      </c>
      <c r="H49" s="99" t="str">
        <f>'retrieve E2E AB random'!H19</f>
        <v>x</v>
      </c>
      <c r="I49" s="99" t="str">
        <f>'retrieve E2E AB random'!I19</f>
        <v/>
      </c>
      <c r="J49" s="99" t="str">
        <f>'retrieve E2E AB random'!J19</f>
        <v/>
      </c>
      <c r="K49" s="99" t="str">
        <f>'retrieve E2E AB random'!K19</f>
        <v/>
      </c>
      <c r="L49" s="99" t="str">
        <f>'retrieve E2E AB random'!L19</f>
        <v/>
      </c>
      <c r="M49" s="99" t="str">
        <f>'retrieve E2E AB random'!M19</f>
        <v/>
      </c>
      <c r="N49" s="99" t="str">
        <f>'retrieve E2E AB random'!N19</f>
        <v>x</v>
      </c>
      <c r="O49" s="99" t="str">
        <f>'retrieve E2E AB random'!O19</f>
        <v/>
      </c>
      <c r="P49" s="99" t="str">
        <f>'retrieve E2E AB random'!P19</f>
        <v>gold wrongly has omission; unclear why</v>
      </c>
    </row>
    <row r="50">
      <c r="A50" s="99">
        <f>'retrieve E2E TCF random'!A40</f>
        <v>55</v>
      </c>
      <c r="B50" s="99" t="str">
        <f>'retrieve E2E TCF random'!B40</f>
        <v>The Wrestlers, which is located in the city centre near Raja Indian Cuisine, is a cheap restaurant that serves Japanese food. It is not family-friendly.</v>
      </c>
      <c r="C50" s="99" t="str">
        <f>'retrieve E2E TCF random'!C40</f>
        <v>The Wrestlers|eat_type|restaurant ++ The Wrestlers|food|Japanese ++ The Wrestlers|price_range|less than £20 ++ The Wrestlers|area|city centre ++ The Wrestlers|family_friendly|no ++ The Wrestlers|near|Raja Indian Cuisine</v>
      </c>
      <c r="D50" s="99" t="str">
        <f>'retrieve E2E TCF random'!D40</f>
        <v>0.030</v>
      </c>
      <c r="E50" s="99" t="str">
        <f>'retrieve E2E TCF random'!E40</f>
        <v>OK</v>
      </c>
      <c r="F50" s="99" t="str">
        <f>'retrieve E2E TCF random'!F40</f>
        <v>omission</v>
      </c>
      <c r="G50" s="99" t="str">
        <f>'retrieve E2E TCF random'!G40</f>
        <v>x</v>
      </c>
      <c r="H50" s="99" t="str">
        <f>'retrieve E2E TCF random'!H40</f>
        <v/>
      </c>
      <c r="I50" s="99" t="str">
        <f>'retrieve E2E TCF random'!I40</f>
        <v/>
      </c>
      <c r="J50" s="99" t="str">
        <f>'retrieve E2E TCF random'!J40</f>
        <v/>
      </c>
      <c r="K50" s="99" t="str">
        <f>'retrieve E2E TCF random'!K40</f>
        <v/>
      </c>
      <c r="L50" s="99" t="str">
        <f>'retrieve E2E TCF random'!L40</f>
        <v/>
      </c>
      <c r="M50" s="99" t="str">
        <f>'retrieve E2E TCF random'!M40</f>
        <v/>
      </c>
      <c r="N50" s="99" t="str">
        <f>'retrieve E2E TCF random'!N40</f>
        <v/>
      </c>
      <c r="O50" s="99" t="str">
        <f>'retrieve E2E TCF random'!O40</f>
        <v/>
      </c>
      <c r="P50" s="99" t="str">
        <f>'retrieve E2E TCF random'!P40</f>
        <v/>
      </c>
    </row>
    <row r="51">
      <c r="A51" s="99">
        <f>'retrieve E2E AB random'!A16</f>
        <v>56</v>
      </c>
      <c r="B51" s="99" t="str">
        <f>'retrieve E2E AB random'!B16</f>
        <v>The Wrestlers is a low - cost , family - friendly pub located in Luton near Raja Indian Cuisine . It has Italian food and a place to Euros .</v>
      </c>
      <c r="C51" s="99" t="str">
        <f>'retrieve E2E AB random'!C16</f>
        <v>The Wrestlers|eat_type|pub ++ The Wrestlers|food|Italian ++ The Wrestlers|price_range|less than £20 ++ The Wrestlers|area|riverside ++ The Wrestlers|family_friendly|yes ++ The Wrestlers|near|Raja Indian Cuisine</v>
      </c>
      <c r="D51" s="99" t="str">
        <f>'retrieve E2E AB random'!D16</f>
        <v>0.010</v>
      </c>
      <c r="E51" s="99" t="str">
        <f>'retrieve E2E AB random'!E16</f>
        <v>omission</v>
      </c>
      <c r="F51" s="99" t="str">
        <f>'retrieve E2E AB random'!F16</f>
        <v>hallucination+omission</v>
      </c>
      <c r="G51" s="99" t="str">
        <f>'retrieve E2E AB random'!G16</f>
        <v/>
      </c>
      <c r="H51" s="99" t="str">
        <f>'retrieve E2E AB random'!H16</f>
        <v>x</v>
      </c>
      <c r="I51" s="99" t="str">
        <f>'retrieve E2E AB random'!I16</f>
        <v/>
      </c>
      <c r="J51" s="99" t="str">
        <f>'retrieve E2E AB random'!J16</f>
        <v/>
      </c>
      <c r="K51" s="99" t="str">
        <f>'retrieve E2E AB random'!K16</f>
        <v/>
      </c>
      <c r="L51" s="99" t="str">
        <f>'retrieve E2E AB random'!L16</f>
        <v/>
      </c>
      <c r="M51" s="99" t="str">
        <f>'retrieve E2E AB random'!M16</f>
        <v>x</v>
      </c>
      <c r="N51" s="99" t="str">
        <f>'retrieve E2E AB random'!N16</f>
        <v/>
      </c>
      <c r="O51" s="99" t="str">
        <f>'retrieve E2E AB random'!O16</f>
        <v/>
      </c>
      <c r="P51" s="99" t="str">
        <f>'retrieve E2E AB random'!P16</f>
        <v>gold misses hallucination ('Indian', 'place to Euros')</v>
      </c>
    </row>
    <row r="52">
      <c r="A52" s="99">
        <f>'retrieve E2E TCF random'!A10</f>
        <v>57</v>
      </c>
      <c r="B52" s="99" t="str">
        <f>'retrieve E2E TCF random'!B10</f>
        <v>The Punter is a family friendly restaurant in the town centre near Raja Indian Cuisine . It is inexpensive and serves Chinese food .</v>
      </c>
      <c r="C52" s="99" t="str">
        <f>'retrieve E2E TCF random'!C10</f>
        <v>The Punter|eat_type|restaurant ++ The Punter|food|Chinese ++ The Punter|price_range|less than £20 ++ The Punter|area|city centre ++ The Punter|family_friendly|yes ++ The Punter|near|Raja Indian Cuisine</v>
      </c>
      <c r="D52" s="99" t="str">
        <f>'retrieve E2E TCF random'!D10</f>
        <v>0.209</v>
      </c>
      <c r="E52" s="99" t="str">
        <f>'retrieve E2E TCF random'!E10</f>
        <v>OK</v>
      </c>
      <c r="F52" s="99" t="str">
        <f>'retrieve E2E TCF random'!F10</f>
        <v>omission</v>
      </c>
      <c r="G52" s="99" t="str">
        <f>'retrieve E2E TCF random'!G10</f>
        <v>x</v>
      </c>
      <c r="H52" s="99" t="str">
        <f>'retrieve E2E TCF random'!H10</f>
        <v/>
      </c>
      <c r="I52" s="99" t="str">
        <f>'retrieve E2E TCF random'!I10</f>
        <v/>
      </c>
      <c r="J52" s="99" t="str">
        <f>'retrieve E2E TCF random'!J10</f>
        <v/>
      </c>
      <c r="K52" s="99" t="str">
        <f>'retrieve E2E TCF random'!K10</f>
        <v/>
      </c>
      <c r="L52" s="99" t="str">
        <f>'retrieve E2E TCF random'!L10</f>
        <v/>
      </c>
      <c r="M52" s="99" t="str">
        <f>'retrieve E2E TCF random'!M10</f>
        <v/>
      </c>
      <c r="N52" s="99" t="str">
        <f>'retrieve E2E TCF random'!N10</f>
        <v/>
      </c>
      <c r="O52" s="99" t="str">
        <f>'retrieve E2E TCF random'!O10</f>
        <v/>
      </c>
      <c r="P52" s="99" t="str">
        <f>'retrieve E2E TCF random'!P10</f>
        <v/>
      </c>
    </row>
    <row r="53">
      <c r="A53" s="99">
        <f>'retrieve E2E TCF random'!A30</f>
        <v>58</v>
      </c>
      <c r="B53" s="99" t="str">
        <f>'retrieve E2E TCF random'!B30</f>
        <v>If you are looking for a coffee shop near Café Sicilia then the Cocum is a highly rated restaurant.</v>
      </c>
      <c r="C53" s="99" t="str">
        <f>'retrieve E2E TCF random'!C30</f>
        <v>Cocum|eat_type|coffee shop ++ Cocum|rating|high ++ Cocum|near|Café Sicilia</v>
      </c>
      <c r="D53" s="99" t="str">
        <f>'retrieve E2E TCF random'!D30</f>
        <v>0.862</v>
      </c>
      <c r="E53" s="99" t="str">
        <f>'retrieve E2E TCF random'!E30</f>
        <v>hallucination</v>
      </c>
      <c r="F53" s="99" t="str">
        <f>'retrieve E2E TCF random'!F30</f>
        <v>OK</v>
      </c>
      <c r="G53" s="99" t="str">
        <f>'retrieve E2E TCF random'!G30</f>
        <v/>
      </c>
      <c r="H53" s="99" t="str">
        <f>'retrieve E2E TCF random'!H30</f>
        <v>x</v>
      </c>
      <c r="I53" s="99" t="str">
        <f>'retrieve E2E TCF random'!I30</f>
        <v/>
      </c>
      <c r="J53" s="99" t="str">
        <f>'retrieve E2E TCF random'!J30</f>
        <v/>
      </c>
      <c r="K53" s="99" t="str">
        <f>'retrieve E2E TCF random'!K30</f>
        <v/>
      </c>
      <c r="L53" s="99" t="str">
        <f>'retrieve E2E TCF random'!L30</f>
        <v/>
      </c>
      <c r="M53" s="99" t="str">
        <f>'retrieve E2E TCF random'!M30</f>
        <v/>
      </c>
      <c r="N53" s="99" t="str">
        <f>'retrieve E2E TCF random'!N30</f>
        <v/>
      </c>
      <c r="O53" s="99" t="str">
        <f>'retrieve E2E TCF random'!O30</f>
        <v/>
      </c>
      <c r="P53" s="99" t="str">
        <f>'retrieve E2E TCF random'!P30</f>
        <v/>
      </c>
    </row>
    <row r="54">
      <c r="A54" s="99">
        <f>'retrieve E2E AB random'!A9</f>
        <v>59</v>
      </c>
      <c r="B54" s="99" t="str">
        <f>'retrieve E2E AB random'!B9</f>
        <v>The Mill is a moderate restaurant that serves English food. It is not children-friendly and has a rating of 1 out of 5. It is located in the riverside area near Café Rouge.</v>
      </c>
      <c r="C54" s="99" t="str">
        <f>'retrieve E2E AB random'!C9</f>
        <v>The Mill|eat_type|restaurant ++ The Mill|food|English ++ The Mill|price_range|moderate ++ The Mill|rating|1 out of 5 ++ The Mill|area|riverside ++ The Mill|family_friendly|no ++ The Mill|near|Café Rouge</v>
      </c>
      <c r="D54" s="99" t="str">
        <f>'retrieve E2E AB random'!D9</f>
        <v>0.834</v>
      </c>
      <c r="E54" s="99" t="str">
        <f>'retrieve E2E AB random'!E9</f>
        <v>omission</v>
      </c>
      <c r="F54" s="99" t="str">
        <f>'retrieve E2E AB random'!F9</f>
        <v>OK</v>
      </c>
      <c r="G54" s="99" t="str">
        <f>'retrieve E2E AB random'!G9</f>
        <v/>
      </c>
      <c r="H54" s="99" t="str">
        <f>'retrieve E2E AB random'!H9</f>
        <v/>
      </c>
      <c r="I54" s="99" t="str">
        <f>'retrieve E2E AB random'!I9</f>
        <v>x</v>
      </c>
      <c r="J54" s="99" t="str">
        <f>'retrieve E2E AB random'!J9</f>
        <v/>
      </c>
      <c r="K54" s="99" t="str">
        <f>'retrieve E2E AB random'!K9</f>
        <v/>
      </c>
      <c r="L54" s="99" t="str">
        <f>'retrieve E2E AB random'!L9</f>
        <v>x</v>
      </c>
      <c r="M54" s="99" t="str">
        <f>'retrieve E2E AB random'!M9</f>
        <v>x</v>
      </c>
      <c r="N54" s="99" t="str">
        <f>'retrieve E2E AB random'!N9</f>
        <v/>
      </c>
      <c r="O54" s="99" t="str">
        <f>'retrieve E2E AB random'!O9</f>
        <v/>
      </c>
      <c r="P54" s="99" t="str">
        <f>'retrieve E2E AB random'!P9</f>
        <v>NLI seems to diagnose 'no kids allowed' for family_friendly=no as an hallucination because it's not a valid realisation; could go either way: both wrong or just NLI wrong, because if it's not OK it's omission+hallucination </v>
      </c>
    </row>
    <row r="55">
      <c r="A55" s="99">
        <f>'retrieve E2E TCF random'!A12</f>
        <v>61</v>
      </c>
      <c r="B55" s="99" t="str">
        <f>'retrieve E2E TCF random'!B12</f>
        <v>If you 're looking for a new place to eat , Wildwood is a short called the road and the road from Raja Indian Cuisine .</v>
      </c>
      <c r="C55" s="99" t="str">
        <f>'retrieve E2E TCF random'!C12</f>
        <v>Wildwood|eat_type|restaurant ++ Wildwood|food|Italian ++ Wildwood|area|riverside ++ Wildwood|family_friendly|no ++ Wildwood|near|Raja Indian Cuisine</v>
      </c>
      <c r="D55" s="99" t="str">
        <f>'retrieve E2E TCF random'!D12</f>
        <v>0.003</v>
      </c>
      <c r="E55" s="99" t="str">
        <f>'retrieve E2E TCF random'!E12</f>
        <v>omission</v>
      </c>
      <c r="F55" s="99" t="str">
        <f>'retrieve E2E TCF random'!F12</f>
        <v>hallucination+omission</v>
      </c>
      <c r="G55" s="99" t="str">
        <f>'retrieve E2E TCF random'!G12</f>
        <v/>
      </c>
      <c r="H55" s="99" t="str">
        <f>'retrieve E2E TCF random'!H12</f>
        <v>x</v>
      </c>
      <c r="I55" s="99" t="str">
        <f>'retrieve E2E TCF random'!I12</f>
        <v/>
      </c>
      <c r="J55" s="99" t="str">
        <f>'retrieve E2E TCF random'!J12</f>
        <v>x</v>
      </c>
      <c r="K55" s="99" t="str">
        <f>'retrieve E2E TCF random'!K12</f>
        <v/>
      </c>
      <c r="L55" s="99" t="str">
        <f>'retrieve E2E TCF random'!L12</f>
        <v/>
      </c>
      <c r="M55" s="99" t="str">
        <f>'retrieve E2E TCF random'!M12</f>
        <v/>
      </c>
      <c r="N55" s="99" t="str">
        <f>'retrieve E2E TCF random'!N12</f>
        <v/>
      </c>
      <c r="O55" s="99" t="str">
        <f>'retrieve E2E TCF random'!O12</f>
        <v/>
      </c>
      <c r="P55" s="99" t="str">
        <f>'retrieve E2E TCF random'!P12</f>
        <v/>
      </c>
    </row>
    <row r="56">
      <c r="A56" s="99">
        <f>'retrieve E2E TCF random'!A50</f>
        <v>62</v>
      </c>
      <c r="B56" s="99" t="str">
        <f>'retrieve E2E TCF random'!B50</f>
        <v>The Mill, which is in the city centre area by Raja Indian Cuisine, is a cheap restaurant offering English cuisine. It is kid-friendly.</v>
      </c>
      <c r="C56" s="99" t="str">
        <f>'retrieve E2E TCF random'!C50</f>
        <v>The Mill|eat_type|restaurant ++ The Mill|food|English ++ The Mill|price_range|less than £20 ++ The Mill|area|city centre ++ The Mill|family_friendly|yes ++ The Mill|near|Raja Indian Cuisine</v>
      </c>
      <c r="D56" s="99" t="str">
        <f>'retrieve E2E TCF random'!D50</f>
        <v>0.047</v>
      </c>
      <c r="E56" s="99" t="str">
        <f>'retrieve E2E TCF random'!E50</f>
        <v>OK</v>
      </c>
      <c r="F56" s="99" t="str">
        <f>'retrieve E2E TCF random'!F50</f>
        <v>omission</v>
      </c>
      <c r="G56" s="99" t="str">
        <f>'retrieve E2E TCF random'!G50</f>
        <v>x</v>
      </c>
      <c r="H56" s="99" t="str">
        <f>'retrieve E2E TCF random'!H50</f>
        <v/>
      </c>
      <c r="I56" s="99" t="str">
        <f>'retrieve E2E TCF random'!I50</f>
        <v/>
      </c>
      <c r="J56" s="99" t="str">
        <f>'retrieve E2E TCF random'!J50</f>
        <v/>
      </c>
      <c r="K56" s="99" t="str">
        <f>'retrieve E2E TCF random'!K50</f>
        <v/>
      </c>
      <c r="L56" s="99" t="str">
        <f>'retrieve E2E TCF random'!L50</f>
        <v/>
      </c>
      <c r="M56" s="99" t="str">
        <f>'retrieve E2E TCF random'!M50</f>
        <v/>
      </c>
      <c r="N56" s="99" t="str">
        <f>'retrieve E2E TCF random'!N50</f>
        <v/>
      </c>
      <c r="O56" s="99" t="str">
        <f>'retrieve E2E TCF random'!O50</f>
        <v/>
      </c>
      <c r="P56" s="99" t="str">
        <f>'retrieve E2E TCF random'!P50</f>
        <v/>
      </c>
    </row>
    <row r="57">
      <c r="A57" s="99">
        <f>'retrieve E2E TCF random'!A26</f>
        <v>63</v>
      </c>
      <c r="B57" s="99" t="str">
        <f>'retrieve E2E TCF random'!B26</f>
        <v>The Mill is a cheap English pub in the city centre near Raja Indian Cuisine. It is not family-friendly.</v>
      </c>
      <c r="C57" s="99" t="str">
        <f>'retrieve E2E TCF random'!C26</f>
        <v>The Mill|eat_type|pub ++ The Mill|food|English ++ The Mill|price_range|less than £20 ++ The Mill|area|city centre ++ The Mill|family_friendly|no ++ The Mill|near|Raja Indian Cuisine</v>
      </c>
      <c r="D57" s="99" t="str">
        <f>'retrieve E2E TCF random'!D26</f>
        <v>0.205</v>
      </c>
      <c r="E57" s="99" t="str">
        <f>'retrieve E2E TCF random'!E26</f>
        <v>OK</v>
      </c>
      <c r="F57" s="99" t="str">
        <f>'retrieve E2E TCF random'!F26</f>
        <v>omission</v>
      </c>
      <c r="G57" s="99" t="str">
        <f>'retrieve E2E TCF random'!G26</f>
        <v>x</v>
      </c>
      <c r="H57" s="99" t="str">
        <f>'retrieve E2E TCF random'!H26</f>
        <v/>
      </c>
      <c r="I57" s="99" t="str">
        <f>'retrieve E2E TCF random'!I26</f>
        <v/>
      </c>
      <c r="J57" s="99" t="str">
        <f>'retrieve E2E TCF random'!J26</f>
        <v/>
      </c>
      <c r="K57" s="99" t="str">
        <f>'retrieve E2E TCF random'!K26</f>
        <v/>
      </c>
      <c r="L57" s="99" t="str">
        <f>'retrieve E2E TCF random'!L26</f>
        <v/>
      </c>
      <c r="M57" s="99" t="str">
        <f>'retrieve E2E TCF random'!M26</f>
        <v/>
      </c>
      <c r="N57" s="99" t="str">
        <f>'retrieve E2E TCF random'!N26</f>
        <v/>
      </c>
      <c r="O57" s="99" t="str">
        <f>'retrieve E2E TCF random'!O26</f>
        <v/>
      </c>
      <c r="P57" s="99" t="str">
        <f>'retrieve E2E TCF random'!P26</f>
        <v/>
      </c>
    </row>
    <row r="58">
      <c r="A58" s="99">
        <f>'retrieve E2E AB random'!A7</f>
        <v>64</v>
      </c>
      <c r="B58" s="99" t="str">
        <f>'retrieve E2E AB random'!B7</f>
        <v>Conveniently located in riverside near Raja Indian Cuisine there is a moderately priced pub serving Japanese food with a rating of 1 out of 5 called The Wrestlers. Children are permitted.</v>
      </c>
      <c r="C58" s="99" t="str">
        <f>'retrieve E2E AB random'!C7</f>
        <v>The Wrestlers|eat_type|pub ++ The Wrestlers|food|Japanese ++ The Wrestlers|price_range|moderate ++ The Wrestlers|rating|1 out of 5 ++ The Wrestlers|area|riverside ++ The Wrestlers|family_friendly|yes ++ The Wrestlers|near|Raja Indian Cuisine</v>
      </c>
      <c r="D58" s="99" t="str">
        <f>'retrieve E2E AB random'!D7</f>
        <v>0.901</v>
      </c>
      <c r="E58" s="99" t="str">
        <f>'retrieve E2E AB random'!E7</f>
        <v>omission</v>
      </c>
      <c r="F58" s="99" t="str">
        <f>'retrieve E2E AB random'!F7</f>
        <v>OK</v>
      </c>
      <c r="G58" s="99" t="str">
        <f>'retrieve E2E AB random'!G7</f>
        <v/>
      </c>
      <c r="H58" s="99" t="str">
        <f>'retrieve E2E AB random'!H7</f>
        <v>x</v>
      </c>
      <c r="I58" s="99" t="str">
        <f>'retrieve E2E AB random'!I7</f>
        <v/>
      </c>
      <c r="J58" s="99" t="str">
        <f>'retrieve E2E AB random'!J7</f>
        <v/>
      </c>
      <c r="K58" s="99" t="str">
        <f>'retrieve E2E AB random'!K7</f>
        <v/>
      </c>
      <c r="L58" s="99" t="str">
        <f>'retrieve E2E AB random'!L7</f>
        <v>x</v>
      </c>
      <c r="M58" s="99" t="str">
        <f>'retrieve E2E AB random'!M7</f>
        <v>x</v>
      </c>
      <c r="N58" s="99" t="str">
        <f>'retrieve E2E AB random'!N7</f>
        <v/>
      </c>
      <c r="O58" s="99" t="str">
        <f>'retrieve E2E AB random'!O7</f>
        <v/>
      </c>
      <c r="P58" s="99" t="str">
        <f>'retrieve E2E AB random'!P7</f>
        <v>gold seems to diagnose 'children are permitted' for family_friendly=yes as an omission because it's not a good realisation; could go either way: both wrong or just gold wrong, because if it's not OK it's omission+hallucination</v>
      </c>
    </row>
    <row r="59">
      <c r="A59" s="99">
        <f>'retrieve E2E AB random'!A45</f>
        <v>66</v>
      </c>
      <c r="B59" s="99" t="str">
        <f>'retrieve E2E AB random'!B45</f>
        <v>The Vaults, which is in the city centre area by Raja Indian Cuisine, is a low-priced restaurant offering French cuisine. Children are not welcome.</v>
      </c>
      <c r="C59" s="99" t="str">
        <f>'retrieve E2E AB random'!C45</f>
        <v>The Vaults|eat_type|restaurant ++ The Vaults|food|French ++ The Vaults|price_range|less than £20 ++ The Vaults|area|city centre ++ The Vaults|family_friendly|no ++ The Vaults|near|Raja Indian Cuisine</v>
      </c>
      <c r="D59" s="99" t="str">
        <f>'retrieve E2E AB random'!D45</f>
        <v>0.029</v>
      </c>
      <c r="E59" s="99" t="str">
        <f>'retrieve E2E AB random'!E45</f>
        <v>OK</v>
      </c>
      <c r="F59" s="99" t="str">
        <f>'retrieve E2E AB random'!F45</f>
        <v>omission</v>
      </c>
      <c r="G59" s="99" t="str">
        <f>'retrieve E2E AB random'!G45</f>
        <v>x</v>
      </c>
      <c r="H59" s="99" t="str">
        <f>'retrieve E2E AB random'!H45</f>
        <v/>
      </c>
      <c r="I59" s="99" t="str">
        <f>'retrieve E2E AB random'!I45</f>
        <v/>
      </c>
      <c r="J59" s="99" t="str">
        <f>'retrieve E2E AB random'!J45</f>
        <v/>
      </c>
      <c r="K59" s="99" t="str">
        <f>'retrieve E2E AB random'!K45</f>
        <v>x</v>
      </c>
      <c r="L59" s="99" t="str">
        <f>'retrieve E2E AB random'!L45</f>
        <v/>
      </c>
      <c r="M59" s="99" t="str">
        <f>'retrieve E2E AB random'!M45</f>
        <v/>
      </c>
      <c r="N59" s="99" t="str">
        <f>'retrieve E2E AB random'!N45</f>
        <v>x</v>
      </c>
      <c r="O59" s="99" t="str">
        <f>'retrieve E2E AB random'!O45</f>
        <v/>
      </c>
      <c r="P59" s="99" t="str">
        <f>'retrieve E2E AB random'!P45</f>
        <v>NLI wrongly has omission maybe because it doesn't recognise low-priced as a realisation of &lt;£20</v>
      </c>
    </row>
    <row r="60">
      <c r="A60" s="99">
        <f>'retrieve E2E TCF random'!A16</f>
        <v>67</v>
      </c>
      <c r="B60" s="99" t="str">
        <f>'retrieve E2E TCF random'!B16</f>
        <v>The Vaults is a children friendly Italian pub near Rainbow Vegetarian Café with a high price range and an average customer rating.</v>
      </c>
      <c r="C60" s="99" t="str">
        <f>'retrieve E2E TCF random'!C16</f>
        <v>The Vaults|eat_type|pub ++ The Vaults|food|Italian ++ The Vaults|price_range|high ++ The Vaults|rating|average ++ The Vaults|area|riverside ++ The Vaults|family_friendly|yes ++ The Vaults|near|Rainbow Vegetarian Café</v>
      </c>
      <c r="D60" s="99" t="str">
        <f>'retrieve E2E TCF random'!D16</f>
        <v>0.003</v>
      </c>
      <c r="E60" s="99" t="str">
        <f>'retrieve E2E TCF random'!E16</f>
        <v>hallucination+omission</v>
      </c>
      <c r="F60" s="99" t="str">
        <f>'retrieve E2E TCF random'!F16</f>
        <v>omission</v>
      </c>
      <c r="G60" s="99" t="str">
        <f>'retrieve E2E TCF random'!G16</f>
        <v/>
      </c>
      <c r="H60" s="99" t="str">
        <f>'retrieve E2E TCF random'!H16</f>
        <v>x</v>
      </c>
      <c r="I60" s="99" t="str">
        <f>'retrieve E2E TCF random'!I16</f>
        <v/>
      </c>
      <c r="J60" s="99" t="str">
        <f>'retrieve E2E TCF random'!J16</f>
        <v/>
      </c>
      <c r="K60" s="99" t="str">
        <f>'retrieve E2E TCF random'!K16</f>
        <v/>
      </c>
      <c r="L60" s="99" t="str">
        <f>'retrieve E2E TCF random'!L16</f>
        <v/>
      </c>
      <c r="M60" s="99" t="str">
        <f>'retrieve E2E TCF random'!M16</f>
        <v/>
      </c>
      <c r="N60" s="99" t="str">
        <f>'retrieve E2E TCF random'!N16</f>
        <v/>
      </c>
      <c r="O60" s="99" t="str">
        <f>'retrieve E2E TCF random'!O16</f>
        <v/>
      </c>
      <c r="P60" s="99" t="str">
        <f>'retrieve E2E TCF random'!P16</f>
        <v>area</v>
      </c>
    </row>
    <row r="61">
      <c r="A61" s="99">
        <f>'retrieve E2E AB random'!A42</f>
        <v>69</v>
      </c>
      <c r="B61" s="99" t="str">
        <f>'retrieve E2E AB random'!B42</f>
        <v>The Cricketers is a restaurant near Ranch. It has a low rating and is for adults only.</v>
      </c>
      <c r="C61" s="99" t="str">
        <f>'retrieve E2E AB random'!C42</f>
        <v>The Cricketers|eat_type|restaurant ++ The Cricketers|rating|low ++ The Cricketers|family_friendly|no ++ The Cricketers|near|Ranch</v>
      </c>
      <c r="D61" s="99" t="str">
        <f>'retrieve E2E AB random'!D42</f>
        <v>0.012</v>
      </c>
      <c r="E61" s="99" t="str">
        <f>'retrieve E2E AB random'!E42</f>
        <v>OK</v>
      </c>
      <c r="F61" s="99" t="str">
        <f>'retrieve E2E AB random'!F42</f>
        <v>hallucination</v>
      </c>
      <c r="G61" s="99" t="str">
        <f>'retrieve E2E AB random'!G42</f>
        <v/>
      </c>
      <c r="H61" s="99" t="str">
        <f>'retrieve E2E AB random'!H42</f>
        <v/>
      </c>
      <c r="I61" s="99" t="str">
        <f>'retrieve E2E AB random'!I42</f>
        <v>x</v>
      </c>
      <c r="J61" s="99" t="str">
        <f>'retrieve E2E AB random'!J42</f>
        <v/>
      </c>
      <c r="K61" s="99" t="str">
        <f>'retrieve E2E AB random'!K42</f>
        <v/>
      </c>
      <c r="L61" s="99" t="str">
        <f>'retrieve E2E AB random'!L42</f>
        <v>x</v>
      </c>
      <c r="M61" s="99" t="str">
        <f>'retrieve E2E AB random'!M42</f>
        <v>x</v>
      </c>
      <c r="N61" s="99" t="str">
        <f>'retrieve E2E AB random'!N42</f>
        <v/>
      </c>
      <c r="O61" s="99" t="str">
        <f>'retrieve E2E AB random'!O42</f>
        <v/>
      </c>
      <c r="P61" s="99" t="str">
        <f>'retrieve E2E AB random'!P42</f>
        <v>NLI seems to diagnose 'for adults only' for family_friendly=no as an omission because it's not a valid realisation; could go either way: both wrong or just NLI wrong, because if it's not OK it's omission+hallucination</v>
      </c>
    </row>
    <row r="62">
      <c r="A62" s="99">
        <f>'retrieve E2E AB random'!A5</f>
        <v>70</v>
      </c>
      <c r="B62" s="99" t="str">
        <f>'retrieve E2E AB random'!B5</f>
        <v>The Cricketers is a chinese restaurant in the riverside area near All Bar One. It is children friendly and has an average customer rating and a high price range.</v>
      </c>
      <c r="C62" s="99" t="str">
        <f>'retrieve E2E AB random'!C5</f>
        <v>The Cricketers|eat_type|restaurant ++ The Cricketers|food|Chinese ++ The Cricketers|price_range|high ++ The Cricketers|rating|average ++ The Cricketers|area|riverside ++ The Cricketers|family_friendly|yes ++ The Cricketers|near|All Bar One</v>
      </c>
      <c r="D62" s="99" t="str">
        <f>'retrieve E2E AB random'!D5</f>
        <v>0.970</v>
      </c>
      <c r="E62" s="99" t="str">
        <f>'retrieve E2E AB random'!E5</f>
        <v>hallucination</v>
      </c>
      <c r="F62" s="99" t="str">
        <f>'retrieve E2E AB random'!F5</f>
        <v>OK</v>
      </c>
      <c r="G62" s="99" t="str">
        <f>'retrieve E2E AB random'!G5</f>
        <v/>
      </c>
      <c r="H62" s="99" t="str">
        <f>'retrieve E2E AB random'!H5</f>
        <v>x</v>
      </c>
      <c r="I62" s="99" t="str">
        <f>'retrieve E2E AB random'!I5</f>
        <v/>
      </c>
      <c r="J62" s="99" t="str">
        <f>'retrieve E2E AB random'!J5</f>
        <v/>
      </c>
      <c r="K62" s="99" t="str">
        <f>'retrieve E2E AB random'!K5</f>
        <v/>
      </c>
      <c r="L62" s="99" t="str">
        <f>'retrieve E2E AB random'!L5</f>
        <v/>
      </c>
      <c r="M62" s="99" t="str">
        <f>'retrieve E2E AB random'!M5</f>
        <v/>
      </c>
      <c r="N62" s="99" t="str">
        <f>'retrieve E2E AB random'!N5</f>
        <v/>
      </c>
      <c r="O62" s="99" t="str">
        <f>'retrieve E2E AB random'!O5</f>
        <v>x</v>
      </c>
      <c r="P62" s="99" t="str">
        <f>'retrieve E2E AB random'!P5</f>
        <v>gold wrongly has hallucination; unclear why</v>
      </c>
    </row>
    <row r="63">
      <c r="A63" s="99">
        <f>'retrieve E2E TCF random'!A39</f>
        <v>71</v>
      </c>
      <c r="B63" s="99" t="str">
        <f>'retrieve E2E TCF random'!B39</f>
        <v>There is a pub called The Mill that serves Fast food in the £20-25 price range with a high customer rating in the city centre near Café Rouge and is not kid friendly.</v>
      </c>
      <c r="C63" s="99" t="str">
        <f>'retrieve E2E TCF random'!C39</f>
        <v>The Mill|eat_type|pub ++ The Mill|food|Fast food ++ The Mill|price_range|£20-25 ++ The Mill|rating|high ++ The Mill|area|city centre ++ The Mill|family_friendly|no ++ The Mill|near|Café Rouge</v>
      </c>
      <c r="D63" s="99" t="str">
        <f>'retrieve E2E TCF random'!D39</f>
        <v>0.976</v>
      </c>
      <c r="E63" s="99" t="str">
        <f>'retrieve E2E TCF random'!E39</f>
        <v>hallucination</v>
      </c>
      <c r="F63" s="99" t="str">
        <f>'retrieve E2E TCF random'!F39</f>
        <v>OK</v>
      </c>
      <c r="G63" s="99" t="str">
        <f>'retrieve E2E TCF random'!G39</f>
        <v/>
      </c>
      <c r="H63" s="99" t="str">
        <f>'retrieve E2E TCF random'!H39</f>
        <v>x</v>
      </c>
      <c r="I63" s="99" t="str">
        <f>'retrieve E2E TCF random'!I39</f>
        <v/>
      </c>
      <c r="J63" s="99" t="str">
        <f>'retrieve E2E TCF random'!J39</f>
        <v/>
      </c>
      <c r="K63" s="99" t="str">
        <f>'retrieve E2E TCF random'!K39</f>
        <v/>
      </c>
      <c r="L63" s="99" t="str">
        <f>'retrieve E2E TCF random'!L39</f>
        <v/>
      </c>
      <c r="M63" s="99" t="str">
        <f>'retrieve E2E TCF random'!M39</f>
        <v/>
      </c>
      <c r="N63" s="99" t="str">
        <f>'retrieve E2E TCF random'!N39</f>
        <v/>
      </c>
      <c r="O63" s="99" t="str">
        <f>'retrieve E2E TCF random'!O39</f>
        <v/>
      </c>
      <c r="P63" s="99" t="str">
        <f>'retrieve E2E TCF random'!P39</f>
        <v/>
      </c>
    </row>
    <row r="64">
      <c r="A64" s="99">
        <f>'retrieve E2E TCF random'!A24</f>
        <v>72</v>
      </c>
      <c r="B64" s="99" t="str">
        <f>'retrieve E2E TCF random'!B24</f>
        <v>There is a pub called The Wrestlers that is located near Raja Indian Cuisine . It has wonderful food although it is within the high price range .</v>
      </c>
      <c r="C64" s="99" t="str">
        <f>'retrieve E2E TCF random'!C24</f>
        <v>The Wrestlers|eat_type|pub ++ The Wrestlers|food|Japanese ++ The Wrestlers|price_range|more than £30 ++ The Wrestlers|rating|low ++ The Wrestlers|area|riverside ++ The Wrestlers|family_friendly|yes ++ The Wrestlers|near|Raja Indian Cuisine</v>
      </c>
      <c r="D64" s="99" t="str">
        <f>'retrieve E2E TCF random'!D24</f>
        <v>0.001</v>
      </c>
      <c r="E64" s="99" t="str">
        <f>'retrieve E2E TCF random'!E24</f>
        <v>omission</v>
      </c>
      <c r="F64" s="99" t="str">
        <f>'retrieve E2E TCF random'!F24</f>
        <v>hallucination+omission</v>
      </c>
      <c r="G64" s="99" t="str">
        <f>'retrieve E2E TCF random'!G24</f>
        <v/>
      </c>
      <c r="H64" s="99" t="str">
        <f>'retrieve E2E TCF random'!H24</f>
        <v>x</v>
      </c>
      <c r="I64" s="99" t="str">
        <f>'retrieve E2E TCF random'!I24</f>
        <v/>
      </c>
      <c r="J64" s="99" t="str">
        <f>'retrieve E2E TCF random'!J24</f>
        <v/>
      </c>
      <c r="K64" s="99" t="str">
        <f>'retrieve E2E TCF random'!K24</f>
        <v>x</v>
      </c>
      <c r="L64" s="99" t="str">
        <f>'retrieve E2E TCF random'!L24</f>
        <v/>
      </c>
      <c r="M64" s="99" t="str">
        <f>'retrieve E2E TCF random'!M24</f>
        <v/>
      </c>
      <c r="N64" s="99" t="str">
        <f>'retrieve E2E TCF random'!N24</f>
        <v/>
      </c>
      <c r="O64" s="99" t="str">
        <f>'retrieve E2E TCF random'!O24</f>
        <v/>
      </c>
      <c r="P64" s="99" t="str">
        <f>'retrieve E2E TCF random'!P24</f>
        <v/>
      </c>
    </row>
    <row r="65">
      <c r="A65" s="99">
        <f>'retrieve E2E TCF random'!A8</f>
        <v>73</v>
      </c>
      <c r="B65" s="99" t="str">
        <f>'retrieve E2E TCF random'!B8</f>
        <v>The Punter is a restaurant in the riverside area that has a 1 out of 5 customer rating. Although it has a higher price range, it is children friendly, serves Italian food and is near the Rainbow Vegetarian Café.</v>
      </c>
      <c r="C65" s="99" t="str">
        <f>'retrieve E2E TCF random'!C8</f>
        <v>The Punter|eat_type|restaurant ++ The Punter|food|Italian ++ The Punter|price_range|high ++ The Punter|rating|1 out of 5 ++ The Punter|area|riverside ++ The Punter|family_friendly|yes ++ The Punter|near|Rainbow Vegetarian Café</v>
      </c>
      <c r="D65" s="99" t="str">
        <f>'retrieve E2E TCF random'!D8</f>
        <v>0.966</v>
      </c>
      <c r="E65" s="99" t="str">
        <f>'retrieve E2E TCF random'!E8</f>
        <v>omission</v>
      </c>
      <c r="F65" s="99" t="str">
        <f>'retrieve E2E TCF random'!F8</f>
        <v>OK</v>
      </c>
      <c r="G65" s="99" t="str">
        <f>'retrieve E2E TCF random'!G8</f>
        <v/>
      </c>
      <c r="H65" s="99" t="str">
        <f>'retrieve E2E TCF random'!H8</f>
        <v>x</v>
      </c>
      <c r="I65" s="99" t="str">
        <f>'retrieve E2E TCF random'!I8</f>
        <v/>
      </c>
      <c r="J65" s="99" t="str">
        <f>'retrieve E2E TCF random'!J8</f>
        <v/>
      </c>
      <c r="K65" s="99" t="str">
        <f>'retrieve E2E TCF random'!K8</f>
        <v/>
      </c>
      <c r="L65" s="99" t="str">
        <f>'retrieve E2E TCF random'!L8</f>
        <v/>
      </c>
      <c r="M65" s="99" t="str">
        <f>'retrieve E2E TCF random'!M8</f>
        <v/>
      </c>
      <c r="N65" s="99" t="str">
        <f>'retrieve E2E TCF random'!N8</f>
        <v/>
      </c>
      <c r="O65" s="99" t="str">
        <f>'retrieve E2E TCF random'!O8</f>
        <v/>
      </c>
      <c r="P65" s="99" t="str">
        <f>'retrieve E2E TCF random'!P8</f>
        <v/>
      </c>
    </row>
    <row r="66">
      <c r="A66" s="99">
        <f>'retrieve E2E TCF random'!A42</f>
        <v>74</v>
      </c>
      <c r="B66" s="99" t="str">
        <f>'retrieve E2E TCF random'!B42</f>
        <v>In the riverside, near Raja Indian Cuisine, you will find The Wrestlers. It is a non children-friendly pub that serves Japanese food. While its price range is quite 1 out of 5, moderate, it has a 1 out of 5 customer ratings.</v>
      </c>
      <c r="C66" s="99" t="str">
        <f>'retrieve E2E TCF random'!C42</f>
        <v>The Wrestlers|eat_type|pub ++ The Wrestlers|food|Japanese ++ The Wrestlers|price_range|moderate ++ The Wrestlers|rating|1 out of 5 ++ The Wrestlers|area|riverside ++ The Wrestlers|family_friendly|no ++ The Wrestlers|near|Raja Indian Cuisine</v>
      </c>
      <c r="D66" s="99" t="str">
        <f>'retrieve E2E TCF random'!D42</f>
        <v>0.975</v>
      </c>
      <c r="E66" s="99" t="str">
        <f>'retrieve E2E TCF random'!E42</f>
        <v>omission</v>
      </c>
      <c r="F66" s="99" t="str">
        <f>'retrieve E2E TCF random'!F42</f>
        <v>OK</v>
      </c>
      <c r="G66" s="99" t="str">
        <f>'retrieve E2E TCF random'!G42</f>
        <v/>
      </c>
      <c r="H66" s="99" t="str">
        <f>'retrieve E2E TCF random'!H42</f>
        <v/>
      </c>
      <c r="I66" s="99" t="str">
        <f>'retrieve E2E TCF random'!I42</f>
        <v>x</v>
      </c>
      <c r="J66" s="99" t="str">
        <f>'retrieve E2E TCF random'!J42</f>
        <v/>
      </c>
      <c r="K66" s="99" t="str">
        <f>'retrieve E2E TCF random'!K42</f>
        <v>x</v>
      </c>
      <c r="L66" s="99" t="str">
        <f>'retrieve E2E TCF random'!L42</f>
        <v/>
      </c>
      <c r="M66" s="99" t="str">
        <f>'retrieve E2E TCF random'!M42</f>
        <v/>
      </c>
      <c r="N66" s="99" t="str">
        <f>'retrieve E2E TCF random'!N42</f>
        <v>x</v>
      </c>
      <c r="O66" s="99" t="str">
        <f>'retrieve E2E TCF random'!O42</f>
        <v>x</v>
      </c>
      <c r="P66" s="99" t="str">
        <f>'retrieve E2E TCF random'!P42</f>
        <v/>
      </c>
    </row>
    <row r="67">
      <c r="A67" s="99">
        <f>'retrieve E2E TCF random'!A9</f>
        <v>75</v>
      </c>
      <c r="B67" s="99" t="str">
        <f>'retrieve E2E TCF random'!B9</f>
        <v>Non-kid-friendly The Waterman is a low-priced pub serving Italian cuisine. It is located in the city centre area and can be found near Raja Indian Cuisine.</v>
      </c>
      <c r="C67" s="99" t="str">
        <f>'retrieve E2E TCF random'!C9</f>
        <v>The Waterman|eat_type|pub ++ The Waterman|food|Italian ++ The Waterman|price_range|less than £20 ++ The Waterman|area|city centre ++ The Waterman|family_friendly|no ++ The Waterman|near|Raja Indian Cuisine</v>
      </c>
      <c r="D67" s="99" t="str">
        <f>'retrieve E2E TCF random'!D9</f>
        <v>0.154</v>
      </c>
      <c r="E67" s="99" t="str">
        <f>'retrieve E2E TCF random'!E9</f>
        <v>OK</v>
      </c>
      <c r="F67" s="99" t="str">
        <f>'retrieve E2E TCF random'!F9</f>
        <v>omission</v>
      </c>
      <c r="G67" s="99" t="str">
        <f>'retrieve E2E TCF random'!G9</f>
        <v>x</v>
      </c>
      <c r="H67" s="99" t="str">
        <f>'retrieve E2E TCF random'!H9</f>
        <v/>
      </c>
      <c r="I67" s="99" t="str">
        <f>'retrieve E2E TCF random'!I9</f>
        <v/>
      </c>
      <c r="J67" s="99" t="str">
        <f>'retrieve E2E TCF random'!J9</f>
        <v/>
      </c>
      <c r="K67" s="99" t="str">
        <f>'retrieve E2E TCF random'!K9</f>
        <v/>
      </c>
      <c r="L67" s="99" t="str">
        <f>'retrieve E2E TCF random'!L9</f>
        <v/>
      </c>
      <c r="M67" s="99" t="str">
        <f>'retrieve E2E TCF random'!M9</f>
        <v/>
      </c>
      <c r="N67" s="99" t="str">
        <f>'retrieve E2E TCF random'!N9</f>
        <v/>
      </c>
      <c r="O67" s="99" t="str">
        <f>'retrieve E2E TCF random'!O9</f>
        <v/>
      </c>
      <c r="P67" s="99" t="str">
        <f>'retrieve E2E TCF random'!P9</f>
        <v/>
      </c>
    </row>
    <row r="68">
      <c r="A68" s="99">
        <f>'retrieve E2E TCF random'!A13</f>
        <v>76</v>
      </c>
      <c r="B68" s="99" t="str">
        <f>'retrieve E2E TCF random'!B13</f>
        <v>the plough is a highly priced chinese restaurant in the riverside area near raja indian cuisine. it is not family friendly.</v>
      </c>
      <c r="C68" s="99" t="str">
        <f>'retrieve E2E TCF random'!C13</f>
        <v>The Plough|eat_type|restaurant ++ The Plough|food|Chinese ++ The Plough|price_range|high ++ The Plough|area|riverside ++ The Plough|family_friendly|no ++ The Plough|near|Raja Indian Cuisine</v>
      </c>
      <c r="D68" s="99" t="str">
        <f>'retrieve E2E TCF random'!D13</f>
        <v>0.970</v>
      </c>
      <c r="E68" s="99" t="str">
        <f>'retrieve E2E TCF random'!E13</f>
        <v>omission</v>
      </c>
      <c r="F68" s="99" t="str">
        <f>'retrieve E2E TCF random'!F13</f>
        <v>OK</v>
      </c>
      <c r="G68" s="99" t="str">
        <f>'retrieve E2E TCF random'!G13</f>
        <v/>
      </c>
      <c r="H68" s="99" t="str">
        <f>'retrieve E2E TCF random'!H13</f>
        <v>x</v>
      </c>
      <c r="I68" s="99" t="str">
        <f>'retrieve E2E TCF random'!I13</f>
        <v/>
      </c>
      <c r="J68" s="99" t="str">
        <f>'retrieve E2E TCF random'!J13</f>
        <v/>
      </c>
      <c r="K68" s="99" t="str">
        <f>'retrieve E2E TCF random'!K13</f>
        <v/>
      </c>
      <c r="L68" s="99" t="str">
        <f>'retrieve E2E TCF random'!L13</f>
        <v/>
      </c>
      <c r="M68" s="99" t="str">
        <f>'retrieve E2E TCF random'!M13</f>
        <v/>
      </c>
      <c r="N68" s="99" t="str">
        <f>'retrieve E2E TCF random'!N13</f>
        <v/>
      </c>
      <c r="O68" s="99" t="str">
        <f>'retrieve E2E TCF random'!O13</f>
        <v/>
      </c>
      <c r="P68" s="99" t="str">
        <f>'retrieve E2E TCF random'!P13</f>
        <v/>
      </c>
    </row>
    <row r="69">
      <c r="A69" s="99">
        <f>'retrieve E2E TCF random'!A35</f>
        <v>77</v>
      </c>
      <c r="B69" s="99" t="str">
        <f>'retrieve E2E TCF random'!B35</f>
        <v>The Vaults, which is located in the city centre near Raja Indian Cuisine, is a cheap restaurant serving French food. Children are welcome.</v>
      </c>
      <c r="C69" s="99" t="str">
        <f>'retrieve E2E TCF random'!C35</f>
        <v>The Vaults|eat_type|restaurant ++ The Vaults|food|French ++ The Vaults|price_range|less than £20 ++ The Vaults|area|city centre ++ The Vaults|family_friendly|yes ++ The Vaults|near|Raja Indian Cuisine</v>
      </c>
      <c r="D69" s="99" t="str">
        <f>'retrieve E2E TCF random'!D35</f>
        <v>0.053</v>
      </c>
      <c r="E69" s="99" t="str">
        <f>'retrieve E2E TCF random'!E35</f>
        <v>OK</v>
      </c>
      <c r="F69" s="99" t="str">
        <f>'retrieve E2E TCF random'!F35</f>
        <v>omission</v>
      </c>
      <c r="G69" s="99" t="str">
        <f>'retrieve E2E TCF random'!G35</f>
        <v>x</v>
      </c>
      <c r="H69" s="99" t="str">
        <f>'retrieve E2E TCF random'!H35</f>
        <v/>
      </c>
      <c r="I69" s="99" t="str">
        <f>'retrieve E2E TCF random'!I35</f>
        <v/>
      </c>
      <c r="J69" s="99" t="str">
        <f>'retrieve E2E TCF random'!J35</f>
        <v/>
      </c>
      <c r="K69" s="99" t="str">
        <f>'retrieve E2E TCF random'!K35</f>
        <v/>
      </c>
      <c r="L69" s="99" t="str">
        <f>'retrieve E2E TCF random'!L35</f>
        <v/>
      </c>
      <c r="M69" s="99" t="str">
        <f>'retrieve E2E TCF random'!M35</f>
        <v/>
      </c>
      <c r="N69" s="99" t="str">
        <f>'retrieve E2E TCF random'!N35</f>
        <v/>
      </c>
      <c r="O69" s="99" t="str">
        <f>'retrieve E2E TCF random'!O35</f>
        <v/>
      </c>
      <c r="P69" s="99" t="str">
        <f>'retrieve E2E TCF random'!P35</f>
        <v/>
      </c>
    </row>
    <row r="70">
      <c r="A70" s="99">
        <f>'retrieve E2E TCF random'!A31</f>
        <v>78</v>
      </c>
      <c r="B70" s="99" t="str">
        <f>'retrieve E2E TCF random'!B31</f>
        <v>The Punter is a family friendly English restaurant in the riverside area near Raja Indian Cuisine with a price range of less than £20.</v>
      </c>
      <c r="C70" s="99" t="str">
        <f>'retrieve E2E TCF random'!C31</f>
        <v>The Punter|eat_type|restaurant ++ The Punter|food|English ++ The Punter|price_range|cheap ++ The Punter|area|riverside ++ The Punter|family_friendly|yes ++ The Punter|near|Raja Indian Cuisine</v>
      </c>
      <c r="D70" s="99" t="str">
        <f>'retrieve E2E TCF random'!D31</f>
        <v>0.006</v>
      </c>
      <c r="E70" s="99" t="str">
        <f>'retrieve E2E TCF random'!E31</f>
        <v>OK</v>
      </c>
      <c r="F70" s="99" t="str">
        <f>'retrieve E2E TCF random'!F31</f>
        <v>hallucination</v>
      </c>
      <c r="G70" s="99" t="str">
        <f>'retrieve E2E TCF random'!G31</f>
        <v>x</v>
      </c>
      <c r="H70" s="99" t="str">
        <f>'retrieve E2E TCF random'!H31</f>
        <v/>
      </c>
      <c r="I70" s="99" t="str">
        <f>'retrieve E2E TCF random'!I31</f>
        <v/>
      </c>
      <c r="J70" s="99" t="str">
        <f>'retrieve E2E TCF random'!J31</f>
        <v/>
      </c>
      <c r="K70" s="99" t="str">
        <f>'retrieve E2E TCF random'!K31</f>
        <v/>
      </c>
      <c r="L70" s="99" t="str">
        <f>'retrieve E2E TCF random'!L31</f>
        <v/>
      </c>
      <c r="M70" s="99" t="str">
        <f>'retrieve E2E TCF random'!M31</f>
        <v/>
      </c>
      <c r="N70" s="99" t="str">
        <f>'retrieve E2E TCF random'!N31</f>
        <v/>
      </c>
      <c r="O70" s="99" t="str">
        <f>'retrieve E2E TCF random'!O31</f>
        <v/>
      </c>
      <c r="P70" s="99" t="str">
        <f>'retrieve E2E TCF random'!P31</f>
        <v/>
      </c>
    </row>
    <row r="71">
      <c r="A71" s="99">
        <f>'retrieve E2E TCF random'!A14</f>
        <v>79</v>
      </c>
      <c r="B71" s="99" t="str">
        <f>'retrieve E2E TCF random'!B14</f>
        <v>The Phoenix is a moderately priced French pub located in the riverside near Raja Indian Cuisine it is family friendly.</v>
      </c>
      <c r="C71" s="99" t="str">
        <f>'retrieve E2E TCF random'!C14</f>
        <v>The Phoenix|eat_type|pub ++ The Phoenix|food|French ++ The Phoenix|price_range|£20-25 ++ The Phoenix|area|riverside ++ The Phoenix|family_friendly|yes ++ The Phoenix|near|Raja Indian Cuisine</v>
      </c>
      <c r="D71" s="99" t="str">
        <f>'retrieve E2E TCF random'!D14</f>
        <v>0.004</v>
      </c>
      <c r="E71" s="99" t="str">
        <f>'retrieve E2E TCF random'!E14</f>
        <v>OK</v>
      </c>
      <c r="F71" s="99" t="str">
        <f>'retrieve E2E TCF random'!F14</f>
        <v>omission</v>
      </c>
      <c r="G71" s="99" t="str">
        <f>'retrieve E2E TCF random'!G14</f>
        <v>x</v>
      </c>
      <c r="H71" s="99" t="str">
        <f>'retrieve E2E TCF random'!H14</f>
        <v/>
      </c>
      <c r="I71" s="99" t="str">
        <f>'retrieve E2E TCF random'!I14</f>
        <v/>
      </c>
      <c r="J71" s="99" t="str">
        <f>'retrieve E2E TCF random'!J14</f>
        <v/>
      </c>
      <c r="K71" s="99" t="str">
        <f>'retrieve E2E TCF random'!K14</f>
        <v/>
      </c>
      <c r="L71" s="99" t="str">
        <f>'retrieve E2E TCF random'!L14</f>
        <v/>
      </c>
      <c r="M71" s="99" t="str">
        <f>'retrieve E2E TCF random'!M14</f>
        <v/>
      </c>
      <c r="N71" s="99" t="str">
        <f>'retrieve E2E TCF random'!N14</f>
        <v/>
      </c>
      <c r="O71" s="99" t="str">
        <f>'retrieve E2E TCF random'!O14</f>
        <v/>
      </c>
      <c r="P71" s="99" t="str">
        <f>'retrieve E2E TCF random'!P14</f>
        <v/>
      </c>
    </row>
    <row r="72">
      <c r="A72" s="99">
        <f>'retrieve E2E TCF random'!A20</f>
        <v>80</v>
      </c>
      <c r="B72" s="99" t="str">
        <f>'retrieve E2E TCF random'!B20</f>
        <v>The Mill is a fast food pub in the city centre near Café Sicilia. It is not children friendly and has a high price range and an average customer rating.</v>
      </c>
      <c r="C72" s="99" t="str">
        <f>'retrieve E2E TCF random'!C20</f>
        <v>The Mill|eat_type|pub ++ The Mill|food|Fast food ++ The Mill|price_range|high ++ The Mill|rating|average ++ The Mill|area|city centre ++ The Mill|family_friendly|no ++ The Mill|near|Café Sicilia</v>
      </c>
      <c r="D72" s="99" t="str">
        <f>'retrieve E2E TCF random'!D20</f>
        <v>0.962</v>
      </c>
      <c r="E72" s="99" t="str">
        <f>'retrieve E2E TCF random'!E20</f>
        <v>hallucination</v>
      </c>
      <c r="F72" s="99" t="str">
        <f>'retrieve E2E TCF random'!F20</f>
        <v>OK</v>
      </c>
      <c r="G72" s="99" t="str">
        <f>'retrieve E2E TCF random'!G20</f>
        <v/>
      </c>
      <c r="H72" s="99" t="str">
        <f>'retrieve E2E TCF random'!H20</f>
        <v>x</v>
      </c>
      <c r="I72" s="99" t="str">
        <f>'retrieve E2E TCF random'!I20</f>
        <v/>
      </c>
      <c r="J72" s="99" t="str">
        <f>'retrieve E2E TCF random'!J20</f>
        <v/>
      </c>
      <c r="K72" s="99" t="str">
        <f>'retrieve E2E TCF random'!K20</f>
        <v/>
      </c>
      <c r="L72" s="99" t="str">
        <f>'retrieve E2E TCF random'!L20</f>
        <v/>
      </c>
      <c r="M72" s="99" t="str">
        <f>'retrieve E2E TCF random'!M20</f>
        <v/>
      </c>
      <c r="N72" s="99" t="str">
        <f>'retrieve E2E TCF random'!N20</f>
        <v/>
      </c>
      <c r="O72" s="99" t="str">
        <f>'retrieve E2E TCF random'!O20</f>
        <v/>
      </c>
      <c r="P72" s="99" t="str">
        <f>'retrieve E2E TCF random'!P20</f>
        <v/>
      </c>
    </row>
    <row r="73">
      <c r="A73" s="99">
        <f>'retrieve E2E AB random'!A28</f>
        <v>81</v>
      </c>
      <c r="B73" s="99" t="str">
        <f>'retrieve E2E AB random'!B28</f>
        <v>A pub named Wildwood is located in the city centre. It is for adults and is close to Raja Indian Cuisine. They offer Indian food.</v>
      </c>
      <c r="C73" s="99" t="str">
        <f>'retrieve E2E AB random'!C28</f>
        <v>Wildwood|eat_type|pub ++ Wildwood|food|Indian ++ Wildwood|area|city centre ++ Wildwood|family_friendly|no ++ Wildwood|near|Raja Indian Cuisine</v>
      </c>
      <c r="D73" s="99" t="str">
        <f>'retrieve E2E AB random'!D28</f>
        <v>0.652</v>
      </c>
      <c r="E73" s="99" t="str">
        <f>'retrieve E2E AB random'!E28</f>
        <v>omission</v>
      </c>
      <c r="F73" s="99" t="str">
        <f>'retrieve E2E AB random'!F28</f>
        <v>OK</v>
      </c>
      <c r="G73" s="99" t="str">
        <f>'retrieve E2E AB random'!G28</f>
        <v/>
      </c>
      <c r="H73" s="99" t="str">
        <f>'retrieve E2E AB random'!H28</f>
        <v>x</v>
      </c>
      <c r="I73" s="99" t="str">
        <f>'retrieve E2E AB random'!I28</f>
        <v/>
      </c>
      <c r="J73" s="99" t="str">
        <f>'retrieve E2E AB random'!J28</f>
        <v/>
      </c>
      <c r="K73" s="99" t="str">
        <f>'retrieve E2E AB random'!K28</f>
        <v/>
      </c>
      <c r="L73" s="99" t="str">
        <f>'retrieve E2E AB random'!L28</f>
        <v>x</v>
      </c>
      <c r="M73" s="99" t="str">
        <f>'retrieve E2E AB random'!M28</f>
        <v/>
      </c>
      <c r="N73" s="99" t="str">
        <f>'retrieve E2E AB random'!N28</f>
        <v/>
      </c>
      <c r="O73" s="99" t="str">
        <f>'retrieve E2E AB random'!O28</f>
        <v/>
      </c>
      <c r="P73" s="99" t="str">
        <f>'retrieve E2E AB random'!P28</f>
        <v>gold seems to diagnose 'it is for adults' for family_friendly=no as an omission because it's not a good realisation; could go either way: both wrong or just gold wrong, because if it's not OK it's omission+hallucination</v>
      </c>
    </row>
    <row r="74">
      <c r="A74" s="99">
        <f>'retrieve E2E TCF random'!A37</f>
        <v>82</v>
      </c>
      <c r="B74" s="99" t="str">
        <f>'retrieve E2E TCF random'!B37</f>
        <v>The Cricketers, a kids friendly restaurant with a £20-£25 price range, with a rating of high. It serves English food and is in city centre near All Bar One.</v>
      </c>
      <c r="C74" s="99" t="str">
        <f>'retrieve E2E TCF random'!C37</f>
        <v>The Cricketers|eat_type|restaurant ++ The Cricketers|food|English ++ The Cricketers|price_range|£20-25 ++ The Cricketers|rating|high ++ The Cricketers|area|city centre ++ The Cricketers|family_friendly|yes ++ The Cricketers|near|All Bar One</v>
      </c>
      <c r="D74" s="99" t="str">
        <f>'retrieve E2E TCF random'!D37</f>
        <v>0.963</v>
      </c>
      <c r="E74" s="99" t="str">
        <f>'retrieve E2E TCF random'!E37</f>
        <v>omission</v>
      </c>
      <c r="F74" s="99" t="str">
        <f>'retrieve E2E TCF random'!F37</f>
        <v>OK</v>
      </c>
      <c r="G74" s="99" t="str">
        <f>'retrieve E2E TCF random'!G37</f>
        <v/>
      </c>
      <c r="H74" s="99" t="str">
        <f>'retrieve E2E TCF random'!H37</f>
        <v>x</v>
      </c>
      <c r="I74" s="99" t="str">
        <f>'retrieve E2E TCF random'!I37</f>
        <v/>
      </c>
      <c r="J74" s="99" t="str">
        <f>'retrieve E2E TCF random'!J37</f>
        <v/>
      </c>
      <c r="K74" s="99" t="str">
        <f>'retrieve E2E TCF random'!K37</f>
        <v/>
      </c>
      <c r="L74" s="99" t="str">
        <f>'retrieve E2E TCF random'!L37</f>
        <v/>
      </c>
      <c r="M74" s="99" t="str">
        <f>'retrieve E2E TCF random'!M37</f>
        <v/>
      </c>
      <c r="N74" s="99" t="str">
        <f>'retrieve E2E TCF random'!N37</f>
        <v/>
      </c>
      <c r="O74" s="99" t="str">
        <f>'retrieve E2E TCF random'!O37</f>
        <v/>
      </c>
      <c r="P74" s="99" t="str">
        <f>'retrieve E2E TCF random'!P37</f>
        <v/>
      </c>
    </row>
    <row r="75">
      <c r="A75" s="99">
        <f>'retrieve E2E AB random'!A17</f>
        <v>83</v>
      </c>
      <c r="B75" s="99" t="str">
        <f>'retrieve E2E AB random'!B17</f>
        <v>The Cricketers is a high restaurant that serves English food. Yes it is kids-friendly. Its customer rating is 1 out of 5. It is located in the riverside area near Café Rouge.</v>
      </c>
      <c r="C75" s="99" t="str">
        <f>'retrieve E2E AB random'!C17</f>
        <v>The Cricketers|eat_type|restaurant ++ The Cricketers|food|English ++ The Cricketers|price_range|high ++ The Cricketers|rating|1 out of 5 ++ The Cricketers|area|riverside ++ The Cricketers|family_friendly|yes ++ The Cricketers|near|Café Rouge</v>
      </c>
      <c r="D75" s="99" t="str">
        <f>'retrieve E2E AB random'!D17</f>
        <v>0.873</v>
      </c>
      <c r="E75" s="99" t="str">
        <f>'retrieve E2E AB random'!E17</f>
        <v>omission</v>
      </c>
      <c r="F75" s="99" t="str">
        <f>'retrieve E2E AB random'!F17</f>
        <v>OK</v>
      </c>
      <c r="G75" s="99" t="str">
        <f>'retrieve E2E AB random'!G17</f>
        <v/>
      </c>
      <c r="H75" s="99" t="str">
        <f>'retrieve E2E AB random'!H17</f>
        <v/>
      </c>
      <c r="I75" s="99" t="str">
        <f>'retrieve E2E AB random'!I17</f>
        <v>x</v>
      </c>
      <c r="J75" s="99" t="str">
        <f>'retrieve E2E AB random'!J17</f>
        <v/>
      </c>
      <c r="K75" s="99" t="str">
        <f>'retrieve E2E AB random'!K17</f>
        <v>x</v>
      </c>
      <c r="L75" s="99" t="str">
        <f>'retrieve E2E AB random'!L17</f>
        <v/>
      </c>
      <c r="M75" s="99" t="str">
        <f>'retrieve E2E AB random'!M17</f>
        <v>x</v>
      </c>
      <c r="N75" s="99" t="str">
        <f>'retrieve E2E AB random'!N17</f>
        <v/>
      </c>
      <c r="O75" s="99" t="str">
        <f>'retrieve E2E AB random'!O17</f>
        <v/>
      </c>
      <c r="P75" s="99" t="str">
        <f>'retrieve E2E AB random'!P17</f>
        <v>gold seems to diagnose 'a high restaurant' for price_range=high as an omission because it's not a valid realisation; could go either way: both wrong or just gold wrong, because if it's not OK it's omission+hallucination</v>
      </c>
    </row>
    <row r="76">
      <c r="A76" s="99">
        <f>'retrieve E2E TCF random'!A23</f>
        <v>86</v>
      </c>
      <c r="B76" s="99" t="str">
        <f>'retrieve E2E TCF random'!B23</f>
        <v>The Mill is a moderate restaurant that serves English food. Yes it is kids-friendly. Its customer rating is 3 out of 5. It is located in the riverside area near Café Rouge.</v>
      </c>
      <c r="C76" s="99" t="str">
        <f>'retrieve E2E TCF random'!C23</f>
        <v>The Mill|eat_type|restaurant ++ The Mill|food|English ++ The Mill|price_range|moderate ++ The Mill|rating|3 out of 5 ++ The Mill|area|riverside ++ The Mill|family_friendly|yes ++ The Mill|near|Café Rouge</v>
      </c>
      <c r="D76" s="99" t="str">
        <f>'retrieve E2E TCF random'!D23</f>
        <v>0.784</v>
      </c>
      <c r="E76" s="99" t="str">
        <f>'retrieve E2E TCF random'!E23</f>
        <v>omission</v>
      </c>
      <c r="F76" s="99" t="str">
        <f>'retrieve E2E TCF random'!F23</f>
        <v>OK</v>
      </c>
      <c r="G76" s="99" t="str">
        <f>'retrieve E2E TCF random'!G23</f>
        <v/>
      </c>
      <c r="H76" s="99" t="str">
        <f>'retrieve E2E TCF random'!H23</f>
        <v>x</v>
      </c>
      <c r="I76" s="99" t="str">
        <f>'retrieve E2E TCF random'!I23</f>
        <v/>
      </c>
      <c r="J76" s="99" t="str">
        <f>'retrieve E2E TCF random'!J23</f>
        <v/>
      </c>
      <c r="K76" s="99" t="str">
        <f>'retrieve E2E TCF random'!K23</f>
        <v/>
      </c>
      <c r="L76" s="99" t="str">
        <f>'retrieve E2E TCF random'!L23</f>
        <v/>
      </c>
      <c r="M76" s="99" t="str">
        <f>'retrieve E2E TCF random'!M23</f>
        <v/>
      </c>
      <c r="N76" s="99" t="str">
        <f>'retrieve E2E TCF random'!N23</f>
        <v/>
      </c>
      <c r="O76" s="99" t="str">
        <f>'retrieve E2E TCF random'!O23</f>
        <v/>
      </c>
      <c r="P76" s="99" t="str">
        <f>'retrieve E2E TCF random'!P23</f>
        <v/>
      </c>
    </row>
    <row r="77">
      <c r="A77" s="99">
        <f>'retrieve E2E TCF random'!A15</f>
        <v>89</v>
      </c>
      <c r="B77" s="99" t="str">
        <f>'retrieve E2E TCF random'!B15</f>
        <v>The Cricketers is a english restaurant in the city centre near Café Rouge. It is children friendly and has an average customer rating and a high price range.</v>
      </c>
      <c r="C77" s="99" t="str">
        <f>'retrieve E2E TCF random'!C15</f>
        <v>The Cricketers|eat_type|restaurant ++ The Cricketers|food|English ++ The Cricketers|price_range|high ++ The Cricketers|rating|average ++ The Cricketers|area|city centre ++ The Cricketers|family_friendly|yes ++ The Cricketers|near|Café Rouge</v>
      </c>
      <c r="D77" s="99" t="str">
        <f>'retrieve E2E TCF random'!D15</f>
        <v>0.966</v>
      </c>
      <c r="E77" s="99" t="str">
        <f>'retrieve E2E TCF random'!E15</f>
        <v>hallucination</v>
      </c>
      <c r="F77" s="99" t="str">
        <f>'retrieve E2E TCF random'!F15</f>
        <v>OK</v>
      </c>
      <c r="G77" s="99" t="str">
        <f>'retrieve E2E TCF random'!G15</f>
        <v/>
      </c>
      <c r="H77" s="99" t="str">
        <f>'retrieve E2E TCF random'!H15</f>
        <v>x</v>
      </c>
      <c r="I77" s="99" t="str">
        <f>'retrieve E2E TCF random'!I15</f>
        <v/>
      </c>
      <c r="J77" s="99" t="str">
        <f>'retrieve E2E TCF random'!J15</f>
        <v/>
      </c>
      <c r="K77" s="99" t="str">
        <f>'retrieve E2E TCF random'!K15</f>
        <v/>
      </c>
      <c r="L77" s="99" t="str">
        <f>'retrieve E2E TCF random'!L15</f>
        <v/>
      </c>
      <c r="M77" s="99" t="str">
        <f>'retrieve E2E TCF random'!M15</f>
        <v/>
      </c>
      <c r="N77" s="99" t="str">
        <f>'retrieve E2E TCF random'!N15</f>
        <v/>
      </c>
      <c r="O77" s="99" t="str">
        <f>'retrieve E2E TCF random'!O15</f>
        <v/>
      </c>
      <c r="P77" s="99" t="str">
        <f>'retrieve E2E TCF random'!P15</f>
        <v/>
      </c>
    </row>
    <row r="78">
      <c r="A78" s="99">
        <f>'retrieve E2E AB random'!A39</f>
        <v>90</v>
      </c>
      <c r="B78" s="99" t="str">
        <f>'retrieve E2E AB random'!B39</f>
        <v>For good prices , bring your family to The Waterman pub . It offers Indian cuisine and is located in the city center near Raja Indian Cuisine .</v>
      </c>
      <c r="C78" s="99" t="str">
        <f>'retrieve E2E AB random'!C39</f>
        <v>The Waterman|eat_type|pub ++ The Waterman|food|Indian ++ The Waterman|price_range|less than £20 ++ The Waterman|area|city centre ++ The Waterman|family_friendly|no ++ The Waterman|near|Raja Indian Cuisine</v>
      </c>
      <c r="D78" s="99" t="str">
        <f>'retrieve E2E AB random'!D39</f>
        <v>0.000</v>
      </c>
      <c r="E78" s="99" t="str">
        <f>'retrieve E2E AB random'!E39</f>
        <v>omission</v>
      </c>
      <c r="F78" s="99" t="str">
        <f>'retrieve E2E AB random'!F39</f>
        <v>hallucination+omission</v>
      </c>
      <c r="G78" s="99" t="str">
        <f>'retrieve E2E AB random'!G39</f>
        <v/>
      </c>
      <c r="H78" s="99" t="str">
        <f>'retrieve E2E AB random'!H39</f>
        <v>x</v>
      </c>
      <c r="I78" s="99" t="str">
        <f>'retrieve E2E AB random'!I39</f>
        <v/>
      </c>
      <c r="J78" s="99" t="str">
        <f>'retrieve E2E AB random'!J39</f>
        <v/>
      </c>
      <c r="K78" s="99" t="str">
        <f>'retrieve E2E AB random'!K39</f>
        <v/>
      </c>
      <c r="L78" s="99" t="str">
        <f>'retrieve E2E AB random'!L39</f>
        <v/>
      </c>
      <c r="M78" s="99" t="str">
        <f>'retrieve E2E AB random'!M39</f>
        <v>x</v>
      </c>
      <c r="N78" s="99" t="str">
        <f>'retrieve E2E AB random'!N39</f>
        <v/>
      </c>
      <c r="O78" s="99" t="str">
        <f>'retrieve E2E AB random'!O39</f>
        <v/>
      </c>
      <c r="P78" s="99" t="str">
        <f>'retrieve E2E AB random'!P39</f>
        <v>gold misses hallucination ('bring your family to')</v>
      </c>
    </row>
    <row r="79">
      <c r="A79" s="99">
        <f>'retrieve E2E TCF random'!A41</f>
        <v>91</v>
      </c>
      <c r="B79" s="99" t="str">
        <f>'retrieve E2E TCF random'!B41</f>
        <v>Cheap Chinese food for all the family can be found at The Cricketers restaurant, near All Bar One, in the riverside area. Average ratings.</v>
      </c>
      <c r="C79" s="99" t="str">
        <f>'retrieve E2E TCF random'!C41</f>
        <v>The Cricketers|eat_type|restaurant ++ The Cricketers|food|Chinese ++ The Cricketers|price_range|cheap ++ The Cricketers|rating|average ++ The Cricketers|area|riverside ++ The Cricketers|family_friendly|yes ++ The Cricketers|near|All Bar One</v>
      </c>
      <c r="D79" s="99" t="str">
        <f>'retrieve E2E TCF random'!D41</f>
        <v>0.873</v>
      </c>
      <c r="E79" s="99" t="str">
        <f>'retrieve E2E TCF random'!E41</f>
        <v>omission</v>
      </c>
      <c r="F79" s="99" t="str">
        <f>'retrieve E2E TCF random'!F41</f>
        <v>OK</v>
      </c>
      <c r="G79" s="99" t="str">
        <f>'retrieve E2E TCF random'!G41</f>
        <v/>
      </c>
      <c r="H79" s="99" t="str">
        <f>'retrieve E2E TCF random'!H41</f>
        <v>x</v>
      </c>
      <c r="I79" s="99" t="str">
        <f>'retrieve E2E TCF random'!I41</f>
        <v/>
      </c>
      <c r="J79" s="99" t="str">
        <f>'retrieve E2E TCF random'!J41</f>
        <v/>
      </c>
      <c r="K79" s="99" t="str">
        <f>'retrieve E2E TCF random'!K41</f>
        <v/>
      </c>
      <c r="L79" s="99" t="str">
        <f>'retrieve E2E TCF random'!L41</f>
        <v/>
      </c>
      <c r="M79" s="99" t="str">
        <f>'retrieve E2E TCF random'!M41</f>
        <v/>
      </c>
      <c r="N79" s="99" t="str">
        <f>'retrieve E2E TCF random'!N41</f>
        <v/>
      </c>
      <c r="O79" s="99" t="str">
        <f>'retrieve E2E TCF random'!O41</f>
        <v/>
      </c>
      <c r="P79" s="99" t="str">
        <f>'retrieve E2E TCF random'!P41</f>
        <v/>
      </c>
    </row>
    <row r="80">
      <c r="A80" s="99">
        <f>'retrieve E2E AB random'!A3</f>
        <v>92</v>
      </c>
      <c r="B80" s="99" t="str">
        <f>'retrieve E2E AB random'!B3</f>
        <v>The Mill is a Fast food pub. It is located in city centre, near Café Sicilia. It has 1 out of 5 customer rating since it is not family-friendly, but offer dishes for moderate.</v>
      </c>
      <c r="C80" s="99" t="str">
        <f>'retrieve E2E AB random'!C3</f>
        <v>The Mill|eat_type|pub ++ The Mill|food|Fast food ++ The Mill|price_range|moderate ++ The Mill|rating|1 out of 5 ++ The Mill|area|city centre ++ The Mill|family_friendly|no ++ The Mill|near|Café Sicilia</v>
      </c>
      <c r="D80" s="99" t="str">
        <f>'retrieve E2E AB random'!D3</f>
        <v>0.434</v>
      </c>
      <c r="E80" s="99" t="str">
        <f>'retrieve E2E AB random'!E3</f>
        <v>omission</v>
      </c>
      <c r="F80" s="99" t="str">
        <f>'retrieve E2E AB random'!F3</f>
        <v>hallucination</v>
      </c>
      <c r="G80" s="99" t="str">
        <f>'retrieve E2E AB random'!G3</f>
        <v/>
      </c>
      <c r="H80" s="99" t="str">
        <f>'retrieve E2E AB random'!H3</f>
        <v/>
      </c>
      <c r="I80" s="99" t="str">
        <f>'retrieve E2E AB random'!I3</f>
        <v>x</v>
      </c>
      <c r="J80" s="99" t="str">
        <f>'retrieve E2E AB random'!J3</f>
        <v/>
      </c>
      <c r="K80" s="99" t="str">
        <f>'retrieve E2E AB random'!K3</f>
        <v>x</v>
      </c>
      <c r="L80" s="99" t="str">
        <f>'retrieve E2E AB random'!L3</f>
        <v/>
      </c>
      <c r="M80" s="99" t="str">
        <f>'retrieve E2E AB random'!M3</f>
        <v>x</v>
      </c>
      <c r="N80" s="99" t="str">
        <f>'retrieve E2E AB random'!N3</f>
        <v/>
      </c>
      <c r="O80" s="99" t="str">
        <f>'retrieve E2E AB random'!O3</f>
        <v/>
      </c>
      <c r="P80" s="99" t="str">
        <f>'retrieve E2E AB random'!P3</f>
        <v>should be hallucination+omission; 'since', 'for moderate'</v>
      </c>
    </row>
    <row r="81">
      <c r="A81" s="99">
        <f>'retrieve E2E AB random'!A36</f>
        <v>94</v>
      </c>
      <c r="B81" s="99" t="str">
        <f>'retrieve E2E AB random'!B36</f>
        <v>The Cricketers is a high restaurant that serves Chinese food. It is not children-friendly and has a rating of 1 out of 5. It is located in the riverside area near All Bar One.</v>
      </c>
      <c r="C81" s="99" t="str">
        <f>'retrieve E2E AB random'!C36</f>
        <v>The Cricketers|eat_type|restaurant ++ The Cricketers|food|Chinese ++ The Cricketers|price_range|high ++ The Cricketers|rating|1 out of 5 ++ The Cricketers|area|riverside ++ The Cricketers|family_friendly|no ++ The Cricketers|near|All Bar One</v>
      </c>
      <c r="D81" s="99" t="str">
        <f>'retrieve E2E AB random'!D36</f>
        <v>0.932</v>
      </c>
      <c r="E81" s="99" t="str">
        <f>'retrieve E2E AB random'!E36</f>
        <v>omission</v>
      </c>
      <c r="F81" s="99" t="str">
        <f>'retrieve E2E AB random'!F36</f>
        <v>OK</v>
      </c>
      <c r="G81" s="99" t="str">
        <f>'retrieve E2E AB random'!G36</f>
        <v/>
      </c>
      <c r="H81" s="99" t="str">
        <f>'retrieve E2E AB random'!H36</f>
        <v/>
      </c>
      <c r="I81" s="99" t="str">
        <f>'retrieve E2E AB random'!I36</f>
        <v>x</v>
      </c>
      <c r="J81" s="99" t="str">
        <f>'retrieve E2E AB random'!J36</f>
        <v/>
      </c>
      <c r="K81" s="99" t="str">
        <f>'retrieve E2E AB random'!K36</f>
        <v>x</v>
      </c>
      <c r="L81" s="99" t="str">
        <f>'retrieve E2E AB random'!L36</f>
        <v/>
      </c>
      <c r="M81" s="99" t="str">
        <f>'retrieve E2E AB random'!M36</f>
        <v>x</v>
      </c>
      <c r="N81" s="99" t="str">
        <f>'retrieve E2E AB random'!N36</f>
        <v/>
      </c>
      <c r="O81" s="99" t="str">
        <f>'retrieve E2E AB random'!O36</f>
        <v/>
      </c>
      <c r="P81" s="99" t="str">
        <f>'retrieve E2E AB random'!P36</f>
        <v>gold seems to diagnose 'a high restaurant' for price_range=high as an omission because it's not a valid realisation; could go either way: both wrong or just gold wrong, because if it's not OK it's omission+hallucination</v>
      </c>
    </row>
    <row r="82">
      <c r="A82" s="99">
        <f>'retrieve E2E TCF random'!A38</f>
        <v>95</v>
      </c>
      <c r="B82" s="99" t="str">
        <f>'retrieve E2E TCF random'!B38</f>
        <v>The Vaults is a pub that serves Italian food and is children friendly. It is in the high price range and has an average customer rating. It is located in the riverside area near Rainbow Vegetarian Café.</v>
      </c>
      <c r="C82" s="99" t="str">
        <f>'retrieve E2E TCF random'!C38</f>
        <v>The Vaults|eat_type|pub ++ The Vaults|food|Italian ++ The Vaults|price_range|high ++ The Vaults|rating|average ++ The Vaults|area|riverside ++ The Vaults|family_friendly|yes ++ The Vaults|near|Rainbow Vegetarian Café</v>
      </c>
      <c r="D82" s="99" t="str">
        <f>'retrieve E2E TCF random'!D38</f>
        <v>0.952</v>
      </c>
      <c r="E82" s="99" t="str">
        <f>'retrieve E2E TCF random'!E38</f>
        <v>hallucination</v>
      </c>
      <c r="F82" s="99" t="str">
        <f>'retrieve E2E TCF random'!F38</f>
        <v>OK</v>
      </c>
      <c r="G82" s="99" t="str">
        <f>'retrieve E2E TCF random'!G38</f>
        <v/>
      </c>
      <c r="H82" s="99" t="str">
        <f>'retrieve E2E TCF random'!H38</f>
        <v>x</v>
      </c>
      <c r="I82" s="99" t="str">
        <f>'retrieve E2E TCF random'!I38</f>
        <v/>
      </c>
      <c r="J82" s="99" t="str">
        <f>'retrieve E2E TCF random'!J38</f>
        <v/>
      </c>
      <c r="K82" s="99" t="str">
        <f>'retrieve E2E TCF random'!K38</f>
        <v/>
      </c>
      <c r="L82" s="99" t="str">
        <f>'retrieve E2E TCF random'!L38</f>
        <v/>
      </c>
      <c r="M82" s="99" t="str">
        <f>'retrieve E2E TCF random'!M38</f>
        <v/>
      </c>
      <c r="N82" s="99" t="str">
        <f>'retrieve E2E TCF random'!N38</f>
        <v/>
      </c>
      <c r="O82" s="99" t="str">
        <f>'retrieve E2E TCF random'!O38</f>
        <v/>
      </c>
      <c r="P82" s="99" t="str">
        <f>'retrieve E2E TCF random'!P38</f>
        <v/>
      </c>
    </row>
    <row r="83">
      <c r="A83" s="99">
        <f>'retrieve E2E AB random'!A38</f>
        <v>96</v>
      </c>
      <c r="B83" s="99" t="str">
        <f>'retrieve E2E AB random'!B38</f>
        <v>The Vaults is a high-priced, highly rated italian pub located near Rainbow Vegetarian Café in the riverside area. It is not child friendly.'</v>
      </c>
      <c r="C83" s="99" t="str">
        <f>'retrieve E2E AB random'!C38</f>
        <v>The Vaults|eat_type|pub ++ The Vaults|food|Italian ++ The Vaults|price_range|more than £30 ++ The Vaults|rating|high ++ The Vaults|area|riverside ++ The Vaults|family_friendly|no ++ The Vaults|near|Rainbow Vegetarian Café</v>
      </c>
      <c r="D83" s="99" t="str">
        <f>'retrieve E2E AB random'!D38</f>
        <v>0.054</v>
      </c>
      <c r="E83" s="99" t="str">
        <f>'retrieve E2E AB random'!E38</f>
        <v>OK</v>
      </c>
      <c r="F83" s="99" t="str">
        <f>'retrieve E2E AB random'!F38</f>
        <v>omission</v>
      </c>
      <c r="G83" s="99" t="str">
        <f>'retrieve E2E AB random'!G38</f>
        <v>x</v>
      </c>
      <c r="H83" s="99" t="str">
        <f>'retrieve E2E AB random'!H38</f>
        <v/>
      </c>
      <c r="I83" s="99" t="str">
        <f>'retrieve E2E AB random'!I38</f>
        <v/>
      </c>
      <c r="J83" s="99" t="str">
        <f>'retrieve E2E AB random'!J38</f>
        <v/>
      </c>
      <c r="K83" s="99" t="str">
        <f>'retrieve E2E AB random'!K38</f>
        <v>x</v>
      </c>
      <c r="L83" s="99" t="str">
        <f>'retrieve E2E AB random'!L38</f>
        <v/>
      </c>
      <c r="M83" s="99" t="str">
        <f>'retrieve E2E AB random'!M38</f>
        <v/>
      </c>
      <c r="N83" s="99" t="str">
        <f>'retrieve E2E AB random'!N38</f>
        <v>x</v>
      </c>
      <c r="O83" s="99" t="str">
        <f>'retrieve E2E AB random'!O38</f>
        <v/>
      </c>
      <c r="P83" s="99" t="str">
        <f>'retrieve E2E AB random'!P38</f>
        <v>NLI wrongly has omission maybe because it doesn't recognise 'high-priced' as a realisation of more than £30</v>
      </c>
    </row>
    <row r="84">
      <c r="A84" s="99">
        <f>'retrieve E2E AB random'!A20</f>
        <v>98</v>
      </c>
      <c r="B84" s="99" t="str">
        <f>'retrieve E2E AB random'!B20</f>
        <v>The Waterman is a cheap Italian restaurant located in the city centre near Raja Indian Cuisine . It is not family-friendly .</v>
      </c>
      <c r="C84" s="99" t="str">
        <f>'retrieve E2E AB random'!C20</f>
        <v>The Waterman|eat_type|restaurant ++ The Waterman|food|Italian ++ The Waterman|price_range|less than £20 ++ The Waterman|area|city centre ++ The Waterman|family_friendly|no ++ The Waterman|near|Raja Indian Cuisine</v>
      </c>
      <c r="D84" s="99" t="str">
        <f>'retrieve E2E AB random'!D20</f>
        <v>0.147</v>
      </c>
      <c r="E84" s="99" t="str">
        <f>'retrieve E2E AB random'!E20</f>
        <v>OK</v>
      </c>
      <c r="F84" s="99" t="str">
        <f>'retrieve E2E AB random'!F20</f>
        <v>omission</v>
      </c>
      <c r="G84" s="99" t="str">
        <f>'retrieve E2E AB random'!G20</f>
        <v>x</v>
      </c>
      <c r="H84" s="99" t="str">
        <f>'retrieve E2E AB random'!H20</f>
        <v/>
      </c>
      <c r="I84" s="99" t="str">
        <f>'retrieve E2E AB random'!I20</f>
        <v/>
      </c>
      <c r="J84" s="99" t="str">
        <f>'retrieve E2E AB random'!J20</f>
        <v/>
      </c>
      <c r="K84" s="99" t="str">
        <f>'retrieve E2E AB random'!K20</f>
        <v>x</v>
      </c>
      <c r="L84" s="99" t="str">
        <f>'retrieve E2E AB random'!L20</f>
        <v/>
      </c>
      <c r="M84" s="99" t="str">
        <f>'retrieve E2E AB random'!M20</f>
        <v/>
      </c>
      <c r="N84" s="99" t="str">
        <f>'retrieve E2E AB random'!N20</f>
        <v>x</v>
      </c>
      <c r="O84" s="99" t="str">
        <f>'retrieve E2E AB random'!O20</f>
        <v/>
      </c>
      <c r="P84" s="99" t="str">
        <f>'retrieve E2E AB random'!P20</f>
        <v>NLI wrongly has omission maybe because it doesn't recognise cheap as a realisation of &lt;£20</v>
      </c>
    </row>
    <row r="85">
      <c r="A85" s="99">
        <f>'retrieve E2E TCF random'!A1</f>
        <v>99</v>
      </c>
      <c r="B85" s="99" t="str">
        <f>'retrieve E2E TCF random'!B1</f>
        <v>The Mill is a child friendly English restaurant in the riverside area near Café Rouge. It has a high price range and an average customer rating.</v>
      </c>
      <c r="C85" s="99" t="str">
        <f>'retrieve E2E TCF random'!C1</f>
        <v>The Mill|eat_type|restaurant ++ The Mill|food|English ++ The Mill|price_range|high ++ The Mill|rating|average ++ The Mill|area|riverside ++ The Mill|family_friendly|yes ++ The Mill|near|Café Rouge</v>
      </c>
      <c r="D85" s="99" t="str">
        <f>'retrieve E2E TCF random'!D1</f>
        <v>0.973</v>
      </c>
      <c r="E85" s="99" t="str">
        <f>'retrieve E2E TCF random'!E1</f>
        <v>hallucination</v>
      </c>
      <c r="F85" s="99" t="str">
        <f>'retrieve E2E TCF random'!F1</f>
        <v>OK</v>
      </c>
      <c r="G85" s="99" t="str">
        <f>'retrieve E2E TCF random'!G1</f>
        <v/>
      </c>
      <c r="H85" s="99" t="str">
        <f>'retrieve E2E TCF random'!H1</f>
        <v>x</v>
      </c>
      <c r="I85" s="99" t="str">
        <f>'retrieve E2E TCF random'!I1</f>
        <v/>
      </c>
      <c r="J85" s="99" t="str">
        <f>'retrieve E2E TCF random'!J1</f>
        <v/>
      </c>
      <c r="K85" s="99" t="str">
        <f>'retrieve E2E TCF random'!K1</f>
        <v/>
      </c>
      <c r="L85" s="99" t="str">
        <f>'retrieve E2E TCF random'!L1</f>
        <v/>
      </c>
      <c r="M85" s="99" t="str">
        <f>'retrieve E2E TCF random'!M1</f>
        <v/>
      </c>
      <c r="N85" s="99" t="str">
        <f>'retrieve E2E TCF random'!N1</f>
        <v/>
      </c>
      <c r="O85" s="99" t="str">
        <f>'retrieve E2E TCF random'!O1</f>
        <v/>
      </c>
      <c r="P85" s="99" t="str">
        <f>'retrieve E2E TCF random'!P1</f>
        <v/>
      </c>
    </row>
    <row r="86">
      <c r="A86" s="99">
        <f>'retrieve E2E TCF random'!A29</f>
        <v>100</v>
      </c>
      <c r="B86" s="99" t="str">
        <f>'retrieve E2E TCF random'!B29</f>
        <v>The Punter, which has a high customer rating, is a high-priced restaurant offering Indian cuisine. It is in the riverside area by Express by Holiday Inn. It is not kid-friendly.</v>
      </c>
      <c r="C86" s="99" t="str">
        <f>'retrieve E2E TCF random'!C29</f>
        <v>The Punter|eat_type|restaurant ++ The Punter|food|Indian ++ The Punter|price_range|more than £30 ++ The Punter|rating|high ++ The Punter|area|riverside ++ The Punter|family_friendly|no ++ The Punter|near|Express by Holiday Inn</v>
      </c>
      <c r="D86" s="99" t="str">
        <f>'retrieve E2E TCF random'!D29</f>
        <v>0.024</v>
      </c>
      <c r="E86" s="99" t="str">
        <f>'retrieve E2E TCF random'!E29</f>
        <v>OK</v>
      </c>
      <c r="F86" s="99" t="str">
        <f>'retrieve E2E TCF random'!F29</f>
        <v>omission</v>
      </c>
      <c r="G86" s="99" t="str">
        <f>'retrieve E2E TCF random'!G29</f>
        <v>x</v>
      </c>
      <c r="H86" s="99" t="str">
        <f>'retrieve E2E TCF random'!H29</f>
        <v/>
      </c>
      <c r="I86" s="99" t="str">
        <f>'retrieve E2E TCF random'!I29</f>
        <v/>
      </c>
      <c r="J86" s="99" t="str">
        <f>'retrieve E2E TCF random'!J29</f>
        <v/>
      </c>
      <c r="K86" s="99" t="str">
        <f>'retrieve E2E TCF random'!K29</f>
        <v/>
      </c>
      <c r="L86" s="99" t="str">
        <f>'retrieve E2E TCF random'!L29</f>
        <v/>
      </c>
      <c r="M86" s="99" t="str">
        <f>'retrieve E2E TCF random'!M29</f>
        <v/>
      </c>
      <c r="N86" s="99" t="str">
        <f>'retrieve E2E TCF random'!N29</f>
        <v/>
      </c>
      <c r="O86" s="99" t="str">
        <f>'retrieve E2E TCF random'!O29</f>
        <v/>
      </c>
      <c r="P86" s="99" t="str">
        <f>'retrieve E2E TCF random'!P29</f>
        <v/>
      </c>
    </row>
    <row r="87">
      <c r="A87" s="99">
        <f>'retrieve E2E AB random'!A27</f>
        <v>101</v>
      </c>
      <c r="B87" s="99" t="str">
        <f>'retrieve E2E AB random'!B27</f>
        <v>The Cricketers is a family friendly coffee shop near Crowne Plaza Hotel with an average customer rating of 5 out of 5.</v>
      </c>
      <c r="C87" s="99" t="str">
        <f>'retrieve E2E AB random'!C27</f>
        <v>The Cricketers|eat_type|coffee shop ++ The Cricketers|rating|5 out of 5 ++ The Cricketers|family_friendly|yes ++ The Cricketers|near|Crowne Plaza Hotel</v>
      </c>
      <c r="D87" s="99" t="str">
        <f>'retrieve E2E AB random'!D27</f>
        <v>0.913</v>
      </c>
      <c r="E87" s="99" t="str">
        <f>'retrieve E2E AB random'!E27</f>
        <v>hallucination</v>
      </c>
      <c r="F87" s="99" t="str">
        <f>'retrieve E2E AB random'!F27</f>
        <v>OK</v>
      </c>
      <c r="G87" s="99" t="str">
        <f>'retrieve E2E AB random'!G27</f>
        <v/>
      </c>
      <c r="H87" s="99" t="str">
        <f>'retrieve E2E AB random'!H27</f>
        <v>x</v>
      </c>
      <c r="I87" s="99" t="str">
        <f>'retrieve E2E AB random'!I27</f>
        <v/>
      </c>
      <c r="J87" s="99" t="str">
        <f>'retrieve E2E AB random'!J27</f>
        <v/>
      </c>
      <c r="K87" s="99" t="str">
        <f>'retrieve E2E AB random'!K27</f>
        <v/>
      </c>
      <c r="L87" s="99" t="str">
        <f>'retrieve E2E AB random'!L27</f>
        <v/>
      </c>
      <c r="M87" s="99" t="str">
        <f>'retrieve E2E AB random'!M27</f>
        <v/>
      </c>
      <c r="N87" s="99" t="str">
        <f>'retrieve E2E AB random'!N27</f>
        <v/>
      </c>
      <c r="O87" s="99" t="str">
        <f>'retrieve E2E AB random'!O27</f>
        <v>x</v>
      </c>
      <c r="P87" s="99" t="str">
        <f>'retrieve E2E AB random'!P27</f>
        <v>gold wrongly has hallucination; unclear why</v>
      </c>
    </row>
    <row r="88">
      <c r="A88" s="99">
        <f>'retrieve E2E TCF random'!A36</f>
        <v>102</v>
      </c>
      <c r="B88" s="99" t="str">
        <f>'retrieve E2E TCF random'!B36</f>
        <v>The Vaults is a high pub that serves Italian food. It is not children-friendly and has an average customer rating. It is located in the city centre area near Rainbow Vegetarian CafÃ©.</v>
      </c>
      <c r="C88" s="99" t="str">
        <f>'retrieve E2E TCF random'!C36</f>
        <v>The Vaults|eat_type|pub ++ The Vaults|food|Italian ++ The Vaults|price_range|high ++ The Vaults|rating|average ++ The Vaults|area|city centre ++ The Vaults|family_friendly|no ++ The Vaults|near|Rainbow Vegetarian CafÃ©</v>
      </c>
      <c r="D88" s="99" t="str">
        <f>'retrieve E2E TCF random'!D36</f>
        <v>0.918</v>
      </c>
      <c r="E88" s="99" t="str">
        <f>'retrieve E2E TCF random'!E36</f>
        <v>omission</v>
      </c>
      <c r="F88" s="99" t="str">
        <f>'retrieve E2E TCF random'!F36</f>
        <v>OK</v>
      </c>
      <c r="G88" s="99" t="str">
        <f>'retrieve E2E TCF random'!G36</f>
        <v>x</v>
      </c>
      <c r="H88" s="99" t="str">
        <f>'retrieve E2E TCF random'!H36</f>
        <v/>
      </c>
      <c r="I88" s="99" t="str">
        <f>'retrieve E2E TCF random'!I36</f>
        <v/>
      </c>
      <c r="J88" s="99" t="str">
        <f>'retrieve E2E TCF random'!J36</f>
        <v/>
      </c>
      <c r="K88" s="99" t="str">
        <f>'retrieve E2E TCF random'!K36</f>
        <v>x</v>
      </c>
      <c r="L88" s="99" t="str">
        <f>'retrieve E2E TCF random'!L36</f>
        <v/>
      </c>
      <c r="M88" s="99" t="str">
        <f>'retrieve E2E TCF random'!M36</f>
        <v/>
      </c>
      <c r="N88" s="99" t="str">
        <f>'retrieve E2E TCF random'!N36</f>
        <v/>
      </c>
      <c r="O88" s="99" t="str">
        <f>'retrieve E2E TCF random'!O36</f>
        <v/>
      </c>
      <c r="P88" s="99" t="str">
        <f>'retrieve E2E TCF random'!P36</f>
        <v/>
      </c>
    </row>
    <row r="89">
      <c r="A89" s="99">
        <f>'retrieve E2E AB random'!A12</f>
        <v>103</v>
      </c>
      <c r="B89" s="99" t="str">
        <f>'retrieve E2E AB random'!B12</f>
        <v>Blue Spice is located down by the riverside of Cambridge. It is also a coffee shop.</v>
      </c>
      <c r="C89" s="99" t="str">
        <f>'retrieve E2E AB random'!C12</f>
        <v>Blue Spice|eat_type|coffee shop ++ Blue Spice|area|riverside</v>
      </c>
      <c r="D89" s="99" t="str">
        <f>'retrieve E2E AB random'!D12</f>
        <v>0.082</v>
      </c>
      <c r="E89" s="99" t="str">
        <f>'retrieve E2E AB random'!E12</f>
        <v>OK</v>
      </c>
      <c r="F89" s="99" t="str">
        <f>'retrieve E2E AB random'!F12</f>
        <v>hallucination</v>
      </c>
      <c r="G89" s="99" t="str">
        <f>'retrieve E2E AB random'!G12</f>
        <v/>
      </c>
      <c r="H89" s="99" t="str">
        <f>'retrieve E2E AB random'!H12</f>
        <v>x</v>
      </c>
      <c r="I89" s="99" t="str">
        <f>'retrieve E2E AB random'!I12</f>
        <v/>
      </c>
      <c r="J89" s="99" t="str">
        <f>'retrieve E2E AB random'!J12</f>
        <v/>
      </c>
      <c r="K89" s="99" t="str">
        <f>'retrieve E2E AB random'!K12</f>
        <v/>
      </c>
      <c r="L89" s="99" t="str">
        <f>'retrieve E2E AB random'!L12</f>
        <v/>
      </c>
      <c r="M89" s="99" t="str">
        <f>'retrieve E2E AB random'!M12</f>
        <v>x</v>
      </c>
      <c r="N89" s="99" t="str">
        <f>'retrieve E2E AB random'!N12</f>
        <v/>
      </c>
      <c r="O89" s="99" t="str">
        <f>'retrieve E2E AB random'!O12</f>
        <v/>
      </c>
      <c r="P89" s="99" t="str">
        <f>'retrieve E2E AB random'!P12</f>
        <v>gold misses hallucination ('of Cambridge')</v>
      </c>
    </row>
    <row r="90">
      <c r="A90" s="99">
        <f>'retrieve E2E AB random'!A29</f>
        <v>104</v>
      </c>
      <c r="B90" s="99" t="str">
        <f>'retrieve E2E AB random'!B29</f>
        <v>Wildwood serves Italian food that is kids-friendly. It is in the city centre area near Raja Indian Cuisine.</v>
      </c>
      <c r="C90" s="99" t="str">
        <f>'retrieve E2E AB random'!C29</f>
        <v>Wildwood|eat_type|restaurant ++ Wildwood|food|Italian ++ Wildwood|area|city centre ++ Wildwood|family_friendly|yes ++ Wildwood|near|Raja Indian Cuisine</v>
      </c>
      <c r="D90" s="99" t="str">
        <f>'retrieve E2E AB random'!D29</f>
        <v>0.874</v>
      </c>
      <c r="E90" s="99" t="str">
        <f>'retrieve E2E AB random'!E29</f>
        <v>omission</v>
      </c>
      <c r="F90" s="99" t="str">
        <f>'retrieve E2E AB random'!F29</f>
        <v>OK</v>
      </c>
      <c r="G90" s="99" t="str">
        <f>'retrieve E2E AB random'!G29</f>
        <v/>
      </c>
      <c r="H90" s="99" t="str">
        <f>'retrieve E2E AB random'!H29</f>
        <v/>
      </c>
      <c r="I90" s="99" t="str">
        <f>'retrieve E2E AB random'!I29</f>
        <v>x</v>
      </c>
      <c r="J90" s="99" t="str">
        <f>'retrieve E2E AB random'!J29</f>
        <v/>
      </c>
      <c r="K90" s="99" t="str">
        <f>'retrieve E2E AB random'!K29</f>
        <v/>
      </c>
      <c r="L90" s="99" t="str">
        <f>'retrieve E2E AB random'!L29</f>
        <v/>
      </c>
      <c r="M90" s="99" t="str">
        <f>'retrieve E2E AB random'!M29</f>
        <v>x</v>
      </c>
      <c r="N90" s="99" t="str">
        <f>'retrieve E2E AB random'!N29</f>
        <v/>
      </c>
      <c r="O90" s="99" t="str">
        <f>'retrieve E2E AB random'!O29</f>
        <v/>
      </c>
      <c r="P90" s="99" t="str">
        <f>'retrieve E2E AB random'!P29</f>
        <v>gold misses hallucination (it's the food that's kid friendly'), NLI additionally misses omission ('restaurant')</v>
      </c>
    </row>
    <row r="91">
      <c r="A91" s="99">
        <f>'retrieve E2E TCF random'!A33</f>
        <v>105</v>
      </c>
      <c r="B91" s="99" t="str">
        <f>'retrieve E2E TCF random'!B33</f>
        <v>The Phoenix, an adult oriented pub serving French food, in riverside near Crowne Plaza Hotel, has high prices and customer ratings of 3 out of 5.</v>
      </c>
      <c r="C91" s="99" t="str">
        <f>'retrieve E2E TCF random'!C33</f>
        <v>The Phoenix|eat_type|pub ++ The Phoenix|food|French ++ The Phoenix|price_range|high ++ The Phoenix|rating|3 out of 5 ++ The Phoenix|area|riverside ++ The Phoenix|family_friendly|no ++ The Phoenix|near|Crowne Plaza Hotel</v>
      </c>
      <c r="D91" s="99" t="str">
        <f>'retrieve E2E TCF random'!D33</f>
        <v>0.739</v>
      </c>
      <c r="E91" s="99" t="str">
        <f>'retrieve E2E TCF random'!E33</f>
        <v>omission</v>
      </c>
      <c r="F91" s="99" t="str">
        <f>'retrieve E2E TCF random'!F33</f>
        <v>OK</v>
      </c>
      <c r="G91" s="99" t="str">
        <f>'retrieve E2E TCF random'!G33</f>
        <v/>
      </c>
      <c r="H91" s="99" t="str">
        <f>'retrieve E2E TCF random'!H33</f>
        <v>x</v>
      </c>
      <c r="I91" s="99" t="str">
        <f>'retrieve E2E TCF random'!I33</f>
        <v/>
      </c>
      <c r="J91" s="99" t="str">
        <f>'retrieve E2E TCF random'!J33</f>
        <v/>
      </c>
      <c r="K91" s="99" t="str">
        <f>'retrieve E2E TCF random'!K33</f>
        <v/>
      </c>
      <c r="L91" s="99" t="str">
        <f>'retrieve E2E TCF random'!L33</f>
        <v/>
      </c>
      <c r="M91" s="99" t="str">
        <f>'retrieve E2E TCF random'!M33</f>
        <v/>
      </c>
      <c r="N91" s="99" t="str">
        <f>'retrieve E2E TCF random'!N33</f>
        <v/>
      </c>
      <c r="O91" s="99" t="str">
        <f>'retrieve E2E TCF random'!O33</f>
        <v/>
      </c>
      <c r="P91" s="99" t="str">
        <f>'retrieve E2E TCF random'!P33</f>
        <v/>
      </c>
    </row>
    <row r="92">
      <c r="A92" s="99">
        <f>'retrieve E2E TCF random'!A22</f>
        <v>106</v>
      </c>
      <c r="B92" s="99" t="str">
        <f>'retrieve E2E TCF random'!B22</f>
        <v>In the city centre near CafÃ© Sicilia, there is a French restaurant called The Phoenix. It is not kid friendly and has a price range of Â£20-25 and a customer rating of 3 out of 5.</v>
      </c>
      <c r="C92" s="99" t="str">
        <f>'retrieve E2E TCF random'!C22</f>
        <v>The Phoenix|eat_type|pub ++ The Phoenix|food|French ++ The Phoenix|price_range|Â£20-25 ++ The Phoenix|rating|3 out of 5 ++ The Phoenix|area|city centre ++ The Phoenix|family_friendly|no ++ The Phoenix|near|CafÃ© Sicilia</v>
      </c>
      <c r="D92" s="99" t="str">
        <f>'retrieve E2E TCF random'!D22</f>
        <v>0.004</v>
      </c>
      <c r="E92" s="99" t="str">
        <f>'retrieve E2E TCF random'!E22</f>
        <v>hallucination+omission</v>
      </c>
      <c r="F92" s="99" t="str">
        <f>'retrieve E2E TCF random'!F22</f>
        <v>omission</v>
      </c>
      <c r="G92" s="99" t="str">
        <f>'retrieve E2E TCF random'!G22</f>
        <v>x</v>
      </c>
      <c r="H92" s="99" t="str">
        <f>'retrieve E2E TCF random'!H22</f>
        <v/>
      </c>
      <c r="I92" s="99" t="str">
        <f>'retrieve E2E TCF random'!I22</f>
        <v/>
      </c>
      <c r="J92" s="99" t="str">
        <f>'retrieve E2E TCF random'!J22</f>
        <v>x</v>
      </c>
      <c r="K92" s="99" t="str">
        <f>'retrieve E2E TCF random'!K22</f>
        <v/>
      </c>
      <c r="L92" s="99" t="str">
        <f>'retrieve E2E TCF random'!L22</f>
        <v/>
      </c>
      <c r="M92" s="99" t="str">
        <f>'retrieve E2E TCF random'!M22</f>
        <v/>
      </c>
      <c r="N92" s="99" t="str">
        <f>'retrieve E2E TCF random'!N22</f>
        <v/>
      </c>
      <c r="O92" s="99" t="str">
        <f>'retrieve E2E TCF random'!O22</f>
        <v/>
      </c>
      <c r="P92" s="99" t="str">
        <f>'retrieve E2E TCF random'!P22</f>
        <v/>
      </c>
    </row>
    <row r="93">
      <c r="A93" s="99">
        <f>'retrieve E2E AB random'!A18</f>
        <v>107</v>
      </c>
      <c r="B93" s="99" t="str">
        <f>'retrieve E2E AB random'!B18</f>
        <v>For an adult oriented French pub, The Phoenix has a 3 out of 5 customer rating, but the price range is high, and is conveniently located in the city centre, near Crowne Plaza Hotel.</v>
      </c>
      <c r="C93" s="99" t="str">
        <f>'retrieve E2E AB random'!C18</f>
        <v>The Phoenix|eat_type|pub ++ The Phoenix|food|French ++ The Phoenix|price_range|high ++ The Phoenix|rating|3 out of 5 ++ The Phoenix|area|city centre ++ The Phoenix|family_friendly|no ++ The Phoenix|near|Crowne Plaza Hotel</v>
      </c>
      <c r="D93" s="99" t="str">
        <f>'retrieve E2E AB random'!D18</f>
        <v>0.624</v>
      </c>
      <c r="E93" s="99" t="str">
        <f>'retrieve E2E AB random'!E18</f>
        <v>omission</v>
      </c>
      <c r="F93" s="99" t="str">
        <f>'retrieve E2E AB random'!F18</f>
        <v>OK</v>
      </c>
      <c r="G93" s="99" t="str">
        <f>'retrieve E2E AB random'!G18</f>
        <v/>
      </c>
      <c r="H93" s="99" t="str">
        <f>'retrieve E2E AB random'!H18</f>
        <v>x</v>
      </c>
      <c r="I93" s="99" t="str">
        <f>'retrieve E2E AB random'!I18</f>
        <v/>
      </c>
      <c r="J93" s="99" t="str">
        <f>'retrieve E2E AB random'!J18</f>
        <v/>
      </c>
      <c r="K93" s="99" t="str">
        <f>'retrieve E2E AB random'!K18</f>
        <v>x</v>
      </c>
      <c r="L93" s="99" t="str">
        <f>'retrieve E2E AB random'!L18</f>
        <v/>
      </c>
      <c r="M93" s="99" t="str">
        <f>'retrieve E2E AB random'!M18</f>
        <v>x</v>
      </c>
      <c r="N93" s="99" t="str">
        <f>'retrieve E2E AB random'!N18</f>
        <v>x</v>
      </c>
      <c r="O93" s="99" t="str">
        <f>'retrieve E2E AB random'!O18</f>
        <v/>
      </c>
      <c r="P93" s="99" t="str">
        <f>'retrieve E2E AB random'!P18</f>
        <v>gold wrongly has omission; unclear why; both are missing hallucination (it's the price range that's located in the city centre)</v>
      </c>
    </row>
    <row r="94">
      <c r="A94" s="99">
        <f>'retrieve E2E AB random'!A10</f>
        <v>110</v>
      </c>
      <c r="B94" s="99" t="str">
        <f>'retrieve E2E AB random'!B10</f>
        <v>The Punter, which has a low customer rating, is a low-priced restaurant serving Indian cuisine. It is located in the city centre area and can be found near Express by Holiday Inn. It is not family-friendly.</v>
      </c>
      <c r="C94" s="99" t="str">
        <f>'retrieve E2E AB random'!C10</f>
        <v>The Punter|eat_type|restaurant ++ The Punter|food|Indian ++ The Punter|price_range|less than Â£20 ++ The Punter|rating|low ++ The Punter|area|city centre ++ The Punter|family_friendly|no ++ The Punter|near|Express by Holiday Inn</v>
      </c>
      <c r="D94" s="99" t="str">
        <f>'retrieve E2E AB random'!D10</f>
        <v>0.035</v>
      </c>
      <c r="E94" s="99" t="str">
        <f>'retrieve E2E AB random'!E10</f>
        <v>OK</v>
      </c>
      <c r="F94" s="99" t="str">
        <f>'retrieve E2E AB random'!F10</f>
        <v>omission</v>
      </c>
      <c r="G94" s="99" t="str">
        <f>'retrieve E2E AB random'!G10</f>
        <v>x</v>
      </c>
      <c r="H94" s="99" t="str">
        <f>'retrieve E2E AB random'!H10</f>
        <v/>
      </c>
      <c r="I94" s="99" t="str">
        <f>'retrieve E2E AB random'!I10</f>
        <v/>
      </c>
      <c r="J94" s="99" t="str">
        <f>'retrieve E2E AB random'!J10</f>
        <v/>
      </c>
      <c r="K94" s="99" t="str">
        <f>'retrieve E2E AB random'!K10</f>
        <v>x</v>
      </c>
      <c r="L94" s="99" t="str">
        <f>'retrieve E2E AB random'!L10</f>
        <v/>
      </c>
      <c r="M94" s="99" t="str">
        <f>'retrieve E2E AB random'!M10</f>
        <v/>
      </c>
      <c r="N94" s="99" t="str">
        <f>'retrieve E2E AB random'!N10</f>
        <v>x</v>
      </c>
      <c r="O94" s="99" t="str">
        <f>'retrieve E2E AB random'!O10</f>
        <v/>
      </c>
      <c r="P94" s="99" t="str">
        <f>'retrieve E2E AB random'!P10</f>
        <v>NLI wrongly has omission maybe because it doesn't recognise low-priced as a realisation of &lt;£20</v>
      </c>
    </row>
    <row r="95">
      <c r="A95" s="99">
        <f>'retrieve E2E TCF random'!A46</f>
        <v>111</v>
      </c>
      <c r="B95" s="99" t="str">
        <f>'retrieve E2E TCF random'!B46</f>
        <v>The Cricketers provides chinese food in the less than Â£20 price range. It is located in the city centre. It is near All Bar One. Its customer rating is low. It is not family-friendly.'</v>
      </c>
      <c r="C95" s="99" t="str">
        <f>'retrieve E2E TCF random'!C46</f>
        <v>The Cricketers|eat_type|restaurant ++ The Cricketers|food|Chinese ++ The Cricketers|price_range|less than Â£20 ++ The Cricketers|rating|low ++ The Cricketers|area|city centre ++ The Cricketers|family_friendly|no ++ The Cricketers|near|All Bar One</v>
      </c>
      <c r="D95" s="99" t="str">
        <f>'retrieve E2E TCF random'!D46</f>
        <v>0.811</v>
      </c>
      <c r="E95" s="99" t="str">
        <f>'retrieve E2E TCF random'!E46</f>
        <v>omission</v>
      </c>
      <c r="F95" s="99" t="str">
        <f>'retrieve E2E TCF random'!F46</f>
        <v>OK</v>
      </c>
      <c r="G95" s="99" t="str">
        <f>'retrieve E2E TCF random'!G46</f>
        <v>x</v>
      </c>
      <c r="H95" s="99" t="str">
        <f>'retrieve E2E TCF random'!H46</f>
        <v/>
      </c>
      <c r="I95" s="99" t="str">
        <f>'retrieve E2E TCF random'!I46</f>
        <v/>
      </c>
      <c r="J95" s="99" t="str">
        <f>'retrieve E2E TCF random'!J46</f>
        <v>x</v>
      </c>
      <c r="K95" s="99" t="str">
        <f>'retrieve E2E TCF random'!K46</f>
        <v/>
      </c>
      <c r="L95" s="99" t="str">
        <f>'retrieve E2E TCF random'!L46</f>
        <v/>
      </c>
      <c r="M95" s="99" t="str">
        <f>'retrieve E2E TCF random'!M46</f>
        <v/>
      </c>
      <c r="N95" s="99" t="str">
        <f>'retrieve E2E TCF random'!N46</f>
        <v/>
      </c>
      <c r="O95" s="99" t="str">
        <f>'retrieve E2E TCF random'!O46</f>
        <v/>
      </c>
      <c r="P95" s="99" t="str">
        <f>'retrieve E2E TCF random'!P46</f>
        <v/>
      </c>
    </row>
    <row r="96">
      <c r="A96" s="99">
        <f>'retrieve E2E TCF random'!A45</f>
        <v>112</v>
      </c>
      <c r="B96" s="99" t="str">
        <f>'retrieve E2E TCF random'!B45</f>
        <v>The Phoenix is a high priced french restaurant located in the city centre near Crowne Plaza Hotel. It is not child friendly and has a customer rating of 3 out of 5.'</v>
      </c>
      <c r="C96" s="99" t="str">
        <f>'retrieve E2E TCF random'!C45</f>
        <v>The Phoenix|eat_type|pub ++ The Phoenix|food|French ++ The Phoenix|price_range|high ++ The Phoenix|rating|3 out of 5 ++ The Phoenix|area|city centre ++ The Phoenix|family_friendly|no ++ The Phoenix|near|Crowne Plaza Hotel</v>
      </c>
      <c r="D96" s="99" t="str">
        <f>'retrieve E2E TCF random'!D45</f>
        <v>0.001</v>
      </c>
      <c r="E96" s="99" t="str">
        <f>'retrieve E2E TCF random'!E45</f>
        <v>hallucination+omission</v>
      </c>
      <c r="F96" s="99" t="str">
        <f>'retrieve E2E TCF random'!F45</f>
        <v>omission</v>
      </c>
      <c r="G96" s="99" t="str">
        <f>'retrieve E2E TCF random'!G45</f>
        <v>x</v>
      </c>
      <c r="H96" s="99" t="str">
        <f>'retrieve E2E TCF random'!H45</f>
        <v/>
      </c>
      <c r="I96" s="99" t="str">
        <f>'retrieve E2E TCF random'!I45</f>
        <v/>
      </c>
      <c r="J96" s="99" t="str">
        <f>'retrieve E2E TCF random'!J45</f>
        <v>x</v>
      </c>
      <c r="K96" s="99" t="str">
        <f>'retrieve E2E TCF random'!K45</f>
        <v/>
      </c>
      <c r="L96" s="99" t="str">
        <f>'retrieve E2E TCF random'!L45</f>
        <v/>
      </c>
      <c r="M96" s="99" t="str">
        <f>'retrieve E2E TCF random'!M45</f>
        <v/>
      </c>
      <c r="N96" s="99" t="str">
        <f>'retrieve E2E TCF random'!N45</f>
        <v/>
      </c>
      <c r="O96" s="99" t="str">
        <f>'retrieve E2E TCF random'!O45</f>
        <v/>
      </c>
      <c r="P96" s="99" t="str">
        <f>'retrieve E2E TCF random'!P45</f>
        <v/>
      </c>
    </row>
    <row r="97">
      <c r="A97" s="99">
        <f>'retrieve E2E AB random'!A46</f>
        <v>113</v>
      </c>
      <c r="B97" s="99" t="str">
        <f>'retrieve E2E AB random'!B46</f>
        <v>The Cricketers, which has a high customer rating, is an average-priced restaurant that serves English cuisine. It is located in the city centre area and can be found near All Bar One. It is kid-friendly.</v>
      </c>
      <c r="C97" s="99" t="str">
        <f>'retrieve E2E AB random'!C46</f>
        <v>The Cricketers|eat_type|restaurant ++ The Cricketers|food|English ++ The Cricketers|price_range|Â£20-25 ++ The Cricketers|rating|high ++ The Cricketers|area|city centre ++ The Cricketers|family_friendly|yes ++ The Cricketers|near|All Bar One</v>
      </c>
      <c r="D97" s="99" t="str">
        <f>'retrieve E2E AB random'!D46</f>
        <v>0.002</v>
      </c>
      <c r="E97" s="99" t="str">
        <f>'retrieve E2E AB random'!E46</f>
        <v>OK</v>
      </c>
      <c r="F97" s="99" t="str">
        <f>'retrieve E2E AB random'!F46</f>
        <v>omission</v>
      </c>
      <c r="G97" s="99" t="str">
        <f>'retrieve E2E AB random'!G46</f>
        <v>x</v>
      </c>
      <c r="H97" s="99" t="str">
        <f>'retrieve E2E AB random'!H46</f>
        <v/>
      </c>
      <c r="I97" s="99" t="str">
        <f>'retrieve E2E AB random'!I46</f>
        <v/>
      </c>
      <c r="J97" s="99" t="str">
        <f>'retrieve E2E AB random'!J46</f>
        <v/>
      </c>
      <c r="K97" s="99" t="str">
        <f>'retrieve E2E AB random'!K46</f>
        <v>x</v>
      </c>
      <c r="L97" s="99" t="str">
        <f>'retrieve E2E AB random'!L46</f>
        <v/>
      </c>
      <c r="M97" s="99" t="str">
        <f>'retrieve E2E AB random'!M46</f>
        <v/>
      </c>
      <c r="N97" s="99" t="str">
        <f>'retrieve E2E AB random'!N46</f>
        <v>x</v>
      </c>
      <c r="O97" s="99" t="str">
        <f>'retrieve E2E AB random'!O46</f>
        <v/>
      </c>
      <c r="P97" s="99" t="str">
        <f>'retrieve E2E AB random'!P46</f>
        <v>NLI wrongly has omission maybe because it doesn't recognise average-priced as a realisation of £20-25</v>
      </c>
    </row>
    <row r="98">
      <c r="A98" s="99">
        <f>'retrieve E2E TCF random'!A44</f>
        <v>114</v>
      </c>
      <c r="B98" s="99" t="str">
        <f>'retrieve E2E TCF random'!B44</f>
        <v>There is a low rated , family friendly restaurant called The Punter that serves moderately priced Indian food near the river and Express by Holiday Inn .</v>
      </c>
      <c r="C98" s="99" t="str">
        <f>'retrieve E2E TCF random'!C44</f>
        <v>The Punter|eat_type|restaurant ++ The Punter|food|Indian ++ The Punter|price_range|cheap ++ The Punter|rating|average ++ The Punter|area|riverside ++ The Punter|family_friendly|yes ++ The Punter|near|Express by Holiday Inn</v>
      </c>
      <c r="D98" s="99" t="str">
        <f>'retrieve E2E TCF random'!D44</f>
        <v>0.025</v>
      </c>
      <c r="E98" s="99" t="str">
        <f>'retrieve E2E TCF random'!E44</f>
        <v>hallucination+omission</v>
      </c>
      <c r="F98" s="99" t="str">
        <f>'retrieve E2E TCF random'!F44</f>
        <v>omission</v>
      </c>
      <c r="G98" s="99" t="str">
        <f>'retrieve E2E TCF random'!G44</f>
        <v>x</v>
      </c>
      <c r="H98" s="99" t="str">
        <f>'retrieve E2E TCF random'!H44</f>
        <v/>
      </c>
      <c r="I98" s="99" t="str">
        <f>'retrieve E2E TCF random'!I44</f>
        <v/>
      </c>
      <c r="J98" s="99" t="str">
        <f>'retrieve E2E TCF random'!J44</f>
        <v/>
      </c>
      <c r="K98" s="99" t="str">
        <f>'retrieve E2E TCF random'!K44</f>
        <v/>
      </c>
      <c r="L98" s="99" t="str">
        <f>'retrieve E2E TCF random'!L44</f>
        <v/>
      </c>
      <c r="M98" s="99" t="str">
        <f>'retrieve E2E TCF random'!M44</f>
        <v/>
      </c>
      <c r="N98" s="99" t="str">
        <f>'retrieve E2E TCF random'!N44</f>
        <v/>
      </c>
      <c r="O98" s="99" t="str">
        <f>'retrieve E2E TCF random'!O44</f>
        <v/>
      </c>
      <c r="P98" s="99" t="str">
        <f>'retrieve E2E TCF random'!P44</f>
        <v>customer rating</v>
      </c>
    </row>
    <row r="99">
      <c r="A99" s="99">
        <f>'retrieve E2E TCF random'!A43</f>
        <v>115</v>
      </c>
      <c r="B99" s="99" t="str">
        <f>'retrieve E2E TCF random'!B43</f>
        <v>There is a city centre restaurant near Raja Indian Cuisine called The Mill, that serves English food in the less than Â£20 price range. This venue is not suited for families with children.</v>
      </c>
      <c r="C99" s="99" t="str">
        <f>'retrieve E2E TCF random'!C43</f>
        <v>The Mill|eat_type|restaurant ++ The Mill|food|English ++ The Mill|price_range|less than Â£20 ++ The Mill|area|city centre ++ The Mill|family_friendly|no ++ The Mill|near|Raja Indian Cuisine</v>
      </c>
      <c r="D99" s="99" t="str">
        <f>'retrieve E2E TCF random'!D43</f>
        <v>0.979</v>
      </c>
      <c r="E99" s="99" t="str">
        <f>'retrieve E2E TCF random'!E43</f>
        <v>hallucination+omission</v>
      </c>
      <c r="F99" s="99" t="str">
        <f>'retrieve E2E TCF random'!F43</f>
        <v>OK</v>
      </c>
      <c r="G99" s="99" t="str">
        <f>'retrieve E2E TCF random'!G43</f>
        <v/>
      </c>
      <c r="H99" s="99" t="str">
        <f>'retrieve E2E TCF random'!H43</f>
        <v>x</v>
      </c>
      <c r="I99" s="99" t="str">
        <f>'retrieve E2E TCF random'!I43</f>
        <v/>
      </c>
      <c r="J99" s="99" t="str">
        <f>'retrieve E2E TCF random'!J43</f>
        <v/>
      </c>
      <c r="K99" s="99" t="str">
        <f>'retrieve E2E TCF random'!K43</f>
        <v/>
      </c>
      <c r="L99" s="99" t="str">
        <f>'retrieve E2E TCF random'!L43</f>
        <v/>
      </c>
      <c r="M99" s="99" t="str">
        <f>'retrieve E2E TCF random'!M43</f>
        <v/>
      </c>
      <c r="N99" s="99" t="str">
        <f>'retrieve E2E TCF random'!N43</f>
        <v/>
      </c>
      <c r="O99" s="99" t="str">
        <f>'retrieve E2E TCF random'!O43</f>
        <v/>
      </c>
      <c r="P99" s="99" t="str">
        <f>'retrieve E2E TCF random'!P43</f>
        <v/>
      </c>
    </row>
    <row r="100">
      <c r="A100" s="99">
        <f>'retrieve E2E AB random'!A32</f>
        <v>116</v>
      </c>
      <c r="B100" s="99" t="str">
        <f>'retrieve E2E AB random'!B32</f>
        <v>Located near Raja Indian Cuisine in the city centre , The Plough is a Chinese restaurant where you can enjoyed at high price per head . Though not allow children .</v>
      </c>
      <c r="C100" s="99" t="str">
        <f>'retrieve E2E AB random'!C32</f>
        <v>The Plough|eat_type|restaurant ++ The Plough|food|Chinese ++ The Plough|price_range|high ++ The Plough|area|city centre ++ The Plough|family_friendly|no ++ The Plough|near|Raja Indian Cuisine</v>
      </c>
      <c r="D100" s="99" t="str">
        <f>'retrieve E2E AB random'!D32</f>
        <v>0.611</v>
      </c>
      <c r="E100" s="99" t="str">
        <f>'retrieve E2E AB random'!E32</f>
        <v>hallucination+omission</v>
      </c>
      <c r="F100" s="99" t="str">
        <f>'retrieve E2E AB random'!F32</f>
        <v>OK</v>
      </c>
      <c r="G100" s="99" t="str">
        <f>'retrieve E2E AB random'!G32</f>
        <v>x</v>
      </c>
      <c r="H100" s="99" t="str">
        <f>'retrieve E2E AB random'!H32</f>
        <v/>
      </c>
      <c r="I100" s="99" t="str">
        <f>'retrieve E2E AB random'!I32</f>
        <v/>
      </c>
      <c r="J100" s="99" t="str">
        <f>'retrieve E2E AB random'!J32</f>
        <v/>
      </c>
      <c r="K100" s="99" t="str">
        <f>'retrieve E2E AB random'!K32</f>
        <v/>
      </c>
      <c r="L100" s="99" t="str">
        <f>'retrieve E2E AB random'!L32</f>
        <v>x</v>
      </c>
      <c r="M100" s="99" t="str">
        <f>'retrieve E2E AB random'!M32</f>
        <v>x</v>
      </c>
      <c r="N100" s="99" t="str">
        <f>'retrieve E2E AB random'!N32</f>
        <v/>
      </c>
      <c r="O100" s="99" t="str">
        <f>'retrieve E2E AB random'!O32</f>
        <v/>
      </c>
      <c r="P100" s="99" t="str">
        <f>'retrieve E2E AB random'!P32</f>
        <v>NLI misses hallucination and omission ('Though not allow children ' for family_friendly=no)</v>
      </c>
    </row>
    <row r="101">
      <c r="A101" s="99">
        <f>'retrieve E2E TCF random'!A4</f>
        <v>117</v>
      </c>
      <c r="B101" s="99" t="str">
        <f>'retrieve E2E TCF random'!B4</f>
        <v>The Mill is a pub that serve fast food . It can be found in the riverside area near CafÃ© Rouge . It has high prices and provides a kid friendly atmosphere .</v>
      </c>
      <c r="C101" s="99" t="str">
        <f>'retrieve E2E TCF random'!C4</f>
        <v>The Mill|eat_type|pub ++ The Mill|food|Fast food ++ The Mill|price_range|Â£20-25 ++ The Mill|rating|high ++ The Mill|area|riverside ++ The Mill|family_friendly|yes ++ The Mill|near|CafÃ© Rouge</v>
      </c>
      <c r="D101" s="99" t="str">
        <f>'retrieve E2E TCF random'!D4</f>
        <v>0.006</v>
      </c>
      <c r="E101" s="99" t="str">
        <f>'retrieve E2E TCF random'!E4</f>
        <v>hallucination+omission</v>
      </c>
      <c r="F101" s="99" t="str">
        <f>'retrieve E2E TCF random'!F4</f>
        <v>omission</v>
      </c>
      <c r="G101" s="99" t="str">
        <f>'retrieve E2E TCF random'!G4</f>
        <v>x</v>
      </c>
      <c r="H101" s="99" t="str">
        <f>'retrieve E2E TCF random'!H4</f>
        <v/>
      </c>
      <c r="I101" s="99" t="str">
        <f>'retrieve E2E TCF random'!I4</f>
        <v/>
      </c>
      <c r="J101" s="99" t="str">
        <f>'retrieve E2E TCF random'!J4</f>
        <v/>
      </c>
      <c r="K101" s="99" t="str">
        <f>'retrieve E2E TCF random'!K4</f>
        <v>x</v>
      </c>
      <c r="L101" s="99" t="str">
        <f>'retrieve E2E TCF random'!L4</f>
        <v/>
      </c>
      <c r="M101" s="99" t="str">
        <f>'retrieve E2E TCF random'!M4</f>
        <v/>
      </c>
      <c r="N101" s="99" t="str">
        <f>'retrieve E2E TCF random'!N4</f>
        <v/>
      </c>
      <c r="O101" s="99" t="str">
        <f>'retrieve E2E TCF random'!O4</f>
        <v/>
      </c>
      <c r="P101" s="99" t="str">
        <f>'retrieve E2E TCF random'!P4</f>
        <v/>
      </c>
    </row>
    <row r="102">
      <c r="A102" s="99">
        <f>'retrieve E2E TCF random'!A2</f>
        <v>118</v>
      </c>
      <c r="B102" s="99" t="str">
        <f>'retrieve E2E TCF random'!B2</f>
        <v>In the area of city centre near Raja Indian Cuisine is The Waterman, it is a pub. It is not kid friendly and the Indian is moderately expensive.</v>
      </c>
      <c r="C102" s="99" t="str">
        <f>'retrieve E2E TCF random'!C2</f>
        <v>The Waterman|eat_type|pub ++ The Waterman|food|Indian ++ The Waterman|price_range|moderate ++ The Waterman|area|city centre ++ The Waterman|family_friendly|no ++ The Waterman|near|Raja Indian Cuisine</v>
      </c>
      <c r="D102" s="99" t="str">
        <f>'retrieve E2E TCF random'!D2</f>
        <v>0.968</v>
      </c>
      <c r="E102" s="99" t="str">
        <f>'retrieve E2E TCF random'!E2</f>
        <v>hallucination+omission</v>
      </c>
      <c r="F102" s="99" t="str">
        <f>'retrieve E2E TCF random'!F2</f>
        <v>OK</v>
      </c>
      <c r="G102" s="99" t="str">
        <f>'retrieve E2E TCF random'!G2</f>
        <v>x</v>
      </c>
      <c r="H102" s="99" t="str">
        <f>'retrieve E2E TCF random'!H2</f>
        <v/>
      </c>
      <c r="I102" s="99" t="str">
        <f>'retrieve E2E TCF random'!I2</f>
        <v/>
      </c>
      <c r="J102" s="99" t="str">
        <f>'retrieve E2E TCF random'!J2</f>
        <v/>
      </c>
      <c r="K102" s="99" t="str">
        <f>'retrieve E2E TCF random'!K2</f>
        <v/>
      </c>
      <c r="L102" s="99" t="str">
        <f>'retrieve E2E TCF random'!L2</f>
        <v/>
      </c>
      <c r="M102" s="99" t="str">
        <f>'retrieve E2E TCF random'!M2</f>
        <v/>
      </c>
      <c r="N102" s="99" t="str">
        <f>'retrieve E2E TCF random'!N2</f>
        <v/>
      </c>
      <c r="O102" s="99" t="str">
        <f>'retrieve E2E TCF random'!O2</f>
        <v/>
      </c>
      <c r="P102" s="99" t="str">
        <f>'retrieve E2E TCF random'!P2</f>
        <v/>
      </c>
    </row>
    <row r="103">
      <c r="G103" s="144">
        <f t="shared" ref="G103:O103" si="1">COUNTIF(G3:G102, "x")</f>
        <v>41</v>
      </c>
      <c r="H103" s="144">
        <f t="shared" si="1"/>
        <v>44</v>
      </c>
      <c r="I103" s="144">
        <f t="shared" si="1"/>
        <v>15</v>
      </c>
      <c r="J103" s="144">
        <f t="shared" si="1"/>
        <v>6</v>
      </c>
      <c r="K103" s="144">
        <f t="shared" si="1"/>
        <v>28</v>
      </c>
      <c r="L103" s="144">
        <f t="shared" si="1"/>
        <v>8</v>
      </c>
      <c r="M103" s="144">
        <f t="shared" si="1"/>
        <v>22</v>
      </c>
      <c r="N103" s="144">
        <f t="shared" si="1"/>
        <v>24</v>
      </c>
      <c r="O103" s="144">
        <f t="shared" si="1"/>
        <v>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4">
        <f>IFERROR(__xludf.DUMMYFUNCTION("{ QUERY({ 'Copy of OD-WebNLG'!A4:O54 }, ""SELECT * LIMIT 50"",0)}"),34.0)</f>
        <v>34</v>
      </c>
      <c r="B1" s="99" t="str">
        <f>IFERROR(__xludf.DUMMYFUNCTION("""COMPUTED_VALUE"""),"atatürk monument (izmir) is in turkey, the leader of which is the president of turkey. ahmet davutoğlu is the leader of turkey. the capital of turkey is ankara. the largest city in turkey is istanbul.")</f>
        <v>atatürk monument (izmir) is in turkey, the leader of which is the president of turkey. ahmet davutoğlu is the leader of turkey. the capital of turkey is ankara. the largest city in turkey is istanbul.</v>
      </c>
      <c r="C1" s="99" t="str">
        <f>IFERROR(__xludf.DUMMYFUNCTION("""COMPUTED_VALUE"""),"Turkey|leaderTitle|President_of_Turkey ++ Turkey|leader|Ahmet_Davutoğlu ++ Turkey|capital|Ankara ++ Turkey|largestCity|Istanbul ++ Atatürk_Monument_(İzmir)|location|Turkey")</f>
        <v>Turkey|leaderTitle|President_of_Turkey ++ Turkey|leader|Ahmet_Davutoğlu ++ Turkey|capital|Ankara ++ Turkey|largestCity|Istanbul ++ Atatürk_Monument_(İzmir)|location|Turkey</v>
      </c>
      <c r="D1" s="99">
        <f>IFERROR(__xludf.DUMMYFUNCTION("""COMPUTED_VALUE"""),0.004)</f>
        <v>0.004</v>
      </c>
      <c r="E1" s="99" t="str">
        <f>IFERROR(__xludf.DUMMYFUNCTION("""COMPUTED_VALUE"""),"OK")</f>
        <v>OK</v>
      </c>
      <c r="F1" s="99" t="str">
        <f>IFERROR(__xludf.DUMMYFUNCTION("""COMPUTED_VALUE"""),"omission")</f>
        <v>omission</v>
      </c>
      <c r="G1" s="99" t="str">
        <f>IFERROR(__xludf.DUMMYFUNCTION("""COMPUTED_VALUE"""),"x")</f>
        <v>x</v>
      </c>
      <c r="H1" s="99"/>
      <c r="I1" s="99"/>
      <c r="J1" s="99"/>
      <c r="K1" s="99"/>
      <c r="L1" s="99"/>
      <c r="M1" s="99"/>
      <c r="N1" s="99" t="str">
        <f>IFERROR(__xludf.DUMMYFUNCTION("""COMPUTED_VALUE"""),"x")</f>
        <v>x</v>
      </c>
      <c r="O1" s="99"/>
    </row>
    <row r="2">
      <c r="A2" s="99">
        <f>IFERROR(__xludf.DUMMYFUNCTION("""COMPUTED_VALUE"""),32.0)</f>
        <v>32</v>
      </c>
      <c r="B2" s="99" t="str">
        <f>IFERROR(__xludf.DUMMYFUNCTION("""COMPUTED_VALUE"""),"alessio romagnoli is affiliated with a.s. roma.")</f>
        <v>alessio romagnoli is affiliated with a.s. roma.</v>
      </c>
      <c r="C2" s="99" t="str">
        <f>IFERROR(__xludf.DUMMYFUNCTION("""COMPUTED_VALUE"""),"Alessio_Romagnoli|youthclub|A.S._Roma")</f>
        <v>Alessio_Romagnoli|youthclub|A.S._Roma</v>
      </c>
      <c r="D2" s="99">
        <f>IFERROR(__xludf.DUMMYFUNCTION("""COMPUTED_VALUE"""),0.002)</f>
        <v>0.002</v>
      </c>
      <c r="E2" s="99" t="str">
        <f>IFERROR(__xludf.DUMMYFUNCTION("""COMPUTED_VALUE"""),"OK")</f>
        <v>OK</v>
      </c>
      <c r="F2" s="99" t="str">
        <f>IFERROR(__xludf.DUMMYFUNCTION("""COMPUTED_VALUE"""),"omission")</f>
        <v>omission</v>
      </c>
      <c r="G2" s="99" t="str">
        <f>IFERROR(__xludf.DUMMYFUNCTION("""COMPUTED_VALUE"""),"x")</f>
        <v>x</v>
      </c>
      <c r="H2" s="99"/>
      <c r="I2" s="99"/>
      <c r="J2" s="99" t="str">
        <f>IFERROR(__xludf.DUMMYFUNCTION("""COMPUTED_VALUE"""),"x")</f>
        <v>x</v>
      </c>
      <c r="K2" s="99"/>
      <c r="L2" s="99"/>
      <c r="M2" s="99"/>
      <c r="N2" s="99"/>
      <c r="O2" s="99"/>
    </row>
    <row r="3">
      <c r="A3" s="99">
        <f>IFERROR(__xludf.DUMMYFUNCTION("""COMPUTED_VALUE"""),78.0)</f>
        <v>78</v>
      </c>
      <c r="B3" s="99" t="str">
        <f>IFERROR(__xludf.DUMMYFUNCTION("""COMPUTED_VALUE"""),"gubbio is from umbria.")</f>
        <v>gubbio is from umbria.</v>
      </c>
      <c r="C3" s="99" t="str">
        <f>IFERROR(__xludf.DUMMYFUNCTION("""COMPUTED_VALUE"""),"Gubbio|region|Umbria")</f>
        <v>Gubbio|region|Umbria</v>
      </c>
      <c r="D3" s="99">
        <f>IFERROR(__xludf.DUMMYFUNCTION("""COMPUTED_VALUE"""),0.948)</f>
        <v>0.948</v>
      </c>
      <c r="E3" s="99" t="str">
        <f>IFERROR(__xludf.DUMMYFUNCTION("""COMPUTED_VALUE"""),"not OK")</f>
        <v>not OK</v>
      </c>
      <c r="F3" s="99" t="str">
        <f>IFERROR(__xludf.DUMMYFUNCTION("""COMPUTED_VALUE"""),"OK")</f>
        <v>OK</v>
      </c>
      <c r="G3" s="99"/>
      <c r="H3" s="99"/>
      <c r="I3" s="99" t="str">
        <f>IFERROR(__xludf.DUMMYFUNCTION("""COMPUTED_VALUE"""),"x")</f>
        <v>x</v>
      </c>
      <c r="J3" s="99"/>
      <c r="K3" s="99"/>
      <c r="L3" s="99"/>
      <c r="M3" s="99"/>
      <c r="N3" s="99"/>
      <c r="O3" s="99" t="str">
        <f>IFERROR(__xludf.DUMMYFUNCTION("""COMPUTED_VALUE"""),"edge case: verbalized as ""is from"" but Gubbio is a city, so it's misleading")</f>
        <v>edge case: verbalized as "is from" but Gubbio is a city, so it's misleading</v>
      </c>
    </row>
    <row r="4">
      <c r="A4" s="99">
        <f>IFERROR(__xludf.DUMMYFUNCTION("""COMPUTED_VALUE"""),24.0)</f>
        <v>24</v>
      </c>
      <c r="B4" s="99" t="str">
        <f>IFERROR(__xludf.DUMMYFUNCTION("""COMPUTED_VALUE"""),"the first club john van den brom played for was jong ajax, he is part of the istanbulspor a.ş club and, manages az alkmaar.")</f>
        <v>the first club john van den brom played for was jong ajax, he is part of the istanbulspor a.ş club and, manages az alkmaar.</v>
      </c>
      <c r="C4" s="99" t="str">
        <f>IFERROR(__xludf.DUMMYFUNCTION("""COMPUTED_VALUE"""),"AZ_Alkmaar|manager|John_van_den_Brom ++ John_van_den_Brom|club|Jong_Ajax ++ John_van_den_Brom|club|İstanbulspor_A.Ş.")</f>
        <v>AZ_Alkmaar|manager|John_van_den_Brom ++ John_van_den_Brom|club|Jong_Ajax ++ John_van_den_Brom|club|İstanbulspor_A.Ş.</v>
      </c>
      <c r="D4" s="99">
        <f>IFERROR(__xludf.DUMMYFUNCTION("""COMPUTED_VALUE"""),0.537)</f>
        <v>0.537</v>
      </c>
      <c r="E4" s="99" t="str">
        <f>IFERROR(__xludf.DUMMYFUNCTION("""COMPUTED_VALUE"""),"not OK")</f>
        <v>not OK</v>
      </c>
      <c r="F4" s="99" t="str">
        <f>IFERROR(__xludf.DUMMYFUNCTION("""COMPUTED_VALUE"""),"OK")</f>
        <v>OK</v>
      </c>
      <c r="G4" s="99" t="str">
        <f>IFERROR(__xludf.DUMMYFUNCTION("""COMPUTED_VALUE"""),"x")</f>
        <v>x</v>
      </c>
      <c r="H4" s="99"/>
      <c r="I4" s="99"/>
      <c r="J4" s="99"/>
      <c r="K4" s="99"/>
      <c r="L4" s="99"/>
      <c r="M4" s="99" t="str">
        <f>IFERROR(__xludf.DUMMYFUNCTION("""COMPUTED_VALUE"""),"x")</f>
        <v>x</v>
      </c>
      <c r="N4" s="99"/>
      <c r="O4" s="99"/>
    </row>
    <row r="5">
      <c r="A5" s="99">
        <f>IFERROR(__xludf.DUMMYFUNCTION("""COMPUTED_VALUE"""),60.0)</f>
        <v>60</v>
      </c>
      <c r="B5" s="99" t="str">
        <f>IFERROR(__xludf.DUMMYFUNCTION("""COMPUTED_VALUE"""),"the usaf was involved in the 1986 bombing of libya .")</f>
        <v>the usaf was involved in the 1986 bombing of libya .</v>
      </c>
      <c r="C5" s="99" t="str">
        <f>IFERROR(__xludf.DUMMYFUNCTION("""COMPUTED_VALUE"""),"United_States_Air_Force|battles|1986_United_States_bombing_of_Libya")</f>
        <v>United_States_Air_Force|battles|1986_United_States_bombing_of_Libya</v>
      </c>
      <c r="D5" s="99">
        <f>IFERROR(__xludf.DUMMYFUNCTION("""COMPUTED_VALUE"""),0.794)</f>
        <v>0.794</v>
      </c>
      <c r="E5" s="99" t="str">
        <f>IFERROR(__xludf.DUMMYFUNCTION("""COMPUTED_VALUE"""),"not OK")</f>
        <v>not OK</v>
      </c>
      <c r="F5" s="99" t="str">
        <f>IFERROR(__xludf.DUMMYFUNCTION("""COMPUTED_VALUE"""),"OK")</f>
        <v>OK</v>
      </c>
      <c r="G5" s="99"/>
      <c r="H5" s="99" t="str">
        <f>IFERROR(__xludf.DUMMYFUNCTION("""COMPUTED_VALUE"""),"x")</f>
        <v>x</v>
      </c>
      <c r="I5" s="99"/>
      <c r="J5" s="99"/>
      <c r="K5" s="99"/>
      <c r="L5" s="99" t="str">
        <f>IFERROR(__xludf.DUMMYFUNCTION("""COMPUTED_VALUE"""),"x")</f>
        <v>x</v>
      </c>
      <c r="M5" s="99"/>
      <c r="N5" s="99"/>
      <c r="O5" s="99"/>
    </row>
    <row r="6">
      <c r="A6" s="99">
        <f>IFERROR(__xludf.DUMMYFUNCTION("""COMPUTED_VALUE"""),31.0)</f>
        <v>31</v>
      </c>
      <c r="B6" s="99" t="str">
        <f>IFERROR(__xludf.DUMMYFUNCTION("""COMPUTED_VALUE"""),"1 decembrie 1918 university is known as uab and is located in alba.")</f>
        <v>1 decembrie 1918 university is known as uab and is located in alba.</v>
      </c>
      <c r="C6" s="99" t="str">
        <f>IFERROR(__xludf.DUMMYFUNCTION("""COMPUTED_VALUE"""),"1_Decembrie_1918_University|nickname|Uab ++ 1_Decembrie_1918_University|state|Alba")</f>
        <v>1_Decembrie_1918_University|nickname|Uab ++ 1_Decembrie_1918_University|state|Alba</v>
      </c>
      <c r="D6" s="99">
        <f>IFERROR(__xludf.DUMMYFUNCTION("""COMPUTED_VALUE"""),0.969)</f>
        <v>0.969</v>
      </c>
      <c r="E6" s="99" t="str">
        <f>IFERROR(__xludf.DUMMYFUNCTION("""COMPUTED_VALUE"""),"not OK")</f>
        <v>not OK</v>
      </c>
      <c r="F6" s="99" t="str">
        <f>IFERROR(__xludf.DUMMYFUNCTION("""COMPUTED_VALUE"""),"OK")</f>
        <v>OK</v>
      </c>
      <c r="G6" s="99"/>
      <c r="H6" s="99" t="str">
        <f>IFERROR(__xludf.DUMMYFUNCTION("""COMPUTED_VALUE"""),"x")</f>
        <v>x</v>
      </c>
      <c r="I6" s="99"/>
      <c r="J6" s="99"/>
      <c r="K6" s="99"/>
      <c r="L6" s="99"/>
      <c r="M6" s="99" t="str">
        <f>IFERROR(__xludf.DUMMYFUNCTION("""COMPUTED_VALUE"""),"x")</f>
        <v>x</v>
      </c>
      <c r="N6" s="99"/>
      <c r="O6" s="99"/>
    </row>
    <row r="7">
      <c r="A7" s="99">
        <f>IFERROR(__xludf.DUMMYFUNCTION("""COMPUTED_VALUE"""),56.0)</f>
        <v>56</v>
      </c>
      <c r="B7" s="99" t="str">
        <f>IFERROR(__xludf.DUMMYFUNCTION("""COMPUTED_VALUE"""),"capital is austin. andrews county airport is located in texas. english is spoken in texas.")</f>
        <v>capital is austin. andrews county airport is located in texas. english is spoken in texas.</v>
      </c>
      <c r="C7" s="99" t="str">
        <f>IFERROR(__xludf.DUMMYFUNCTION("""COMPUTED_VALUE"""),"Andrews_County_Airport|location|Texas ++ Texas|capital|Austin,_Texas ++ Texas|language|English_language")</f>
        <v>Andrews_County_Airport|location|Texas ++ Texas|capital|Austin,_Texas ++ Texas|language|English_language</v>
      </c>
      <c r="D7" s="99">
        <f>IFERROR(__xludf.DUMMYFUNCTION("""COMPUTED_VALUE"""),0.945)</f>
        <v>0.945</v>
      </c>
      <c r="E7" s="99" t="str">
        <f>IFERROR(__xludf.DUMMYFUNCTION("""COMPUTED_VALUE"""),"not OK")</f>
        <v>not OK</v>
      </c>
      <c r="F7" s="99" t="str">
        <f>IFERROR(__xludf.DUMMYFUNCTION("""COMPUTED_VALUE"""),"OK")</f>
        <v>OK</v>
      </c>
      <c r="G7" s="99"/>
      <c r="H7" s="99" t="str">
        <f>IFERROR(__xludf.DUMMYFUNCTION("""COMPUTED_VALUE"""),"x")</f>
        <v>x</v>
      </c>
      <c r="I7" s="99"/>
      <c r="J7" s="99"/>
      <c r="K7" s="99"/>
      <c r="L7" s="99" t="str">
        <f>IFERROR(__xludf.DUMMYFUNCTION("""COMPUTED_VALUE"""),"x")</f>
        <v>x</v>
      </c>
      <c r="M7" s="99"/>
      <c r="N7" s="99"/>
      <c r="O7" s="99"/>
    </row>
    <row r="8">
      <c r="A8" s="99">
        <f>IFERROR(__xludf.DUMMYFUNCTION("""COMPUTED_VALUE"""),15.0)</f>
        <v>15</v>
      </c>
      <c r="B8" s="99" t="str">
        <f>IFERROR(__xludf.DUMMYFUNCTION("""COMPUTED_VALUE"""),"all india council for technical education is located in mumbai. acharya institute of technology was given the Technical Campus status by it. acharya institute offers sports including tennis. the location is the governing body of tennis.")</f>
        <v>all india council for technical education is located in mumbai. acharya institute of technology was given the Technical Campus status by it. acharya institute offers sports including tennis. the location is the governing body of tennis.</v>
      </c>
      <c r="C8" s="99" t="str">
        <f>IFERROR(__xludf.DUMMYFUNCTION("""COMPUTED_VALUE"""),"Acharya_Institute_of_Technology|was given the 'Technical Campus' status by|All_India_Council_for_Technical_Education ++ All_India_Council_for_Technical_Education|location|Mumbai ++ Acharya_Institute_of_Technology|sportsOffered|Tennis ++ Tennis|sportsGover"&amp;"ningBody|International_Tennis_Federation")</f>
        <v>Acharya_Institute_of_Technology|was given the 'Technical Campus' status by|All_India_Council_for_Technical_Education ++ All_India_Council_for_Technical_Education|location|Mumbai ++ Acharya_Institute_of_Technology|sportsOffered|Tennis ++ Tennis|sportsGoverningBody|International_Tennis_Federation</v>
      </c>
      <c r="D8" s="99">
        <f>IFERROR(__xludf.DUMMYFUNCTION("""COMPUTED_VALUE"""),0.001)</f>
        <v>0.001</v>
      </c>
      <c r="E8" s="99" t="str">
        <f>IFERROR(__xludf.DUMMYFUNCTION("""COMPUTED_VALUE"""),"OK")</f>
        <v>OK</v>
      </c>
      <c r="F8" s="99" t="str">
        <f>IFERROR(__xludf.DUMMYFUNCTION("""COMPUTED_VALUE"""),"omission")</f>
        <v>omission</v>
      </c>
      <c r="G8" s="99"/>
      <c r="H8" s="99" t="str">
        <f>IFERROR(__xludf.DUMMYFUNCTION("""COMPUTED_VALUE"""),"x")</f>
        <v>x</v>
      </c>
      <c r="I8" s="99"/>
      <c r="J8" s="99"/>
      <c r="K8" s="99"/>
      <c r="L8" s="99"/>
      <c r="M8" s="99" t="str">
        <f>IFERROR(__xludf.DUMMYFUNCTION("""COMPUTED_VALUE"""),"x")</f>
        <v>x</v>
      </c>
      <c r="N8" s="99"/>
      <c r="O8" s="99"/>
    </row>
    <row r="9">
      <c r="A9" s="99">
        <f>IFERROR(__xludf.DUMMYFUNCTION("""COMPUTED_VALUE"""),52.0)</f>
        <v>52</v>
      </c>
      <c r="B9" s="99" t="str">
        <f>IFERROR(__xludf.DUMMYFUNCTION("""COMPUTED_VALUE"""),"gus poyet is in the real zaragoza club and previously played for chelsea fc . he now manages aek athens who have their home ground at the olympic stadium ( athens ) at marousi .")</f>
        <v>gus poyet is in the real zaragoza club and previously played for chelsea fc . he now manages aek athens who have their home ground at the olympic stadium ( athens ) at marousi .</v>
      </c>
      <c r="C9" s="99" t="str">
        <f>IFERROR(__xludf.DUMMYFUNCTION("""COMPUTED_VALUE"""),"AEK_Athens_F.C.|manager|Gus_Poyet ++ Gus_Poyet|club|Real_Zaragoza ++ Olympic_Stadium_(Athens)|location|Marousi ++ AEK_Athens_F.C.|ground|Olympic_Stadium_(Athens) ++ Gus_Poyet|club|Chelsea_F.C.")</f>
        <v>AEK_Athens_F.C.|manager|Gus_Poyet ++ Gus_Poyet|club|Real_Zaragoza ++ Olympic_Stadium_(Athens)|location|Marousi ++ AEK_Athens_F.C.|ground|Olympic_Stadium_(Athens) ++ Gus_Poyet|club|Chelsea_F.C.</v>
      </c>
      <c r="D9" s="99">
        <f>IFERROR(__xludf.DUMMYFUNCTION("""COMPUTED_VALUE"""),0.018)</f>
        <v>0.018</v>
      </c>
      <c r="E9" s="99" t="str">
        <f>IFERROR(__xludf.DUMMYFUNCTION("""COMPUTED_VALUE"""),"OK")</f>
        <v>OK</v>
      </c>
      <c r="F9" s="99" t="str">
        <f>IFERROR(__xludf.DUMMYFUNCTION("""COMPUTED_VALUE"""),"hallucination")</f>
        <v>hallucination</v>
      </c>
      <c r="G9" s="99"/>
      <c r="H9" s="99" t="str">
        <f>IFERROR(__xludf.DUMMYFUNCTION("""COMPUTED_VALUE"""),"x")</f>
        <v>x</v>
      </c>
      <c r="I9" s="99"/>
      <c r="J9" s="99"/>
      <c r="K9" s="99"/>
      <c r="L9" s="99"/>
      <c r="M9" s="99" t="str">
        <f>IFERROR(__xludf.DUMMYFUNCTION("""COMPUTED_VALUE"""),"x")</f>
        <v>x</v>
      </c>
      <c r="N9" s="99"/>
      <c r="O9" s="99"/>
    </row>
    <row r="10">
      <c r="A10" s="99">
        <f>IFERROR(__xludf.DUMMYFUNCTION("""COMPUTED_VALUE"""),92.0)</f>
        <v>92</v>
      </c>
      <c r="B10" s="99" t="str">
        <f>IFERROR(__xludf.DUMMYFUNCTION("""COMPUTED_VALUE"""),"azerbaijan 's leader is the prime minister.")</f>
        <v>azerbaijan 's leader is the prime minister.</v>
      </c>
      <c r="C10" s="99" t="str">
        <f>IFERROR(__xludf.DUMMYFUNCTION("""COMPUTED_VALUE"""),"Azerbaijan|leaderTitle|Prime_Minister_of_Azerbaijan")</f>
        <v>Azerbaijan|leaderTitle|Prime_Minister_of_Azerbaijan</v>
      </c>
      <c r="D10" s="99">
        <f>IFERROR(__xludf.DUMMYFUNCTION("""COMPUTED_VALUE"""),0.977)</f>
        <v>0.977</v>
      </c>
      <c r="E10" s="99" t="str">
        <f>IFERROR(__xludf.DUMMYFUNCTION("""COMPUTED_VALUE"""),"not OK")</f>
        <v>not OK</v>
      </c>
      <c r="F10" s="99" t="str">
        <f>IFERROR(__xludf.DUMMYFUNCTION("""COMPUTED_VALUE"""),"OK")</f>
        <v>OK</v>
      </c>
      <c r="G10" s="99"/>
      <c r="H10" s="99" t="str">
        <f>IFERROR(__xludf.DUMMYFUNCTION("""COMPUTED_VALUE"""),"x")</f>
        <v>x</v>
      </c>
      <c r="I10" s="99"/>
      <c r="J10" s="99"/>
      <c r="K10" s="99"/>
      <c r="L10" s="99" t="str">
        <f>IFERROR(__xludf.DUMMYFUNCTION("""COMPUTED_VALUE"""),"x")</f>
        <v>x</v>
      </c>
      <c r="M10" s="99"/>
      <c r="N10" s="99"/>
      <c r="O10" s="99"/>
    </row>
    <row r="11">
      <c r="A11" s="99">
        <f>IFERROR(__xludf.DUMMYFUNCTION("""COMPUTED_VALUE"""),36.0)</f>
        <v>36</v>
      </c>
      <c r="B11" s="99" t="str">
        <f>IFERROR(__xludf.DUMMYFUNCTION("""COMPUTED_VALUE"""),"auburn is in united states it is part of pierce county, washington. auburn, washington has a total area of 77.41 (square kilometres). auburn, washington has a population density of 914.8 inhabitants per square kilometre. it is part of king county, washing"&amp;"ton.")</f>
        <v>auburn is in united states it is part of pierce county, washington. auburn, washington has a total area of 77.41 (square kilometres). auburn, washington has a population density of 914.8 inhabitants per square kilometre. it is part of king county, washington.</v>
      </c>
      <c r="C11" s="99" t="str">
        <f>IFERROR(__xludf.DUMMYFUNCTION("""COMPUTED_VALUE"""),"Auburn,_Washington|isPartOf|Pierce_County,_Washington ++ Auburn,_Washington|country|United_States ++ Auburn,_Washington|isPartOf|King_County,_Washington ++ Auburn,_Washington|populationDensity|914.8 (inhabitants per square kilometre) ++ Auburn,_Washington"&amp;"|areaTotal|77.41 (square kilometres)")</f>
        <v>Auburn,_Washington|isPartOf|Pierce_County,_Washington ++ Auburn,_Washington|country|United_States ++ Auburn,_Washington|isPartOf|King_County,_Washington ++ Auburn,_Washington|populationDensity|914.8 (inhabitants per square kilometre) ++ Auburn,_Washington|areaTotal|77.41 (square kilometres)</v>
      </c>
      <c r="D11" s="99">
        <f>IFERROR(__xludf.DUMMYFUNCTION("""COMPUTED_VALUE"""),0.408)</f>
        <v>0.408</v>
      </c>
      <c r="E11" s="99" t="str">
        <f>IFERROR(__xludf.DUMMYFUNCTION("""COMPUTED_VALUE"""),"OK")</f>
        <v>OK</v>
      </c>
      <c r="F11" s="99" t="str">
        <f>IFERROR(__xludf.DUMMYFUNCTION("""COMPUTED_VALUE"""),"omission")</f>
        <v>omission</v>
      </c>
      <c r="G11" s="99" t="str">
        <f>IFERROR(__xludf.DUMMYFUNCTION("""COMPUTED_VALUE"""),"x")</f>
        <v>x</v>
      </c>
      <c r="H11" s="99"/>
      <c r="I11" s="99"/>
      <c r="J11" s="99" t="str">
        <f>IFERROR(__xludf.DUMMYFUNCTION("""COMPUTED_VALUE"""),"x")</f>
        <v>x</v>
      </c>
      <c r="K11" s="99"/>
      <c r="L11" s="99"/>
      <c r="M11" s="99"/>
      <c r="N11" s="99"/>
      <c r="O11" s="99"/>
    </row>
    <row r="12">
      <c r="A12" s="99">
        <f>IFERROR(__xludf.DUMMYFUNCTION("""COMPUTED_VALUE"""),87.0)</f>
        <v>87</v>
      </c>
      <c r="B12" s="99" t="str">
        <f>IFERROR(__xludf.DUMMYFUNCTION("""COMPUTED_VALUE"""),"the architect of julia morgan is los angeles herald-examiner.")</f>
        <v>the architect of julia morgan is los angeles herald-examiner.</v>
      </c>
      <c r="C12" s="99" t="str">
        <f>IFERROR(__xludf.DUMMYFUNCTION("""COMPUTED_VALUE"""),"Julia_Morgan|significantBuilding|Los_Angeles_Herald-Examiner")</f>
        <v>Julia_Morgan|significantBuilding|Los_Angeles_Herald-Examiner</v>
      </c>
      <c r="D12" s="99">
        <f>IFERROR(__xludf.DUMMYFUNCTION("""COMPUTED_VALUE"""),0.572)</f>
        <v>0.572</v>
      </c>
      <c r="E12" s="99" t="str">
        <f>IFERROR(__xludf.DUMMYFUNCTION("""COMPUTED_VALUE"""),"not OK")</f>
        <v>not OK</v>
      </c>
      <c r="F12" s="99" t="str">
        <f>IFERROR(__xludf.DUMMYFUNCTION("""COMPUTED_VALUE"""),"OK")</f>
        <v>OK</v>
      </c>
      <c r="G12" s="99" t="str">
        <f>IFERROR(__xludf.DUMMYFUNCTION("""COMPUTED_VALUE"""),"x")</f>
        <v>x</v>
      </c>
      <c r="H12" s="99"/>
      <c r="I12" s="99"/>
      <c r="J12" s="99"/>
      <c r="K12" s="99"/>
      <c r="L12" s="99"/>
      <c r="M12" s="99" t="str">
        <f>IFERROR(__xludf.DUMMYFUNCTION("""COMPUTED_VALUE"""),"x")</f>
        <v>x</v>
      </c>
      <c r="N12" s="99"/>
      <c r="O12" s="99"/>
    </row>
    <row r="13">
      <c r="A13" s="99">
        <f>IFERROR(__xludf.DUMMYFUNCTION("""COMPUTED_VALUE"""),9.0)</f>
        <v>9</v>
      </c>
      <c r="B13" s="99" t="str">
        <f>IFERROR(__xludf.DUMMYFUNCTION("""COMPUTED_VALUE"""),"shumai is a variation of batagor.")</f>
        <v>shumai is a variation of batagor.</v>
      </c>
      <c r="C13" s="99" t="str">
        <f>IFERROR(__xludf.DUMMYFUNCTION("""COMPUTED_VALUE"""),"Batagor|dishVariation|Shumai")</f>
        <v>Batagor|dishVariation|Shumai</v>
      </c>
      <c r="D13" s="99">
        <f>IFERROR(__xludf.DUMMYFUNCTION("""COMPUTED_VALUE"""),0.524)</f>
        <v>0.524</v>
      </c>
      <c r="E13" s="99" t="str">
        <f>IFERROR(__xludf.DUMMYFUNCTION("""COMPUTED_VALUE"""),"not OK")</f>
        <v>not OK</v>
      </c>
      <c r="F13" s="99" t="str">
        <f>IFERROR(__xludf.DUMMYFUNCTION("""COMPUTED_VALUE"""),"OK")</f>
        <v>OK</v>
      </c>
      <c r="G13" s="99" t="str">
        <f>IFERROR(__xludf.DUMMYFUNCTION("""COMPUTED_VALUE"""),"x")</f>
        <v>x</v>
      </c>
      <c r="H13" s="99"/>
      <c r="I13" s="99"/>
      <c r="J13" s="99"/>
      <c r="K13" s="99"/>
      <c r="L13" s="99"/>
      <c r="M13" s="99" t="str">
        <f>IFERROR(__xludf.DUMMYFUNCTION("""COMPUTED_VALUE"""),"x")</f>
        <v>x</v>
      </c>
      <c r="N13" s="99"/>
      <c r="O13" s="99"/>
    </row>
    <row r="14">
      <c r="A14" s="99">
        <f>IFERROR(__xludf.DUMMYFUNCTION("""COMPUTED_VALUE"""),7.0)</f>
        <v>7</v>
      </c>
      <c r="B14" s="99" t="str">
        <f>IFERROR(__xludf.DUMMYFUNCTION("""COMPUTED_VALUE"""),"aenir is written in english language.")</f>
        <v>aenir is written in english language.</v>
      </c>
      <c r="C14" s="99" t="str">
        <f>IFERROR(__xludf.DUMMYFUNCTION("""COMPUTED_VALUE"""),"Aenir|language|English_language")</f>
        <v>Aenir|language|English_language</v>
      </c>
      <c r="D14" s="99">
        <f>IFERROR(__xludf.DUMMYFUNCTION("""COMPUTED_VALUE"""),0.099)</f>
        <v>0.099</v>
      </c>
      <c r="E14" s="99" t="str">
        <f>IFERROR(__xludf.DUMMYFUNCTION("""COMPUTED_VALUE"""),"OK")</f>
        <v>OK</v>
      </c>
      <c r="F14" s="99" t="str">
        <f>IFERROR(__xludf.DUMMYFUNCTION("""COMPUTED_VALUE"""),"hallucination")</f>
        <v>hallucination</v>
      </c>
      <c r="G14" s="99" t="str">
        <f>IFERROR(__xludf.DUMMYFUNCTION("""COMPUTED_VALUE"""),"x")</f>
        <v>x</v>
      </c>
      <c r="H14" s="99"/>
      <c r="I14" s="99"/>
      <c r="J14" s="99" t="str">
        <f>IFERROR(__xludf.DUMMYFUNCTION("""COMPUTED_VALUE"""),"x")</f>
        <v>x</v>
      </c>
      <c r="K14" s="99"/>
      <c r="L14" s="99"/>
      <c r="M14" s="99"/>
      <c r="N14" s="99"/>
      <c r="O14" s="99"/>
    </row>
    <row r="15">
      <c r="A15" s="99">
        <f>IFERROR(__xludf.DUMMYFUNCTION("""COMPUTED_VALUE"""),14.0)</f>
        <v>14</v>
      </c>
      <c r="B15" s="99" t="str">
        <f>IFERROR(__xludf.DUMMYFUNCTION("""COMPUTED_VALUE"""),"aleksandra kovac plays pop music for the k2 band . he knows musician , bebi dol .")</f>
        <v>aleksandra kovac plays pop music for the k2 band . he knows musician , bebi dol .</v>
      </c>
      <c r="C15" s="99" t="str">
        <f>IFERROR(__xludf.DUMMYFUNCTION("""COMPUTED_VALUE"""),"Aleksandra_Kovač|associatedBand/associatedMusicalArtist|Bebi_Dol ++ Aleksandra_Kovač|associatedBand/associatedMusicalArtist|K2_(Kovač_sisters_duo) ++ Aleksandra_Kovač|genre|Pop_music")</f>
        <v>Aleksandra_Kovač|associatedBand/associatedMusicalArtist|Bebi_Dol ++ Aleksandra_Kovač|associatedBand/associatedMusicalArtist|K2_(Kovač_sisters_duo) ++ Aleksandra_Kovač|genre|Pop_music</v>
      </c>
      <c r="D15" s="99">
        <f>IFERROR(__xludf.DUMMYFUNCTION("""COMPUTED_VALUE"""),0.626)</f>
        <v>0.626</v>
      </c>
      <c r="E15" s="99" t="str">
        <f>IFERROR(__xludf.DUMMYFUNCTION("""COMPUTED_VALUE"""),"not OK")</f>
        <v>not OK</v>
      </c>
      <c r="F15" s="99" t="str">
        <f>IFERROR(__xludf.DUMMYFUNCTION("""COMPUTED_VALUE"""),"OK")</f>
        <v>OK</v>
      </c>
      <c r="G15" s="99" t="str">
        <f>IFERROR(__xludf.DUMMYFUNCTION("""COMPUTED_VALUE"""),"x")</f>
        <v>x</v>
      </c>
      <c r="H15" s="99"/>
      <c r="I15" s="99"/>
      <c r="J15" s="99"/>
      <c r="K15" s="99"/>
      <c r="L15" s="99"/>
      <c r="M15" s="99" t="str">
        <f>IFERROR(__xludf.DUMMYFUNCTION("""COMPUTED_VALUE"""),"x")</f>
        <v>x</v>
      </c>
      <c r="N15" s="99"/>
      <c r="O15" s="99"/>
    </row>
    <row r="16">
      <c r="A16" s="99">
        <f>IFERROR(__xludf.DUMMYFUNCTION("""COMPUTED_VALUE"""),49.0)</f>
        <v>49</v>
      </c>
      <c r="B16" s="99" t="str">
        <f>IFERROR(__xludf.DUMMYFUNCTION("""COMPUTED_VALUE"""),"fc dinamo batumi was at levan khomeriki and manages aleksandre guruli.")</f>
        <v>fc dinamo batumi was at levan khomeriki and manages aleksandre guruli.</v>
      </c>
      <c r="C16" s="99" t="str">
        <f>IFERROR(__xludf.DUMMYFUNCTION("""COMPUTED_VALUE"""),"FC_Dinamo_Batumi|manager|Levan_Khomeriki ++ Aleksandre_Guruli|club|FC_Dinamo_Batumi")</f>
        <v>FC_Dinamo_Batumi|manager|Levan_Khomeriki ++ Aleksandre_Guruli|club|FC_Dinamo_Batumi</v>
      </c>
      <c r="D16" s="99">
        <f>IFERROR(__xludf.DUMMYFUNCTION("""COMPUTED_VALUE"""),0.718)</f>
        <v>0.718</v>
      </c>
      <c r="E16" s="99" t="str">
        <f>IFERROR(__xludf.DUMMYFUNCTION("""COMPUTED_VALUE"""),"not OK")</f>
        <v>not OK</v>
      </c>
      <c r="F16" s="99" t="str">
        <f>IFERROR(__xludf.DUMMYFUNCTION("""COMPUTED_VALUE"""),"OK")</f>
        <v>OK</v>
      </c>
      <c r="G16" s="99" t="str">
        <f>IFERROR(__xludf.DUMMYFUNCTION("""COMPUTED_VALUE"""),"x")</f>
        <v>x</v>
      </c>
      <c r="H16" s="99"/>
      <c r="I16" s="99"/>
      <c r="J16" s="99"/>
      <c r="K16" s="99"/>
      <c r="L16" s="99"/>
      <c r="M16" s="99" t="str">
        <f>IFERROR(__xludf.DUMMYFUNCTION("""COMPUTED_VALUE"""),"x")</f>
        <v>x</v>
      </c>
      <c r="N16" s="99"/>
      <c r="O16" s="99"/>
    </row>
    <row r="17">
      <c r="A17" s="99">
        <f>IFERROR(__xludf.DUMMYFUNCTION("""COMPUTED_VALUE"""),73.0)</f>
        <v>73</v>
      </c>
      <c r="B17" s="99" t="str">
        <f>IFERROR(__xludf.DUMMYFUNCTION("""COMPUTED_VALUE"""),"british people live in the united kingdom.")</f>
        <v>british people live in the united kingdom.</v>
      </c>
      <c r="C17" s="99" t="str">
        <f>IFERROR(__xludf.DUMMYFUNCTION("""COMPUTED_VALUE"""),"United_Kingdom|demonym|British_people")</f>
        <v>United_Kingdom|demonym|British_people</v>
      </c>
      <c r="D17" s="99">
        <f>IFERROR(__xludf.DUMMYFUNCTION("""COMPUTED_VALUE"""),0.637)</f>
        <v>0.637</v>
      </c>
      <c r="E17" s="99" t="str">
        <f>IFERROR(__xludf.DUMMYFUNCTION("""COMPUTED_VALUE"""),"not OK")</f>
        <v>not OK</v>
      </c>
      <c r="F17" s="99" t="str">
        <f>IFERROR(__xludf.DUMMYFUNCTION("""COMPUTED_VALUE"""),"OK")</f>
        <v>OK</v>
      </c>
      <c r="G17" s="99"/>
      <c r="H17" s="99" t="str">
        <f>IFERROR(__xludf.DUMMYFUNCTION("""COMPUTED_VALUE"""),"x")</f>
        <v>x</v>
      </c>
      <c r="I17" s="99"/>
      <c r="J17" s="99"/>
      <c r="K17" s="99"/>
      <c r="L17" s="99" t="str">
        <f>IFERROR(__xludf.DUMMYFUNCTION("""COMPUTED_VALUE"""),"x")</f>
        <v>x</v>
      </c>
      <c r="M17" s="99"/>
      <c r="N17" s="99"/>
      <c r="O17" s="99"/>
    </row>
    <row r="18">
      <c r="A18" s="99">
        <f>IFERROR(__xludf.DUMMYFUNCTION("""COMPUTED_VALUE"""),91.0)</f>
        <v>91</v>
      </c>
      <c r="B18" s="99" t="str">
        <f>IFERROR(__xludf.DUMMYFUNCTION("""COMPUTED_VALUE"""),"to the south of adams county, pennsylvania was carroll county, maryland.")</f>
        <v>to the south of adams county, pennsylvania was carroll county, maryland.</v>
      </c>
      <c r="C18" s="99" t="str">
        <f>IFERROR(__xludf.DUMMYFUNCTION("""COMPUTED_VALUE"""),"Adams_County,_Pennsylvania|has to its southeast|Carroll_County,_Maryland")</f>
        <v>Adams_County,_Pennsylvania|has to its southeast|Carroll_County,_Maryland</v>
      </c>
      <c r="D18" s="99">
        <f>IFERROR(__xludf.DUMMYFUNCTION("""COMPUTED_VALUE"""),0.957)</f>
        <v>0.957</v>
      </c>
      <c r="E18" s="99" t="str">
        <f>IFERROR(__xludf.DUMMYFUNCTION("""COMPUTED_VALUE"""),"not OK")</f>
        <v>not OK</v>
      </c>
      <c r="F18" s="99" t="str">
        <f>IFERROR(__xludf.DUMMYFUNCTION("""COMPUTED_VALUE"""),"OK")</f>
        <v>OK</v>
      </c>
      <c r="G18" s="99" t="str">
        <f>IFERROR(__xludf.DUMMYFUNCTION("""COMPUTED_VALUE"""),"x")</f>
        <v>x</v>
      </c>
      <c r="H18" s="99"/>
      <c r="I18" s="99"/>
      <c r="J18" s="99" t="str">
        <f>IFERROR(__xludf.DUMMYFUNCTION("""COMPUTED_VALUE"""),"x")</f>
        <v>x</v>
      </c>
      <c r="K18" s="99"/>
      <c r="L18" s="99"/>
      <c r="M18" s="99"/>
      <c r="N18" s="99"/>
      <c r="O18" s="99"/>
    </row>
    <row r="19">
      <c r="A19" s="99">
        <f>IFERROR(__xludf.DUMMYFUNCTION("""COMPUTED_VALUE"""),47.0)</f>
        <v>47</v>
      </c>
      <c r="B19" s="99" t="str">
        <f>IFERROR(__xludf.DUMMYFUNCTION("""COMPUTED_VALUE"""),"a loyal character dancer is published by soho press, located in united states. here is written in english, which is also spoken in great britain. native americans is one of native americans ethnic groups in here.")</f>
        <v>a loyal character dancer is published by soho press, located in united states. here is written in english, which is also spoken in great britain. native americans is one of native americans ethnic groups in here.</v>
      </c>
      <c r="C19" s="99" t="str">
        <f>IFERROR(__xludf.DUMMYFUNCTION("""COMPUTED_VALUE"""),"English_language|spokenIn|Great_Britain ++ A_Loyal_Character_Dancer|publisher|Soho_Press ++ A_Loyal_Character_Dancer|country|United_States ++ United_States|ethnicGroup|Native_Americans_in_the_United_States ++ United_States|language|English_language")</f>
        <v>English_language|spokenIn|Great_Britain ++ A_Loyal_Character_Dancer|publisher|Soho_Press ++ A_Loyal_Character_Dancer|country|United_States ++ United_States|ethnicGroup|Native_Americans_in_the_United_States ++ United_States|language|English_language</v>
      </c>
      <c r="D19" s="99">
        <f>IFERROR(__xludf.DUMMYFUNCTION("""COMPUTED_VALUE"""),0.885)</f>
        <v>0.885</v>
      </c>
      <c r="E19" s="99" t="str">
        <f>IFERROR(__xludf.DUMMYFUNCTION("""COMPUTED_VALUE"""),"not OK")</f>
        <v>not OK</v>
      </c>
      <c r="F19" s="99" t="str">
        <f>IFERROR(__xludf.DUMMYFUNCTION("""COMPUTED_VALUE"""),"OK")</f>
        <v>OK</v>
      </c>
      <c r="G19" s="99"/>
      <c r="H19" s="99" t="str">
        <f>IFERROR(__xludf.DUMMYFUNCTION("""COMPUTED_VALUE"""),"x")</f>
        <v>x</v>
      </c>
      <c r="I19" s="99"/>
      <c r="J19" s="99"/>
      <c r="K19" s="99"/>
      <c r="L19" s="99" t="str">
        <f>IFERROR(__xludf.DUMMYFUNCTION("""COMPUTED_VALUE"""),"x")</f>
        <v>x</v>
      </c>
      <c r="M19" s="99"/>
      <c r="N19" s="99"/>
      <c r="O19" s="99"/>
    </row>
    <row r="20">
      <c r="A20" s="99">
        <f>IFERROR(__xludf.DUMMYFUNCTION("""COMPUTED_VALUE"""),82.0)</f>
        <v>82</v>
      </c>
      <c r="B20" s="99" t="str">
        <f>IFERROR(__xludf.DUMMYFUNCTION("""COMPUTED_VALUE"""),"mason school of business is located in alan b miller hall in united states. alan b. miller opened in 30th march 2007.")</f>
        <v>mason school of business is located in alan b miller hall in united states. alan b. miller opened in 30th march 2007.</v>
      </c>
      <c r="C20" s="99" t="str">
        <f>IFERROR(__xludf.DUMMYFUNCTION("""COMPUTED_VALUE"""),"Alan_B._Miller_Hall|buildingStartDate|""30 March 2007"" ++ Mason_School_of_Business|country|United_States ++ Alan_B._Miller_Hall|currentTenants|Mason_School_of_Business")</f>
        <v>Alan_B._Miller_Hall|buildingStartDate|"30 March 2007" ++ Mason_School_of_Business|country|United_States ++ Alan_B._Miller_Hall|currentTenants|Mason_School_of_Business</v>
      </c>
      <c r="D20" s="99">
        <f>IFERROR(__xludf.DUMMYFUNCTION("""COMPUTED_VALUE"""),0.227)</f>
        <v>0.227</v>
      </c>
      <c r="E20" s="99" t="str">
        <f>IFERROR(__xludf.DUMMYFUNCTION("""COMPUTED_VALUE"""),"OK")</f>
        <v>OK</v>
      </c>
      <c r="F20" s="99" t="str">
        <f>IFERROR(__xludf.DUMMYFUNCTION("""COMPUTED_VALUE"""),"omission")</f>
        <v>omission</v>
      </c>
      <c r="G20" s="99"/>
      <c r="H20" s="99"/>
      <c r="I20" s="99" t="str">
        <f>IFERROR(__xludf.DUMMYFUNCTION("""COMPUTED_VALUE"""),"x")</f>
        <v>x</v>
      </c>
      <c r="J20" s="99"/>
      <c r="K20" s="99"/>
      <c r="L20" s="99"/>
      <c r="M20" s="99"/>
      <c r="N20" s="99"/>
      <c r="O20" s="99" t="str">
        <f>IFERROR(__xludf.DUMMYFUNCTION("""COMPUTED_VALUE"""),"edge case: mentions ""Alan B. Miler opened"" but doesn't include ""Hall""")</f>
        <v>edge case: mentions "Alan B. Miler opened" but doesn't include "Hall"</v>
      </c>
    </row>
    <row r="21">
      <c r="A21" s="99">
        <f>IFERROR(__xludf.DUMMYFUNCTION("""COMPUTED_VALUE"""),19.0)</f>
        <v>19</v>
      </c>
      <c r="B21" s="99" t="str">
        <f>IFERROR(__xludf.DUMMYFUNCTION("""COMPUTED_VALUE"""),"the manager of a.c. lumezzane is michele marcolini. a.c. lumezzane 's ground is in italy where pietro grasso is the leader. michele marcolini plays for f.c. bari 1908. michele marcolini plays for vicenza calcio")</f>
        <v>the manager of a.c. lumezzane is michele marcolini. a.c. lumezzane 's ground is in italy where pietro grasso is the leader. michele marcolini plays for f.c. bari 1908. michele marcolini plays for vicenza calcio</v>
      </c>
      <c r="C21" s="99" t="str">
        <f>IFERROR(__xludf.DUMMYFUNCTION("""COMPUTED_VALUE"""),"A.C._Lumezzane|manager|Michele_Marcolini ++ A.C._Lumezzane|ground|Italy ++ Italy|leader|Pietro_Grasso ++ Michele_Marcolini|club|F.C._Bari_1908 ++ Michele_Marcolini|club|Vicenza_Calcio")</f>
        <v>A.C._Lumezzane|manager|Michele_Marcolini ++ A.C._Lumezzane|ground|Italy ++ Italy|leader|Pietro_Grasso ++ Michele_Marcolini|club|F.C._Bari_1908 ++ Michele_Marcolini|club|Vicenza_Calcio</v>
      </c>
      <c r="D21" s="99">
        <f>IFERROR(__xludf.DUMMYFUNCTION("""COMPUTED_VALUE"""),0.164)</f>
        <v>0.164</v>
      </c>
      <c r="E21" s="99" t="str">
        <f>IFERROR(__xludf.DUMMYFUNCTION("""COMPUTED_VALUE"""),"OK")</f>
        <v>OK</v>
      </c>
      <c r="F21" s="99" t="str">
        <f>IFERROR(__xludf.DUMMYFUNCTION("""COMPUTED_VALUE"""),"omission")</f>
        <v>omission</v>
      </c>
      <c r="G21" s="99" t="str">
        <f>IFERROR(__xludf.DUMMYFUNCTION("""COMPUTED_VALUE"""),"x")</f>
        <v>x</v>
      </c>
      <c r="H21" s="99"/>
      <c r="I21" s="99"/>
      <c r="J21" s="99"/>
      <c r="K21" s="99"/>
      <c r="L21" s="99"/>
      <c r="M21" s="99"/>
      <c r="N21" s="99" t="str">
        <f>IFERROR(__xludf.DUMMYFUNCTION("""COMPUTED_VALUE"""),"x")</f>
        <v>x</v>
      </c>
      <c r="O21" s="99"/>
    </row>
    <row r="22">
      <c r="A22" s="99">
        <f>IFERROR(__xludf.DUMMYFUNCTION("""COMPUTED_VALUE"""),17.0)</f>
        <v>17</v>
      </c>
      <c r="B22" s="99" t="str">
        <f>IFERROR(__xludf.DUMMYFUNCTION("""COMPUTED_VALUE"""),"atlantic city, new jersey comes from the united states where the capital is washington, d.c.")</f>
        <v>atlantic city, new jersey comes from the united states where the capital is washington, d.c.</v>
      </c>
      <c r="C22" s="99" t="str">
        <f>IFERROR(__xludf.DUMMYFUNCTION("""COMPUTED_VALUE"""),"Atlantic_City,_New_Jersey|country|United_States ++ United_States|capital|Washington,_D.C.")</f>
        <v>Atlantic_City,_New_Jersey|country|United_States ++ United_States|capital|Washington,_D.C.</v>
      </c>
      <c r="D22" s="99">
        <f>IFERROR(__xludf.DUMMYFUNCTION("""COMPUTED_VALUE"""),0.855)</f>
        <v>0.855</v>
      </c>
      <c r="E22" s="99" t="str">
        <f>IFERROR(__xludf.DUMMYFUNCTION("""COMPUTED_VALUE"""),"not OK")</f>
        <v>not OK</v>
      </c>
      <c r="F22" s="99" t="str">
        <f>IFERROR(__xludf.DUMMYFUNCTION("""COMPUTED_VALUE"""),"OK")</f>
        <v>OK</v>
      </c>
      <c r="G22" s="99"/>
      <c r="H22" s="99"/>
      <c r="I22" s="99" t="str">
        <f>IFERROR(__xludf.DUMMYFUNCTION("""COMPUTED_VALUE"""),"x")</f>
        <v>x</v>
      </c>
      <c r="J22" s="99"/>
      <c r="K22" s="99"/>
      <c r="L22" s="99" t="str">
        <f>IFERROR(__xludf.DUMMYFUNCTION("""COMPUTED_VALUE"""),"x")</f>
        <v>x</v>
      </c>
      <c r="M22" s="99"/>
      <c r="N22" s="99"/>
      <c r="O22" s="99" t="str">
        <f>IFERROR(__xludf.DUMMYFUNCTION("""COMPUTED_VALUE"""),"edge case: sentence corresponds to some templates and technically conveys the information, but it is misleading/nonsensical")</f>
        <v>edge case: sentence corresponds to some templates and technically conveys the information, but it is misleading/nonsensical</v>
      </c>
    </row>
    <row r="23">
      <c r="A23" s="99">
        <f>IFERROR(__xludf.DUMMYFUNCTION("""COMPUTED_VALUE"""),29.0)</f>
        <v>29</v>
      </c>
      <c r="B23" s="99" t="str">
        <f>IFERROR(__xludf.DUMMYFUNCTION("""COMPUTED_VALUE"""),"alfredo zitarrosa, milonga, was created by solo singer.")</f>
        <v>alfredo zitarrosa, milonga, was created by solo singer.</v>
      </c>
      <c r="C23" s="99" t="str">
        <f>IFERROR(__xludf.DUMMYFUNCTION("""COMPUTED_VALUE"""),"Alfredo_Zitarrosa|background|""solo_singer"" ++ Alfredo_Zitarrosa|genre|Milonga_(music)")</f>
        <v>Alfredo_Zitarrosa|background|"solo_singer" ++ Alfredo_Zitarrosa|genre|Milonga_(music)</v>
      </c>
      <c r="D23" s="99">
        <f>IFERROR(__xludf.DUMMYFUNCTION("""COMPUTED_VALUE"""),0.906)</f>
        <v>0.906</v>
      </c>
      <c r="E23" s="99" t="str">
        <f>IFERROR(__xludf.DUMMYFUNCTION("""COMPUTED_VALUE"""),"not OK")</f>
        <v>not OK</v>
      </c>
      <c r="F23" s="99" t="str">
        <f>IFERROR(__xludf.DUMMYFUNCTION("""COMPUTED_VALUE"""),"OK")</f>
        <v>OK</v>
      </c>
      <c r="G23" s="99" t="str">
        <f>IFERROR(__xludf.DUMMYFUNCTION("""COMPUTED_VALUE"""),"x")</f>
        <v>x</v>
      </c>
      <c r="H23" s="99"/>
      <c r="I23" s="99"/>
      <c r="J23" s="99"/>
      <c r="K23" s="99"/>
      <c r="L23" s="99"/>
      <c r="M23" s="99" t="str">
        <f>IFERROR(__xludf.DUMMYFUNCTION("""COMPUTED_VALUE"""),"x")</f>
        <v>x</v>
      </c>
      <c r="N23" s="99"/>
      <c r="O23" s="99"/>
    </row>
    <row r="24">
      <c r="A24" s="99">
        <f>IFERROR(__xludf.DUMMYFUNCTION("""COMPUTED_VALUE"""),44.0)</f>
        <v>44</v>
      </c>
      <c r="B24" s="99" t="str">
        <f>IFERROR(__xludf.DUMMYFUNCTION("""COMPUTED_VALUE"""),"caterpillar inc. is located in peoria, illinois. aidaluna is owned by aida cruises. caterpillar inc. was founded in united states douglas r. oberhelman is the key person for it.")</f>
        <v>caterpillar inc. is located in peoria, illinois. aidaluna is owned by aida cruises. caterpillar inc. was founded in united states douglas r. oberhelman is the key person for it.</v>
      </c>
      <c r="C24" s="99" t="str">
        <f>IFERROR(__xludf.DUMMYFUNCTION("""COMPUTED_VALUE"""),"Caterpillar_Inc.|keyPerson|Douglas_R._Oberhelman ++ Caterpillar_Inc.|foundationPlace|United_States ++ Caterpillar_Inc.|location|Peoria,_Illinois ++ AIDAluna|owner|AIDA_Cruises ++ AIDAluna|powerType|Caterpillar_Inc.")</f>
        <v>Caterpillar_Inc.|keyPerson|Douglas_R._Oberhelman ++ Caterpillar_Inc.|foundationPlace|United_States ++ Caterpillar_Inc.|location|Peoria,_Illinois ++ AIDAluna|owner|AIDA_Cruises ++ AIDAluna|powerType|Caterpillar_Inc.</v>
      </c>
      <c r="D24" s="99">
        <f>IFERROR(__xludf.DUMMYFUNCTION("""COMPUTED_VALUE"""),0.543)</f>
        <v>0.543</v>
      </c>
      <c r="E24" s="99" t="str">
        <f>IFERROR(__xludf.DUMMYFUNCTION("""COMPUTED_VALUE"""),"not OK")</f>
        <v>not OK</v>
      </c>
      <c r="F24" s="99" t="str">
        <f>IFERROR(__xludf.DUMMYFUNCTION("""COMPUTED_VALUE"""),"OK")</f>
        <v>OK</v>
      </c>
      <c r="G24" s="99" t="str">
        <f>IFERROR(__xludf.DUMMYFUNCTION("""COMPUTED_VALUE"""),"x")</f>
        <v>x</v>
      </c>
      <c r="H24" s="99"/>
      <c r="I24" s="99"/>
      <c r="J24" s="99"/>
      <c r="K24" s="99"/>
      <c r="L24" s="99"/>
      <c r="M24" s="99" t="str">
        <f>IFERROR(__xludf.DUMMYFUNCTION("""COMPUTED_VALUE"""),"x")</f>
        <v>x</v>
      </c>
      <c r="N24" s="99"/>
      <c r="O24" s="99"/>
    </row>
    <row r="25">
      <c r="A25" s="99">
        <f>IFERROR(__xludf.DUMMYFUNCTION("""COMPUTED_VALUE"""),41.0)</f>
        <v>41</v>
      </c>
      <c r="B25" s="99" t="str">
        <f>IFERROR(__xludf.DUMMYFUNCTION("""COMPUTED_VALUE"""),"twilight (band) is a black metal aaron turner associatedband/associatedmusicalartist twilight (band) aaron turner associatedband/associatedmusicalartist old man gloom aaron turner instrument electric guitar black metal musicfusiongenre death metal")</f>
        <v>twilight (band) is a black metal aaron turner associatedband/associatedmusicalartist twilight (band) aaron turner associatedband/associatedmusicalartist old man gloom aaron turner instrument electric guitar black metal musicfusiongenre death metal</v>
      </c>
      <c r="C25" s="99" t="str">
        <f>IFERROR(__xludf.DUMMYFUNCTION("""COMPUTED_VALUE"""),"Twilight_(band)|genre|Black_metal ++ Aaron_Turner|associatedBand/associatedMusicalArtist|Twilight_(band) ++ Aaron_Turner|associatedBand/associatedMusicalArtist|Old_Man_Gloom ++ Aaron_Turner|instrument|Electric_guitar ++ Black_metal|musicFusionGenre|Death_"&amp;"metal")</f>
        <v>Twilight_(band)|genre|Black_metal ++ Aaron_Turner|associatedBand/associatedMusicalArtist|Twilight_(band) ++ Aaron_Turner|associatedBand/associatedMusicalArtist|Old_Man_Gloom ++ Aaron_Turner|instrument|Electric_guitar ++ Black_metal|musicFusionGenre|Death_metal</v>
      </c>
      <c r="D25" s="99">
        <f>IFERROR(__xludf.DUMMYFUNCTION("""COMPUTED_VALUE"""),0.793)</f>
        <v>0.793</v>
      </c>
      <c r="E25" s="99" t="str">
        <f>IFERROR(__xludf.DUMMYFUNCTION("""COMPUTED_VALUE"""),"not OK")</f>
        <v>not OK</v>
      </c>
      <c r="F25" s="99" t="str">
        <f>IFERROR(__xludf.DUMMYFUNCTION("""COMPUTED_VALUE"""),"OK")</f>
        <v>OK</v>
      </c>
      <c r="G25" s="99"/>
      <c r="H25" s="99" t="str">
        <f>IFERROR(__xludf.DUMMYFUNCTION("""COMPUTED_VALUE"""),"x")</f>
        <v>x</v>
      </c>
      <c r="I25" s="99"/>
      <c r="J25" s="99"/>
      <c r="K25" s="99"/>
      <c r="L25" s="99" t="str">
        <f>IFERROR(__xludf.DUMMYFUNCTION("""COMPUTED_VALUE"""),"x")</f>
        <v>x</v>
      </c>
      <c r="M25" s="99"/>
      <c r="N25" s="99"/>
      <c r="O25" s="99"/>
    </row>
    <row r="26">
      <c r="A26" s="99">
        <f>IFERROR(__xludf.DUMMYFUNCTION("""COMPUTED_VALUE"""),20.0)</f>
        <v>20</v>
      </c>
      <c r="B26" s="99" t="str">
        <f>IFERROR(__xludf.DUMMYFUNCTION("""COMPUTED_VALUE"""),"the english language is spoken in great britain and the united states where native americans are an ethnic group . a loyal character dancer is published in the united states by soho press .")</f>
        <v>the english language is spoken in great britain and the united states where native americans are an ethnic group . a loyal character dancer is published in the united states by soho press .</v>
      </c>
      <c r="C26" s="99" t="str">
        <f>IFERROR(__xludf.DUMMYFUNCTION("""COMPUTED_VALUE"""),"English_language|spokenIn|Great_Britain ++ A_Loyal_Character_Dancer|publisher|Soho_Press ++ A_Loyal_Character_Dancer|country|United_States ++ United_States|ethnicGroup|Native_Americans_in_the_United_States ++ United_States|language|English_language")</f>
        <v>English_language|spokenIn|Great_Britain ++ A_Loyal_Character_Dancer|publisher|Soho_Press ++ A_Loyal_Character_Dancer|country|United_States ++ United_States|ethnicGroup|Native_Americans_in_the_United_States ++ United_States|language|English_language</v>
      </c>
      <c r="D26" s="99">
        <f>IFERROR(__xludf.DUMMYFUNCTION("""COMPUTED_VALUE"""),0.81)</f>
        <v>0.81</v>
      </c>
      <c r="E26" s="99" t="str">
        <f>IFERROR(__xludf.DUMMYFUNCTION("""COMPUTED_VALUE"""),"not OK")</f>
        <v>not OK</v>
      </c>
      <c r="F26" s="99" t="str">
        <f>IFERROR(__xludf.DUMMYFUNCTION("""COMPUTED_VALUE"""),"OK")</f>
        <v>OK</v>
      </c>
      <c r="G26" s="99"/>
      <c r="H26" s="99" t="str">
        <f>IFERROR(__xludf.DUMMYFUNCTION("""COMPUTED_VALUE"""),"x")</f>
        <v>x</v>
      </c>
      <c r="I26" s="99"/>
      <c r="J26" s="99"/>
      <c r="K26" s="99"/>
      <c r="L26" s="99" t="str">
        <f>IFERROR(__xludf.DUMMYFUNCTION("""COMPUTED_VALUE"""),"x")</f>
        <v>x</v>
      </c>
      <c r="M26" s="99"/>
      <c r="N26" s="99"/>
      <c r="O26" s="99"/>
    </row>
    <row r="27">
      <c r="A27" s="99">
        <f>IFERROR(__xludf.DUMMYFUNCTION("""COMPUTED_VALUE"""),85.0)</f>
        <v>85</v>
      </c>
      <c r="B27" s="99" t="str">
        <f>IFERROR(__xludf.DUMMYFUNCTION("""COMPUTED_VALUE"""),"the school of business and social sciences at the aarhus university is located in the city of aarhus which has a magistrate government. it is affiliated with the european university association which has its headquarters in brussels. aarhus has mols to it"&amp;"s northeast and mols is to the northeast of aarhus.")</f>
        <v>the school of business and social sciences at the aarhus university is located in the city of aarhus which has a magistrate government. it is affiliated with the european university association which has its headquarters in brussels. aarhus has mols to its northeast and mols is to the northeast of aarhus.</v>
      </c>
      <c r="C27" s="99" t="str">
        <f>IFERROR(__xludf.DUMMYFUNCTION("""COMPUTED_VALUE"""),"School of Business and Social Sciences at the Aarhus University|city|Aarhus ++ European_University_Association|headquarters|Brussels ++ Aarhus|has to its northeast|Mols ++ School of Business and Social Sciences at the Aarhus University|affiliation|Europea"&amp;"n_University_Association ++ Aarhus|governmentType|Magistrate")</f>
        <v>School of Business and Social Sciences at the Aarhus University|city|Aarhus ++ European_University_Association|headquarters|Brussels ++ Aarhus|has to its northeast|Mols ++ School of Business and Social Sciences at the Aarhus University|affiliation|European_University_Association ++ Aarhus|governmentType|Magistrate</v>
      </c>
      <c r="D27" s="99">
        <f>IFERROR(__xludf.DUMMYFUNCTION("""COMPUTED_VALUE"""),0.841)</f>
        <v>0.841</v>
      </c>
      <c r="E27" s="99" t="str">
        <f>IFERROR(__xludf.DUMMYFUNCTION("""COMPUTED_VALUE"""),"not OK")</f>
        <v>not OK</v>
      </c>
      <c r="F27" s="99" t="str">
        <f>IFERROR(__xludf.DUMMYFUNCTION("""COMPUTED_VALUE"""),"OK")</f>
        <v>OK</v>
      </c>
      <c r="G27" s="99"/>
      <c r="H27" s="99" t="str">
        <f>IFERROR(__xludf.DUMMYFUNCTION("""COMPUTED_VALUE"""),"x")</f>
        <v>x</v>
      </c>
      <c r="I27" s="99"/>
      <c r="J27" s="99"/>
      <c r="K27" s="99"/>
      <c r="L27" s="99" t="str">
        <f>IFERROR(__xludf.DUMMYFUNCTION("""COMPUTED_VALUE"""),"x")</f>
        <v>x</v>
      </c>
      <c r="M27" s="99"/>
      <c r="N27" s="99"/>
      <c r="O27" s="99"/>
    </row>
    <row r="28">
      <c r="A28" s="99">
        <f>IFERROR(__xludf.DUMMYFUNCTION("""COMPUTED_VALUE"""),71.0)</f>
        <v>71</v>
      </c>
      <c r="B28" s="99" t="str">
        <f>IFERROR(__xludf.DUMMYFUNCTION("""COMPUTED_VALUE"""),"bhajji has different names including : bhaji or bajji. bhajji is karnataka and uses gram flour. it is gram flour and vegetables and can be found in india.")</f>
        <v>bhajji has different names including : bhaji or bajji. bhajji is karnataka and uses gram flour. it is gram flour and vegetables and can be found in india.</v>
      </c>
      <c r="C28" s="99" t="str">
        <f>IFERROR(__xludf.DUMMYFUNCTION("""COMPUTED_VALUE"""),"Bhajji|country|India ++ Bhajji|region|Karnataka ++ Bhajji|mainIngredients|""Gram flour, vegetables"" ++ Bhajji|alternativeName|""Bhaji, bajji"" ++ Bhajji|ingredient|Gram_flour")</f>
        <v>Bhajji|country|India ++ Bhajji|region|Karnataka ++ Bhajji|mainIngredients|"Gram flour, vegetables" ++ Bhajji|alternativeName|"Bhaji, bajji" ++ Bhajji|ingredient|Gram_flour</v>
      </c>
      <c r="D28" s="99">
        <f>IFERROR(__xludf.DUMMYFUNCTION("""COMPUTED_VALUE"""),0.928)</f>
        <v>0.928</v>
      </c>
      <c r="E28" s="99" t="str">
        <f>IFERROR(__xludf.DUMMYFUNCTION("""COMPUTED_VALUE"""),"not OK")</f>
        <v>not OK</v>
      </c>
      <c r="F28" s="99" t="str">
        <f>IFERROR(__xludf.DUMMYFUNCTION("""COMPUTED_VALUE"""),"OK")</f>
        <v>OK</v>
      </c>
      <c r="G28" s="99"/>
      <c r="H28" s="99" t="str">
        <f>IFERROR(__xludf.DUMMYFUNCTION("""COMPUTED_VALUE"""),"x")</f>
        <v>x</v>
      </c>
      <c r="I28" s="99"/>
      <c r="J28" s="99"/>
      <c r="K28" s="99"/>
      <c r="L28" s="99" t="str">
        <f>IFERROR(__xludf.DUMMYFUNCTION("""COMPUTED_VALUE"""),"x")</f>
        <v>x</v>
      </c>
      <c r="M28" s="99"/>
      <c r="N28" s="99"/>
      <c r="O28" s="99"/>
    </row>
    <row r="29">
      <c r="A29" s="99">
        <f>IFERROR(__xludf.DUMMYFUNCTION("""COMPUTED_VALUE"""),88.0)</f>
        <v>88</v>
      </c>
      <c r="B29" s="99" t="str">
        <f>IFERROR(__xludf.DUMMYFUNCTION("""COMPUTED_VALUE"""),"al asad airbase is operated by the united states air force and fought in the invasion of grenada. the mcdonnell douglas f-15 eagle is an aircraft fighter in the united states air force.")</f>
        <v>al asad airbase is operated by the united states air force and fought in the invasion of grenada. the mcdonnell douglas f-15 eagle is an aircraft fighter in the united states air force.</v>
      </c>
      <c r="C29" s="99" t="str">
        <f>IFERROR(__xludf.DUMMYFUNCTION("""COMPUTED_VALUE"""),"Al_Asad_Airbase|operatingOrganisation|United_States_Air_Force ++ United_States_Air_Force|battles|Invasion_of_Grenada ++ United_States_Air_Force|aircraftFighter|McDonnell_Douglas_F-15_Eagle")</f>
        <v>Al_Asad_Airbase|operatingOrganisation|United_States_Air_Force ++ United_States_Air_Force|battles|Invasion_of_Grenada ++ United_States_Air_Force|aircraftFighter|McDonnell_Douglas_F-15_Eagle</v>
      </c>
      <c r="D29" s="99">
        <f>IFERROR(__xludf.DUMMYFUNCTION("""COMPUTED_VALUE"""),0.986)</f>
        <v>0.986</v>
      </c>
      <c r="E29" s="99" t="str">
        <f>IFERROR(__xludf.DUMMYFUNCTION("""COMPUTED_VALUE"""),"not OK")</f>
        <v>not OK</v>
      </c>
      <c r="F29" s="99" t="str">
        <f>IFERROR(__xludf.DUMMYFUNCTION("""COMPUTED_VALUE"""),"OK")</f>
        <v>OK</v>
      </c>
      <c r="G29" s="99"/>
      <c r="H29" s="99" t="str">
        <f>IFERROR(__xludf.DUMMYFUNCTION("""COMPUTED_VALUE"""),"x")</f>
        <v>x</v>
      </c>
      <c r="I29" s="99"/>
      <c r="J29" s="99"/>
      <c r="K29" s="99"/>
      <c r="L29" s="99" t="str">
        <f>IFERROR(__xludf.DUMMYFUNCTION("""COMPUTED_VALUE"""),"x")</f>
        <v>x</v>
      </c>
      <c r="M29" s="99"/>
      <c r="N29" s="99"/>
      <c r="O29" s="99"/>
    </row>
    <row r="30">
      <c r="A30" s="99">
        <f>IFERROR(__xludf.DUMMYFUNCTION("""COMPUTED_VALUE"""),37.0)</f>
        <v>37</v>
      </c>
      <c r="B30" s="99" t="str">
        <f>IFERROR(__xludf.DUMMYFUNCTION("""COMPUTED_VALUE"""),"adare manor is located in adare. adare manor is located in county limerick which is part of munster. county limerick is governed by the limerick city and county council.")</f>
        <v>adare manor is located in adare. adare manor is located in county limerick which is part of munster. county limerick is governed by the limerick city and county council.</v>
      </c>
      <c r="C30" s="99" t="str">
        <f>IFERROR(__xludf.DUMMYFUNCTION("""COMPUTED_VALUE"""),"Adare_Manor|location|Adare ++ County_Limerick|isPartOf|Munster ++ Adare_Manor|location|County_Limerick ++ County_Limerick|governmentType|Limerick_City_and_County_Council")</f>
        <v>Adare_Manor|location|Adare ++ County_Limerick|isPartOf|Munster ++ Adare_Manor|location|County_Limerick ++ County_Limerick|governmentType|Limerick_City_and_County_Council</v>
      </c>
      <c r="D30" s="99">
        <f>IFERROR(__xludf.DUMMYFUNCTION("""COMPUTED_VALUE"""),0.276)</f>
        <v>0.276</v>
      </c>
      <c r="E30" s="99" t="str">
        <f>IFERROR(__xludf.DUMMYFUNCTION("""COMPUTED_VALUE"""),"OK")</f>
        <v>OK</v>
      </c>
      <c r="F30" s="99" t="str">
        <f>IFERROR(__xludf.DUMMYFUNCTION("""COMPUTED_VALUE"""),"omission")</f>
        <v>omission</v>
      </c>
      <c r="G30" s="99" t="str">
        <f>IFERROR(__xludf.DUMMYFUNCTION("""COMPUTED_VALUE"""),"x")</f>
        <v>x</v>
      </c>
      <c r="H30" s="99"/>
      <c r="I30" s="99"/>
      <c r="J30" s="99" t="str">
        <f>IFERROR(__xludf.DUMMYFUNCTION("""COMPUTED_VALUE"""),"x")</f>
        <v>x</v>
      </c>
      <c r="K30" s="99"/>
      <c r="L30" s="99"/>
      <c r="M30" s="99"/>
      <c r="N30" s="99"/>
      <c r="O30" s="99"/>
    </row>
    <row r="31">
      <c r="A31" s="99">
        <f>IFERROR(__xludf.DUMMYFUNCTION("""COMPUTED_VALUE"""),2.0)</f>
        <v>2</v>
      </c>
      <c r="B31" s="99" t="str">
        <f>IFERROR(__xludf.DUMMYFUNCTION("""COMPUTED_VALUE"""),"the awh engineering college is located in kuttikkattoor, kerala. it was established in 2001 and it has 250 academic staff. kerala has mahe, country to its northwest.")</f>
        <v>the awh engineering college is located in kuttikkattoor, kerala. it was established in 2001 and it has 250 academic staff. kerala has mahe, country to its northwest.</v>
      </c>
      <c r="C31" s="99" t="str">
        <f>IFERROR(__xludf.DUMMYFUNCTION("""COMPUTED_VALUE"""),"AWH_Engineering_College|established|2001 ++ AWH_Engineering_College|academicStaffSize|250 ++ AWH_Engineering_College|state|Kerala ++ Kerala|has to its northwest|Mahé,_India ++ AWH_Engineering_College|city|""Kuttikkattoor""")</f>
        <v>AWH_Engineering_College|established|2001 ++ AWH_Engineering_College|academicStaffSize|250 ++ AWH_Engineering_College|state|Kerala ++ Kerala|has to its northwest|Mahé,_India ++ AWH_Engineering_College|city|"Kuttikkattoor"</v>
      </c>
      <c r="D31" s="99">
        <f>IFERROR(__xludf.DUMMYFUNCTION("""COMPUTED_VALUE"""),0.838)</f>
        <v>0.838</v>
      </c>
      <c r="E31" s="99" t="str">
        <f>IFERROR(__xludf.DUMMYFUNCTION("""COMPUTED_VALUE"""),"not OK")</f>
        <v>not OK</v>
      </c>
      <c r="F31" s="99" t="str">
        <f>IFERROR(__xludf.DUMMYFUNCTION("""COMPUTED_VALUE"""),"OK")</f>
        <v>OK</v>
      </c>
      <c r="G31" s="99"/>
      <c r="H31" s="99" t="str">
        <f>IFERROR(__xludf.DUMMYFUNCTION("""COMPUTED_VALUE"""),"x")</f>
        <v>x</v>
      </c>
      <c r="I31" s="99"/>
      <c r="J31" s="99"/>
      <c r="K31" s="99"/>
      <c r="L31" s="99" t="str">
        <f>IFERROR(__xludf.DUMMYFUNCTION("""COMPUTED_VALUE"""),"x")</f>
        <v>x</v>
      </c>
      <c r="M31" s="99"/>
      <c r="N31" s="99"/>
      <c r="O31" s="99"/>
    </row>
    <row r="32">
      <c r="A32" s="99">
        <f>IFERROR(__xludf.DUMMYFUNCTION("""COMPUTED_VALUE"""),98.0)</f>
        <v>98</v>
      </c>
      <c r="B32" s="99" t="str">
        <f>IFERROR(__xludf.DUMMYFUNCTION("""COMPUTED_VALUE""")," a severed wasp ' originates from united states, where the language is english. english is spoken in great britain. washington dc is the capital of it. native americans live in here.")</f>
        <v> a severed wasp ' originates from united states, where the language is english. english is spoken in great britain. washington dc is the capital of it. native americans live in here.</v>
      </c>
      <c r="C32" s="99" t="str">
        <f>IFERROR(__xludf.DUMMYFUNCTION("""COMPUTED_VALUE"""),"English_language|spokenIn|Great_Britain ++ United_States|language|English_language ++ United_States|capital|Washington,_D.C. ++ A_Severed_Wasp|country|United_States ++ United_States|ethnicGroup|Native_Americans_in_the_United_States")</f>
        <v>English_language|spokenIn|Great_Britain ++ United_States|language|English_language ++ United_States|capital|Washington,_D.C. ++ A_Severed_Wasp|country|United_States ++ United_States|ethnicGroup|Native_Americans_in_the_United_States</v>
      </c>
      <c r="D32" s="99">
        <f>IFERROR(__xludf.DUMMYFUNCTION("""COMPUTED_VALUE"""),0.481)</f>
        <v>0.481</v>
      </c>
      <c r="E32" s="99" t="str">
        <f>IFERROR(__xludf.DUMMYFUNCTION("""COMPUTED_VALUE"""),"OK")</f>
        <v>OK</v>
      </c>
      <c r="F32" s="99" t="str">
        <f>IFERROR(__xludf.DUMMYFUNCTION("""COMPUTED_VALUE"""),"omission")</f>
        <v>omission</v>
      </c>
      <c r="G32" s="99"/>
      <c r="H32" s="99"/>
      <c r="I32" s="99" t="str">
        <f>IFERROR(__xludf.DUMMYFUNCTION("""COMPUTED_VALUE"""),"x")</f>
        <v>x</v>
      </c>
      <c r="J32" s="99"/>
      <c r="K32" s="99"/>
      <c r="L32" s="99" t="str">
        <f>IFERROR(__xludf.DUMMYFUNCTION("""COMPUTED_VALUE"""),"x")</f>
        <v>x</v>
      </c>
      <c r="M32" s="99" t="str">
        <f>IFERROR(__xludf.DUMMYFUNCTION("""COMPUTED_VALUE"""),"x")</f>
        <v>x</v>
      </c>
      <c r="N32" s="99"/>
      <c r="O32" s="99" t="str">
        <f>IFERROR(__xludf.DUMMYFUNCTION("""COMPUTED_VALUE"""),"SED is closer, but should be hallucination+omission -- by incorrect pronoun use, the text implies that Washington DC is the capital of Britain &amp; Native Americans live in Britain")</f>
        <v>SED is closer, but should be hallucination+omission -- by incorrect pronoun use, the text implies that Washington DC is the capital of Britain &amp; Native Americans live in Britain</v>
      </c>
    </row>
    <row r="33">
      <c r="A33" s="99">
        <f>IFERROR(__xludf.DUMMYFUNCTION("""COMPUTED_VALUE"""),25.0)</f>
        <v>25</v>
      </c>
      <c r="B33" s="99" t="str">
        <f>IFERROR(__xludf.DUMMYFUNCTION("""COMPUTED_VALUE"""),"binignit is a type of dessert with the ingredient sago , a cookie is also a dessert .")</f>
        <v>binignit is a type of dessert with the ingredient sago , a cookie is also a dessert .</v>
      </c>
      <c r="C33" s="99" t="str">
        <f>IFERROR(__xludf.DUMMYFUNCTION("""COMPUTED_VALUE"""),"Binignit|ingredient|Sago ++ Binignit|course|Dessert ++ Dessert|dishVariation|Cookie")</f>
        <v>Binignit|ingredient|Sago ++ Binignit|course|Dessert ++ Dessert|dishVariation|Cookie</v>
      </c>
      <c r="D33" s="99">
        <f>IFERROR(__xludf.DUMMYFUNCTION("""COMPUTED_VALUE"""),0.114)</f>
        <v>0.114</v>
      </c>
      <c r="E33" s="99" t="str">
        <f>IFERROR(__xludf.DUMMYFUNCTION("""COMPUTED_VALUE"""),"OK")</f>
        <v>OK</v>
      </c>
      <c r="F33" s="99" t="str">
        <f>IFERROR(__xludf.DUMMYFUNCTION("""COMPUTED_VALUE"""),"omission")</f>
        <v>omission</v>
      </c>
      <c r="G33" s="99" t="str">
        <f>IFERROR(__xludf.DUMMYFUNCTION("""COMPUTED_VALUE"""),"x")</f>
        <v>x</v>
      </c>
      <c r="H33" s="99"/>
      <c r="I33" s="99"/>
      <c r="J33" s="99" t="str">
        <f>IFERROR(__xludf.DUMMYFUNCTION("""COMPUTED_VALUE"""),"x")</f>
        <v>x</v>
      </c>
      <c r="K33" s="99"/>
      <c r="L33" s="99"/>
      <c r="M33" s="99"/>
      <c r="N33" s="99"/>
      <c r="O33" s="99"/>
    </row>
    <row r="34">
      <c r="A34" s="99">
        <f>IFERROR(__xludf.DUMMYFUNCTION("""COMPUTED_VALUE"""),45.0)</f>
        <v>45</v>
      </c>
      <c r="B34" s="99" t="str">
        <f>IFERROR(__xludf.DUMMYFUNCTION("""COMPUTED_VALUE"""),"school of business and social sciences at the aarhus university is located in the city of aarhus. school of business and social sciences at the aarhus university in denmark school of business and social sciences at the aarhus university was established in"&amp;" 1928.")</f>
        <v>school of business and social sciences at the aarhus university is located in the city of aarhus. school of business and social sciences at the aarhus university in denmark school of business and social sciences at the aarhus university was established in 1928.</v>
      </c>
      <c r="C34" s="99" t="str">
        <f>IFERROR(__xludf.DUMMYFUNCTION("""COMPUTED_VALUE"""),"School of Business and Social Sciences at the Aarhus University|city|Aarhus ++ School of Business and Social Sciences at the Aarhus University|country|Denmark ++ School of Business and Social Sciences at the Aarhus University|established|1928")</f>
        <v>School of Business and Social Sciences at the Aarhus University|city|Aarhus ++ School of Business and Social Sciences at the Aarhus University|country|Denmark ++ School of Business and Social Sciences at the Aarhus University|established|1928</v>
      </c>
      <c r="D34" s="99">
        <f>IFERROR(__xludf.DUMMYFUNCTION("""COMPUTED_VALUE"""),0.934)</f>
        <v>0.934</v>
      </c>
      <c r="E34" s="99" t="str">
        <f>IFERROR(__xludf.DUMMYFUNCTION("""COMPUTED_VALUE"""),"not OK")</f>
        <v>not OK</v>
      </c>
      <c r="F34" s="99" t="str">
        <f>IFERROR(__xludf.DUMMYFUNCTION("""COMPUTED_VALUE"""),"OK")</f>
        <v>OK</v>
      </c>
      <c r="G34" s="99"/>
      <c r="H34" s="99" t="str">
        <f>IFERROR(__xludf.DUMMYFUNCTION("""COMPUTED_VALUE"""),"x")</f>
        <v>x</v>
      </c>
      <c r="I34" s="99"/>
      <c r="J34" s="99"/>
      <c r="K34" s="99"/>
      <c r="L34" s="99" t="str">
        <f>IFERROR(__xludf.DUMMYFUNCTION("""COMPUTED_VALUE"""),"x")</f>
        <v>x</v>
      </c>
      <c r="M34" s="99"/>
      <c r="N34" s="99"/>
      <c r="O34" s="99"/>
    </row>
    <row r="35">
      <c r="A35" s="99">
        <f>IFERROR(__xludf.DUMMYFUNCTION("""COMPUTED_VALUE"""),6.0)</f>
        <v>6</v>
      </c>
      <c r="B35" s="99" t="str">
        <f>IFERROR(__xludf.DUMMYFUNCTION("""COMPUTED_VALUE"""),"baku is the capital of azerbaijan where the leader is artur rasizade and the capital is baku. the baku turkish martyrs ' memorial is located in azerbaijan.")</f>
        <v>baku is the capital of azerbaijan where the leader is artur rasizade and the capital is baku. the baku turkish martyrs ' memorial is located in azerbaijan.</v>
      </c>
      <c r="C35" s="99" t="str">
        <f>IFERROR(__xludf.DUMMYFUNCTION("""COMPUTED_VALUE"""),"Azerbaijan|capital|Baku ++ Azerbaijan|leaderTitle|Prime_Minister_of_Azerbaijan ++ Baku_Turkish_Martyrs'_Memorial|location|Azerbaijan ++ Azerbaijan|leaderName|Artur_Rasizade")</f>
        <v>Azerbaijan|capital|Baku ++ Azerbaijan|leaderTitle|Prime_Minister_of_Azerbaijan ++ Baku_Turkish_Martyrs'_Memorial|location|Azerbaijan ++ Azerbaijan|leaderName|Artur_Rasizade</v>
      </c>
      <c r="D35" s="99">
        <f>IFERROR(__xludf.DUMMYFUNCTION("""COMPUTED_VALUE"""),0.125)</f>
        <v>0.125</v>
      </c>
      <c r="E35" s="99" t="str">
        <f>IFERROR(__xludf.DUMMYFUNCTION("""COMPUTED_VALUE"""),"OK")</f>
        <v>OK</v>
      </c>
      <c r="F35" s="99" t="str">
        <f>IFERROR(__xludf.DUMMYFUNCTION("""COMPUTED_VALUE"""),"omission")</f>
        <v>omission</v>
      </c>
      <c r="G35" s="99"/>
      <c r="H35" s="99" t="str">
        <f>IFERROR(__xludf.DUMMYFUNCTION("""COMPUTED_VALUE"""),"x")</f>
        <v>x</v>
      </c>
      <c r="I35" s="99"/>
      <c r="J35" s="99"/>
      <c r="K35" s="99"/>
      <c r="L35" s="99"/>
      <c r="M35" s="99" t="str">
        <f>IFERROR(__xludf.DUMMYFUNCTION("""COMPUTED_VALUE"""),"x")</f>
        <v>x</v>
      </c>
      <c r="N35" s="99"/>
      <c r="O35" s="99"/>
    </row>
    <row r="36">
      <c r="A36" s="99">
        <f>IFERROR(__xludf.DUMMYFUNCTION("""COMPUTED_VALUE"""),79.0)</f>
        <v>79</v>
      </c>
      <c r="B36" s="99" t="str">
        <f>IFERROR(__xludf.DUMMYFUNCTION("""COMPUTED_VALUE"""),"auburn is part of pierce county, washington. auburn, washington is in united states auburn is part of king county, washington. auburn, washington has a population density of 914.8 inhabitants per square kilometre. auburn, washington has a total area of 77"&amp;".41 (square kilometres)")</f>
        <v>auburn is part of pierce county, washington. auburn, washington is in united states auburn is part of king county, washington. auburn, washington has a population density of 914.8 inhabitants per square kilometre. auburn, washington has a total area of 77.41 (square kilometres)</v>
      </c>
      <c r="C36" s="99" t="str">
        <f>IFERROR(__xludf.DUMMYFUNCTION("""COMPUTED_VALUE"""),"Auburn,_Washington|isPartOf|Pierce_County,_Washington ++ Auburn,_Washington|country|United_States ++ Auburn,_Washington|isPartOf|King_County,_Washington ++ Auburn,_Washington|populationDensity|914.8 (inhabitants per square kilometre) ++ Auburn,_Washington"&amp;"|areaTotal|77.41 (square kilometres)")</f>
        <v>Auburn,_Washington|isPartOf|Pierce_County,_Washington ++ Auburn,_Washington|country|United_States ++ Auburn,_Washington|isPartOf|King_County,_Washington ++ Auburn,_Washington|populationDensity|914.8 (inhabitants per square kilometre) ++ Auburn,_Washington|areaTotal|77.41 (square kilometres)</v>
      </c>
      <c r="D36" s="99">
        <f>IFERROR(__xludf.DUMMYFUNCTION("""COMPUTED_VALUE"""),0.425)</f>
        <v>0.425</v>
      </c>
      <c r="E36" s="99" t="str">
        <f>IFERROR(__xludf.DUMMYFUNCTION("""COMPUTED_VALUE"""),"OK")</f>
        <v>OK</v>
      </c>
      <c r="F36" s="99" t="str">
        <f>IFERROR(__xludf.DUMMYFUNCTION("""COMPUTED_VALUE"""),"omission")</f>
        <v>omission</v>
      </c>
      <c r="G36" s="99" t="str">
        <f>IFERROR(__xludf.DUMMYFUNCTION("""COMPUTED_VALUE"""),"x")</f>
        <v>x</v>
      </c>
      <c r="H36" s="99"/>
      <c r="I36" s="99"/>
      <c r="J36" s="99" t="str">
        <f>IFERROR(__xludf.DUMMYFUNCTION("""COMPUTED_VALUE"""),"x")</f>
        <v>x</v>
      </c>
      <c r="K36" s="99"/>
      <c r="L36" s="99"/>
      <c r="M36" s="99"/>
      <c r="N36" s="99"/>
      <c r="O36" s="99"/>
    </row>
    <row r="37">
      <c r="A37" s="99">
        <f>IFERROR(__xludf.DUMMYFUNCTION("""COMPUTED_VALUE"""),5.0)</f>
        <v>5</v>
      </c>
      <c r="B37" s="99" t="str">
        <f>IFERROR(__xludf.DUMMYFUNCTION("""COMPUTED_VALUE"""),"the leader of azerbaijan is called the prime minister.")</f>
        <v>the leader of azerbaijan is called the prime minister.</v>
      </c>
      <c r="C37" s="99" t="str">
        <f>IFERROR(__xludf.DUMMYFUNCTION("""COMPUTED_VALUE"""),"Azerbaijan|leaderTitle|Prime_Minister_of_Azerbaijan")</f>
        <v>Azerbaijan|leaderTitle|Prime_Minister_of_Azerbaijan</v>
      </c>
      <c r="D37" s="99">
        <f>IFERROR(__xludf.DUMMYFUNCTION("""COMPUTED_VALUE"""),0.973)</f>
        <v>0.973</v>
      </c>
      <c r="E37" s="99" t="str">
        <f>IFERROR(__xludf.DUMMYFUNCTION("""COMPUTED_VALUE"""),"not OK")</f>
        <v>not OK</v>
      </c>
      <c r="F37" s="99" t="str">
        <f>IFERROR(__xludf.DUMMYFUNCTION("""COMPUTED_VALUE"""),"OK")</f>
        <v>OK</v>
      </c>
      <c r="G37" s="99"/>
      <c r="H37" s="99" t="str">
        <f>IFERROR(__xludf.DUMMYFUNCTION("""COMPUTED_VALUE"""),"x")</f>
        <v>x</v>
      </c>
      <c r="I37" s="99"/>
      <c r="J37" s="99"/>
      <c r="K37" s="99"/>
      <c r="L37" s="99"/>
      <c r="M37" s="99"/>
      <c r="N37" s="99" t="str">
        <f>IFERROR(__xludf.DUMMYFUNCTION("""COMPUTED_VALUE"""),"x")</f>
        <v>x</v>
      </c>
      <c r="O37" s="99"/>
    </row>
    <row r="38">
      <c r="A38" s="99">
        <f>IFERROR(__xludf.DUMMYFUNCTION("""COMPUTED_VALUE"""),81.0)</f>
        <v>81</v>
      </c>
      <c r="B38" s="99" t="str">
        <f>IFERROR(__xludf.DUMMYFUNCTION("""COMPUTED_VALUE"""),". the ingredients include kway teow, beef tender loin, gula melaka, sliced, dried black beans, garlic, dark soy sauce, lengkuas, oyster sauce, soya sauce, chilli and sesame oil beef kway teow is made in singapore and indonesia.")</f>
        <v>. the ingredients include kway teow, beef tender loin, gula melaka, sliced, dried black beans, garlic, dark soy sauce, lengkuas, oyster sauce, soya sauce, chilli and sesame oil beef kway teow is made in singapore and indonesia.</v>
      </c>
      <c r="C38" s="99" t="str">
        <f>IFERROR(__xludf.DUMMYFUNCTION("""COMPUTED_VALUE"""),"Beef_kway_teow|mainIngredients|""Kway teow, beef tender loin, gula Melaka, sliced, dried black beans, garlic, dark soy sauce, lengkuas, oyster sauce, soya sauce, chilli and sesame oil"" ++ Beef_kway_teow|country|""Singapore and Indonesia""")</f>
        <v>Beef_kway_teow|mainIngredients|"Kway teow, beef tender loin, gula Melaka, sliced, dried black beans, garlic, dark soy sauce, lengkuas, oyster sauce, soya sauce, chilli and sesame oil" ++ Beef_kway_teow|country|"Singapore and Indonesia"</v>
      </c>
      <c r="D38" s="99">
        <f>IFERROR(__xludf.DUMMYFUNCTION("""COMPUTED_VALUE"""),0.915)</f>
        <v>0.915</v>
      </c>
      <c r="E38" s="99" t="str">
        <f>IFERROR(__xludf.DUMMYFUNCTION("""COMPUTED_VALUE"""),"not OK")</f>
        <v>not OK</v>
      </c>
      <c r="F38" s="99" t="str">
        <f>IFERROR(__xludf.DUMMYFUNCTION("""COMPUTED_VALUE"""),"OK")</f>
        <v>OK</v>
      </c>
      <c r="G38" s="99"/>
      <c r="H38" s="99" t="str">
        <f>IFERROR(__xludf.DUMMYFUNCTION("""COMPUTED_VALUE"""),"x")</f>
        <v>x</v>
      </c>
      <c r="I38" s="99"/>
      <c r="J38" s="99"/>
      <c r="K38" s="99"/>
      <c r="L38" s="99" t="str">
        <f>IFERROR(__xludf.DUMMYFUNCTION("""COMPUTED_VALUE"""),"x")</f>
        <v>x</v>
      </c>
      <c r="M38" s="99"/>
      <c r="N38" s="99"/>
      <c r="O38" s="99"/>
    </row>
    <row r="39">
      <c r="A39" s="99">
        <f>IFERROR(__xludf.DUMMYFUNCTION("""COMPUTED_VALUE"""),76.0)</f>
        <v>76</v>
      </c>
      <c r="B39" s="99" t="str">
        <f>IFERROR(__xludf.DUMMYFUNCTION("""COMPUTED_VALUE"""),"john van den brom has been manager of az alkmaar and is part of the club netherlands national football team club. he is also attached to the club netherlands national football team.")</f>
        <v>john van den brom has been manager of az alkmaar and is part of the club netherlands national football team club. he is also attached to the club netherlands national football team.</v>
      </c>
      <c r="C39" s="99" t="str">
        <f>IFERROR(__xludf.DUMMYFUNCTION("""COMPUTED_VALUE"""),"AZ_Alkmaar|manager|John_van_den_Brom ++ John_van_den_Brom|club|Vitesse_Arnhem ++ John_van_den_Brom|club|AFC_Ajax ++ John_van_den_Brom|club|Netherlands_national_football_team")</f>
        <v>AZ_Alkmaar|manager|John_van_den_Brom ++ John_van_den_Brom|club|Vitesse_Arnhem ++ John_van_den_Brom|club|AFC_Ajax ++ John_van_den_Brom|club|Netherlands_national_football_team</v>
      </c>
      <c r="D39" s="99">
        <f>IFERROR(__xludf.DUMMYFUNCTION("""COMPUTED_VALUE"""),0.006)</f>
        <v>0.006</v>
      </c>
      <c r="E39" s="99" t="str">
        <f>IFERROR(__xludf.DUMMYFUNCTION("""COMPUTED_VALUE"""),"OK")</f>
        <v>OK</v>
      </c>
      <c r="F39" s="99" t="str">
        <f>IFERROR(__xludf.DUMMYFUNCTION("""COMPUTED_VALUE"""),"omission")</f>
        <v>omission</v>
      </c>
      <c r="G39" s="99"/>
      <c r="H39" s="99" t="str">
        <f>IFERROR(__xludf.DUMMYFUNCTION("""COMPUTED_VALUE"""),"x")</f>
        <v>x</v>
      </c>
      <c r="I39" s="99"/>
      <c r="J39" s="99"/>
      <c r="K39" s="99"/>
      <c r="L39" s="99"/>
      <c r="M39" s="99" t="str">
        <f>IFERROR(__xludf.DUMMYFUNCTION("""COMPUTED_VALUE"""),"x")</f>
        <v>x</v>
      </c>
      <c r="N39" s="99"/>
      <c r="O39" s="99"/>
    </row>
    <row r="40">
      <c r="A40" s="99">
        <f>IFERROR(__xludf.DUMMYFUNCTION("""COMPUTED_VALUE"""),21.0)</f>
        <v>21</v>
      </c>
      <c r="B40" s="99" t="str">
        <f>IFERROR(__xludf.DUMMYFUNCTION("""COMPUTED_VALUE"""),"110 lydia, the orbital period of which is 1.42603e+08, was last seen in december 31 (2006 (jd2454100.5)).")</f>
        <v>110 lydia, the orbital period of which is 1.42603e+08, was last seen in december 31 (2006 (jd2454100.5)).</v>
      </c>
      <c r="C40" s="99" t="str">
        <f>IFERROR(__xludf.DUMMYFUNCTION("""COMPUTED_VALUE"""),"110_Lydia|epoch|2006-12-31 ++ 110_Lydia|orbitalPeriod|142603000.0")</f>
        <v>110_Lydia|epoch|2006-12-31 ++ 110_Lydia|orbitalPeriod|142603000.0</v>
      </c>
      <c r="D40" s="99">
        <f>IFERROR(__xludf.DUMMYFUNCTION("""COMPUTED_VALUE"""),0.004)</f>
        <v>0.004</v>
      </c>
      <c r="E40" s="99" t="str">
        <f>IFERROR(__xludf.DUMMYFUNCTION("""COMPUTED_VALUE"""),"OK")</f>
        <v>OK</v>
      </c>
      <c r="F40" s="99" t="str">
        <f>IFERROR(__xludf.DUMMYFUNCTION("""COMPUTED_VALUE"""),"hallucination+omission")</f>
        <v>hallucination+omission</v>
      </c>
      <c r="G40" s="99"/>
      <c r="H40" s="99" t="str">
        <f>IFERROR(__xludf.DUMMYFUNCTION("""COMPUTED_VALUE"""),"x")</f>
        <v>x</v>
      </c>
      <c r="I40" s="99"/>
      <c r="J40" s="99"/>
      <c r="K40" s="99"/>
      <c r="L40" s="99"/>
      <c r="M40" s="99" t="str">
        <f>IFERROR(__xludf.DUMMYFUNCTION("""COMPUTED_VALUE"""),"x")</f>
        <v>x</v>
      </c>
      <c r="N40" s="99"/>
      <c r="O40" s="99"/>
    </row>
    <row r="41">
      <c r="A41" s="99">
        <f>IFERROR(__xludf.DUMMYFUNCTION("""COMPUTED_VALUE"""),33.0)</f>
        <v>33</v>
      </c>
      <c r="B41" s="99" t="str">
        <f>IFERROR(__xludf.DUMMYFUNCTION("""COMPUTED_VALUE"""),"alessio romagnoli, who plays for defender (association football), plays for a.c. milan and → sampdoria. a.c. milan, the manager of which is siniša mihajlović, plays in serie a.")</f>
        <v>alessio romagnoli, who plays for defender (association football), plays for a.c. milan and → sampdoria. a.c. milan, the manager of which is siniša mihajlović, plays in serie a.</v>
      </c>
      <c r="C41" s="99" t="str">
        <f>IFERROR(__xludf.DUMMYFUNCTION("""COMPUTED_VALUE"""),"Alessio_Romagnoli|club|A.C._Milan ++ A.C._Milan|league|Serie_A ++ A.C._Milan|manager|Siniša_Mihajlović ++ Alessio_Romagnoli|position|Defender_(football) ++ Alessio_Romagnoli|club|U.C._Sampdoria")</f>
        <v>Alessio_Romagnoli|club|A.C._Milan ++ A.C._Milan|league|Serie_A ++ A.C._Milan|manager|Siniša_Mihajlović ++ Alessio_Romagnoli|position|Defender_(football) ++ Alessio_Romagnoli|club|U.C._Sampdoria</v>
      </c>
      <c r="D41" s="99">
        <f>IFERROR(__xludf.DUMMYFUNCTION("""COMPUTED_VALUE"""),0.047)</f>
        <v>0.047</v>
      </c>
      <c r="E41" s="99" t="str">
        <f>IFERROR(__xludf.DUMMYFUNCTION("""COMPUTED_VALUE"""),"OK")</f>
        <v>OK</v>
      </c>
      <c r="F41" s="99" t="str">
        <f>IFERROR(__xludf.DUMMYFUNCTION("""COMPUTED_VALUE"""),"omission")</f>
        <v>omission</v>
      </c>
      <c r="G41" s="99"/>
      <c r="H41" s="99"/>
      <c r="I41" s="99" t="str">
        <f>IFERROR(__xludf.DUMMYFUNCTION("""COMPUTED_VALUE"""),"x")</f>
        <v>x</v>
      </c>
      <c r="J41" s="99"/>
      <c r="K41" s="99"/>
      <c r="L41" s="99"/>
      <c r="M41" s="99"/>
      <c r="N41" s="99"/>
      <c r="O41" s="99" t="str">
        <f>IFERROR(__xludf.DUMMYFUNCTION("""COMPUTED_VALUE"""),"edge case: ""U.C. Sampdoria"" is mangled")</f>
        <v>edge case: "U.C. Sampdoria" is mangled</v>
      </c>
    </row>
    <row r="42">
      <c r="A42" s="99">
        <f>IFERROR(__xludf.DUMMYFUNCTION("""COMPUTED_VALUE"""),59.0)</f>
        <v>59</v>
      </c>
      <c r="B42" s="99" t="str">
        <f>IFERROR(__xludf.DUMMYFUNCTION("""COMPUTED_VALUE"""),"dublin is part of republic of ireland and 3arena.")</f>
        <v>dublin is part of republic of ireland and 3arena.</v>
      </c>
      <c r="C42" s="99" t="str">
        <f>IFERROR(__xludf.DUMMYFUNCTION("""COMPUTED_VALUE"""),"Dublin|isPartOf|Republic_of_Ireland ++ 3Arena|location|Dublin")</f>
        <v>Dublin|isPartOf|Republic_of_Ireland ++ 3Arena|location|Dublin</v>
      </c>
      <c r="D42" s="99">
        <f>IFERROR(__xludf.DUMMYFUNCTION("""COMPUTED_VALUE"""),0.946)</f>
        <v>0.946</v>
      </c>
      <c r="E42" s="99" t="str">
        <f>IFERROR(__xludf.DUMMYFUNCTION("""COMPUTED_VALUE"""),"not OK")</f>
        <v>not OK</v>
      </c>
      <c r="F42" s="99" t="str">
        <f>IFERROR(__xludf.DUMMYFUNCTION("""COMPUTED_VALUE"""),"OK")</f>
        <v>OK</v>
      </c>
      <c r="G42" s="99" t="str">
        <f>IFERROR(__xludf.DUMMYFUNCTION("""COMPUTED_VALUE"""),"x")</f>
        <v>x</v>
      </c>
      <c r="H42" s="99"/>
      <c r="I42" s="99"/>
      <c r="J42" s="99"/>
      <c r="K42" s="99"/>
      <c r="L42" s="99"/>
      <c r="M42" s="99" t="str">
        <f>IFERROR(__xludf.DUMMYFUNCTION("""COMPUTED_VALUE"""),"x")</f>
        <v>x</v>
      </c>
      <c r="N42" s="99"/>
      <c r="O42" s="99"/>
    </row>
    <row r="43">
      <c r="A43" s="99">
        <f>IFERROR(__xludf.DUMMYFUNCTION("""COMPUTED_VALUE"""),42.0)</f>
        <v>42</v>
      </c>
      <c r="B43" s="99" t="str">
        <f>IFERROR(__xludf.DUMMYFUNCTION("""COMPUTED_VALUE"""),"3arena in dublin dublin is part of the republic of ireland.")</f>
        <v>3arena in dublin dublin is part of the republic of ireland.</v>
      </c>
      <c r="C43" s="99" t="str">
        <f>IFERROR(__xludf.DUMMYFUNCTION("""COMPUTED_VALUE"""),"Dublin|isPartOf|Republic_of_Ireland ++ 3Arena|location|Dublin")</f>
        <v>Dublin|isPartOf|Republic_of_Ireland ++ 3Arena|location|Dublin</v>
      </c>
      <c r="D43" s="99">
        <f>IFERROR(__xludf.DUMMYFUNCTION("""COMPUTED_VALUE"""),0.97)</f>
        <v>0.97</v>
      </c>
      <c r="E43" s="99" t="str">
        <f>IFERROR(__xludf.DUMMYFUNCTION("""COMPUTED_VALUE"""),"not OK")</f>
        <v>not OK</v>
      </c>
      <c r="F43" s="99" t="str">
        <f>IFERROR(__xludf.DUMMYFUNCTION("""COMPUTED_VALUE"""),"OK")</f>
        <v>OK</v>
      </c>
      <c r="G43" s="99"/>
      <c r="H43" s="99" t="str">
        <f>IFERROR(__xludf.DUMMYFUNCTION("""COMPUTED_VALUE"""),"x")</f>
        <v>x</v>
      </c>
      <c r="I43" s="99"/>
      <c r="J43" s="99"/>
      <c r="K43" s="99"/>
      <c r="L43" s="99" t="str">
        <f>IFERROR(__xludf.DUMMYFUNCTION("""COMPUTED_VALUE"""),"x")</f>
        <v>x</v>
      </c>
      <c r="M43" s="99"/>
      <c r="N43" s="99"/>
      <c r="O43" s="99"/>
    </row>
    <row r="44">
      <c r="A44" s="99">
        <f>IFERROR(__xludf.DUMMYFUNCTION("""COMPUTED_VALUE"""),38.0)</f>
        <v>38</v>
      </c>
      <c r="B44" s="99" t="str">
        <f>IFERROR(__xludf.DUMMYFUNCTION("""COMPUTED_VALUE"""),"the baku turkish martyrs ' memorial , known locally as turk sehitleri aniti , is located in baku , the capital city of azerbaijan .")</f>
        <v>the baku turkish martyrs ' memorial , known locally as turk sehitleri aniti , is located in baku , the capital city of azerbaijan .</v>
      </c>
      <c r="C44" s="99" t="str">
        <f>IFERROR(__xludf.DUMMYFUNCTION("""COMPUTED_VALUE"""),"Azerbaijan|capital|Baku ++ Baku_Turkish_Martyrs'_Memorial|location|Azerbaijan ++ Baku_Turkish_Martyrs'_Memorial|nativeName|""Türk Şehitleri Anıtı""")</f>
        <v>Azerbaijan|capital|Baku ++ Baku_Turkish_Martyrs'_Memorial|location|Azerbaijan ++ Baku_Turkish_Martyrs'_Memorial|nativeName|"Türk Şehitleri Anıtı"</v>
      </c>
      <c r="D44" s="99">
        <f>IFERROR(__xludf.DUMMYFUNCTION("""COMPUTED_VALUE"""),0.456)</f>
        <v>0.456</v>
      </c>
      <c r="E44" s="99" t="str">
        <f>IFERROR(__xludf.DUMMYFUNCTION("""COMPUTED_VALUE"""),"OK")</f>
        <v>OK</v>
      </c>
      <c r="F44" s="99" t="str">
        <f>IFERROR(__xludf.DUMMYFUNCTION("""COMPUTED_VALUE"""),"omission")</f>
        <v>omission</v>
      </c>
      <c r="G44" s="99"/>
      <c r="H44" s="99"/>
      <c r="I44" s="99" t="str">
        <f>IFERROR(__xludf.DUMMYFUNCTION("""COMPUTED_VALUE"""),"x")</f>
        <v>x</v>
      </c>
      <c r="J44" s="99"/>
      <c r="K44" s="99"/>
      <c r="L44" s="99"/>
      <c r="M44" s="99"/>
      <c r="N44" s="99"/>
      <c r="O44" s="99" t="str">
        <f>IFERROR(__xludf.DUMMYFUNCTION("""COMPUTED_VALUE"""),"should be hallucination: MR does not specify the Memorial is in Baku")</f>
        <v>should be hallucination: MR does not specify the Memorial is in Baku</v>
      </c>
    </row>
    <row r="45">
      <c r="A45" s="99">
        <f>IFERROR(__xludf.DUMMYFUNCTION("""COMPUTED_VALUE"""),57.0)</f>
        <v>57</v>
      </c>
      <c r="B45" s="99" t="str">
        <f>IFERROR(__xludf.DUMMYFUNCTION("""COMPUTED_VALUE"""),"the chair of (29075) 1950 da is carl a. wirtanen.")</f>
        <v>the chair of (29075) 1950 da is carl a. wirtanen.</v>
      </c>
      <c r="C45" s="99" t="str">
        <f>IFERROR(__xludf.DUMMYFUNCTION("""COMPUTED_VALUE"""),"(29075)_1950_DA|discoverer|Carl_A._Wirtanen")</f>
        <v>(29075)_1950_DA|discoverer|Carl_A._Wirtanen</v>
      </c>
      <c r="D45" s="99">
        <f>IFERROR(__xludf.DUMMYFUNCTION("""COMPUTED_VALUE"""),0.448)</f>
        <v>0.448</v>
      </c>
      <c r="E45" s="99" t="str">
        <f>IFERROR(__xludf.DUMMYFUNCTION("""COMPUTED_VALUE"""),"not OK")</f>
        <v>not OK</v>
      </c>
      <c r="F45" s="99" t="str">
        <f>IFERROR(__xludf.DUMMYFUNCTION("""COMPUTED_VALUE"""),"OK")</f>
        <v>OK</v>
      </c>
      <c r="G45" s="99" t="str">
        <f>IFERROR(__xludf.DUMMYFUNCTION("""COMPUTED_VALUE"""),"x")</f>
        <v>x</v>
      </c>
      <c r="H45" s="99"/>
      <c r="I45" s="99"/>
      <c r="J45" s="99"/>
      <c r="K45" s="99"/>
      <c r="L45" s="99"/>
      <c r="M45" s="99" t="str">
        <f>IFERROR(__xludf.DUMMYFUNCTION("""COMPUTED_VALUE"""),"x")</f>
        <v>x</v>
      </c>
      <c r="N45" s="99"/>
      <c r="O45" s="99"/>
    </row>
    <row r="46">
      <c r="A46" s="99">
        <f>IFERROR(__xludf.DUMMYFUNCTION("""COMPUTED_VALUE"""),95.0)</f>
        <v>95</v>
      </c>
      <c r="B46" s="99" t="str">
        <f>IFERROR(__xludf.DUMMYFUNCTION("""COMPUTED_VALUE"""),"elliot see is an american who was born in dallas and graduated from the university of texas at austin.")</f>
        <v>elliot see is an american who was born in dallas and graduated from the university of texas at austin.</v>
      </c>
      <c r="C46" s="99" t="str">
        <f>IFERROR(__xludf.DUMMYFUNCTION("""COMPUTED_VALUE"""),"Elliot_See|almaMater|University_of_Texas_at_Austin ++ Elliot_See|birthPlace|Dallas ++ Elliot_See|nationality|United_States")</f>
        <v>Elliot_See|almaMater|University_of_Texas_at_Austin ++ Elliot_See|birthPlace|Dallas ++ Elliot_See|nationality|United_States</v>
      </c>
      <c r="D46" s="99">
        <f>IFERROR(__xludf.DUMMYFUNCTION("""COMPUTED_VALUE"""),0.173)</f>
        <v>0.173</v>
      </c>
      <c r="E46" s="99" t="str">
        <f>IFERROR(__xludf.DUMMYFUNCTION("""COMPUTED_VALUE"""),"OK")</f>
        <v>OK</v>
      </c>
      <c r="F46" s="99" t="str">
        <f>IFERROR(__xludf.DUMMYFUNCTION("""COMPUTED_VALUE"""),"hallucination")</f>
        <v>hallucination</v>
      </c>
      <c r="G46" s="99" t="str">
        <f>IFERROR(__xludf.DUMMYFUNCTION("""COMPUTED_VALUE"""),"x")</f>
        <v>x</v>
      </c>
      <c r="H46" s="99"/>
      <c r="I46" s="99"/>
      <c r="J46" s="99" t="str">
        <f>IFERROR(__xludf.DUMMYFUNCTION("""COMPUTED_VALUE"""),"x")</f>
        <v>x</v>
      </c>
      <c r="K46" s="99"/>
      <c r="L46" s="99"/>
      <c r="M46" s="99"/>
      <c r="N46" s="99"/>
      <c r="O46" s="99"/>
    </row>
    <row r="47">
      <c r="A47" s="99">
        <f>IFERROR(__xludf.DUMMYFUNCTION("""COMPUTED_VALUE"""),8.0)</f>
        <v>8</v>
      </c>
      <c r="B47" s="99" t="str">
        <f>IFERROR(__xludf.DUMMYFUNCTION("""COMPUTED_VALUE"""),"a loyal character dancer is published by soho press in the united states where native americans are an ethnic group. english is spoken both in the us and great britain.")</f>
        <v>a loyal character dancer is published by soho press in the united states where native americans are an ethnic group. english is spoken both in the us and great britain.</v>
      </c>
      <c r="C47" s="99" t="str">
        <f>IFERROR(__xludf.DUMMYFUNCTION("""COMPUTED_VALUE"""),"English_language|spokenIn|Great_Britain ++ A_Loyal_Character_Dancer|publisher|Soho_Press ++ A_Loyal_Character_Dancer|country|United_States ++ United_States|ethnicGroup|Native_Americans_in_the_United_States ++ United_States|language|English_language")</f>
        <v>English_language|spokenIn|Great_Britain ++ A_Loyal_Character_Dancer|publisher|Soho_Press ++ A_Loyal_Character_Dancer|country|United_States ++ United_States|ethnicGroup|Native_Americans_in_the_United_States ++ United_States|language|English_language</v>
      </c>
      <c r="D47" s="99">
        <f>IFERROR(__xludf.DUMMYFUNCTION("""COMPUTED_VALUE"""),0.751)</f>
        <v>0.751</v>
      </c>
      <c r="E47" s="99" t="str">
        <f>IFERROR(__xludf.DUMMYFUNCTION("""COMPUTED_VALUE"""),"not OK")</f>
        <v>not OK</v>
      </c>
      <c r="F47" s="99" t="str">
        <f>IFERROR(__xludf.DUMMYFUNCTION("""COMPUTED_VALUE"""),"OK")</f>
        <v>OK</v>
      </c>
      <c r="G47" s="99"/>
      <c r="H47" s="99" t="str">
        <f>IFERROR(__xludf.DUMMYFUNCTION("""COMPUTED_VALUE"""),"x")</f>
        <v>x</v>
      </c>
      <c r="I47" s="99"/>
      <c r="J47" s="99"/>
      <c r="K47" s="99"/>
      <c r="L47" s="99"/>
      <c r="M47" s="99"/>
      <c r="N47" s="99" t="str">
        <f>IFERROR(__xludf.DUMMYFUNCTION("""COMPUTED_VALUE"""),"x")</f>
        <v>x</v>
      </c>
      <c r="O47" s="99"/>
    </row>
    <row r="48">
      <c r="A48" s="99">
        <f>IFERROR(__xludf.DUMMYFUNCTION("""COMPUTED_VALUE"""),11.0)</f>
        <v>11</v>
      </c>
      <c r="B48" s="99" t="str">
        <f>IFERROR(__xludf.DUMMYFUNCTION("""COMPUTED_VALUE"""),"ajoblanco is from spain, where spaniards live. felipe vi is the leader of it. susana diaz is the leader of andalusia where you will find almonds.")</f>
        <v>ajoblanco is from spain, where spaniards live. felipe vi is the leader of it. susana diaz is the leader of andalusia where you will find almonds.</v>
      </c>
      <c r="C48" s="99" t="str">
        <f>IFERROR(__xludf.DUMMYFUNCTION("""COMPUTED_VALUE"""),"Spain|leaderName|Felipe_VI_of_Spain ++ Ajoblanco|region|Andalusia ++ Andalusia|leaderName|Susana_Díaz ++ Ajoblanco|country|Spain ++ Spain|demonym|Spaniards")</f>
        <v>Spain|leaderName|Felipe_VI_of_Spain ++ Ajoblanco|region|Andalusia ++ Andalusia|leaderName|Susana_Díaz ++ Ajoblanco|country|Spain ++ Spain|demonym|Spaniards</v>
      </c>
      <c r="D48" s="99">
        <f>IFERROR(__xludf.DUMMYFUNCTION("""COMPUTED_VALUE"""),0.053)</f>
        <v>0.053</v>
      </c>
      <c r="E48" s="99" t="str">
        <f>IFERROR(__xludf.DUMMYFUNCTION("""COMPUTED_VALUE"""),"OK")</f>
        <v>OK</v>
      </c>
      <c r="F48" s="99" t="str">
        <f>IFERROR(__xludf.DUMMYFUNCTION("""COMPUTED_VALUE"""),"hallucination+omission")</f>
        <v>hallucination+omission</v>
      </c>
      <c r="G48" s="99"/>
      <c r="H48" s="99" t="str">
        <f>IFERROR(__xludf.DUMMYFUNCTION("""COMPUTED_VALUE"""),"x")</f>
        <v>x</v>
      </c>
      <c r="I48" s="99"/>
      <c r="J48" s="99"/>
      <c r="K48" s="99"/>
      <c r="L48" s="99"/>
      <c r="M48" s="99" t="str">
        <f>IFERROR(__xludf.DUMMYFUNCTION("""COMPUTED_VALUE"""),"x")</f>
        <v>x</v>
      </c>
      <c r="N48" s="99"/>
      <c r="O48" s="99"/>
    </row>
    <row r="49">
      <c r="A49" s="99">
        <f>IFERROR(__xludf.DUMMYFUNCTION("""COMPUTED_VALUE"""),16.0)</f>
        <v>16</v>
      </c>
      <c r="B49" s="99" t="str">
        <f>IFERROR(__xludf.DUMMYFUNCTION("""COMPUTED_VALUE"""),"awh engineering college ( kuttikkattoor , india ) was established in 2001 . one of the rivers in india is the ganges .")</f>
        <v>awh engineering college ( kuttikkattoor , india ) was established in 2001 . one of the rivers in india is the ganges .</v>
      </c>
      <c r="C49" s="99" t="str">
        <f>IFERROR(__xludf.DUMMYFUNCTION("""COMPUTED_VALUE"""),"AWH_Engineering_College|country|India ++ AWH_Engineering_College|established|2001 ++ AWH_Engineering_College|city|""Kuttikkattoor"" ++ India|river|Ganges")</f>
        <v>AWH_Engineering_College|country|India ++ AWH_Engineering_College|established|2001 ++ AWH_Engineering_College|city|"Kuttikkattoor" ++ India|river|Ganges</v>
      </c>
      <c r="D49" s="99">
        <f>IFERROR(__xludf.DUMMYFUNCTION("""COMPUTED_VALUE"""),0.007)</f>
        <v>0.007</v>
      </c>
      <c r="E49" s="99" t="str">
        <f>IFERROR(__xludf.DUMMYFUNCTION("""COMPUTED_VALUE"""),"OK")</f>
        <v>OK</v>
      </c>
      <c r="F49" s="99" t="str">
        <f>IFERROR(__xludf.DUMMYFUNCTION("""COMPUTED_VALUE"""),"omission")</f>
        <v>omission</v>
      </c>
      <c r="G49" s="99" t="str">
        <f>IFERROR(__xludf.DUMMYFUNCTION("""COMPUTED_VALUE"""),"x")</f>
        <v>x</v>
      </c>
      <c r="H49" s="99"/>
      <c r="I49" s="99"/>
      <c r="J49" s="99" t="str">
        <f>IFERROR(__xludf.DUMMYFUNCTION("""COMPUTED_VALUE"""),"x")</f>
        <v>x</v>
      </c>
      <c r="K49" s="99"/>
      <c r="L49" s="99"/>
      <c r="M49" s="99"/>
      <c r="N49" s="99"/>
      <c r="O49" s="99"/>
    </row>
    <row r="50">
      <c r="A50" s="99">
        <f>IFERROR(__xludf.DUMMYFUNCTION("""COMPUTED_VALUE"""),13.0)</f>
        <v>13</v>
      </c>
      <c r="B50" s="99" t="str">
        <f>IFERROR(__xludf.DUMMYFUNCTION("""COMPUTED_VALUE"""),"alfa romeo 164 assembly italy where the capital is rome alfa romeo 164 relatedmeanoftransportation fiat croma")</f>
        <v>alfa romeo 164 assembly italy where the capital is rome alfa romeo 164 relatedmeanoftransportation fiat croma</v>
      </c>
      <c r="C50" s="99" t="str">
        <f>IFERROR(__xludf.DUMMYFUNCTION("""COMPUTED_VALUE"""),"Alfa_Romeo_164|assembly|Italy ++ Italy|capital|Rome ++ Alfa_Romeo_164|relatedMeanOfTransportation|Fiat_Croma")</f>
        <v>Alfa_Romeo_164|assembly|Italy ++ Italy|capital|Rome ++ Alfa_Romeo_164|relatedMeanOfTransportation|Fiat_Croma</v>
      </c>
      <c r="D50" s="99">
        <f>IFERROR(__xludf.DUMMYFUNCTION("""COMPUTED_VALUE"""),0.964)</f>
        <v>0.964</v>
      </c>
      <c r="E50" s="99" t="str">
        <f>IFERROR(__xludf.DUMMYFUNCTION("""COMPUTED_VALUE"""),"not OK")</f>
        <v>not OK</v>
      </c>
      <c r="F50" s="99" t="str">
        <f>IFERROR(__xludf.DUMMYFUNCTION("""COMPUTED_VALUE"""),"OK")</f>
        <v>OK</v>
      </c>
      <c r="G50" s="99"/>
      <c r="H50" s="99" t="str">
        <f>IFERROR(__xludf.DUMMYFUNCTION("""COMPUTED_VALUE"""),"x")</f>
        <v>x</v>
      </c>
      <c r="I50" s="99"/>
      <c r="J50" s="99"/>
      <c r="K50" s="99"/>
      <c r="L50" s="99" t="str">
        <f>IFERROR(__xludf.DUMMYFUNCTION("""COMPUTED_VALUE"""),"x")</f>
        <v>x</v>
      </c>
      <c r="M50" s="99"/>
      <c r="N50" s="99"/>
      <c r="O50" s="9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4">
        <f>IFERROR(__xludf.DUMMYFUNCTION("{ QUERY({ 'Copy of ZK-WebNLG'!A54:O104 }, ""SELECT * LIMIT 50"",0)}"),83.0)</f>
        <v>83</v>
      </c>
      <c r="B1" s="99" t="str">
        <f>IFERROR(__xludf.DUMMYFUNCTION("""COMPUTED_VALUE"""),"asterix was created by rené goscinny and albert uderzo, the former being a french national.")</f>
        <v>asterix was created by rené goscinny and albert uderzo, the former being a french national.</v>
      </c>
      <c r="C1" s="99" t="str">
        <f>IFERROR(__xludf.DUMMYFUNCTION("""COMPUTED_VALUE"""),"Asterix_(comicsCharacter)|creator|René_Goscinny ++ René_Goscinny|nationality|French_people ++ Asterix_(comicsCharacter)|creator|Albert_Uderzo")</f>
        <v>Asterix_(comicsCharacter)|creator|René_Goscinny ++ René_Goscinny|nationality|French_people ++ Asterix_(comicsCharacter)|creator|Albert_Uderzo</v>
      </c>
      <c r="D1" s="99">
        <f>IFERROR(__xludf.DUMMYFUNCTION("""COMPUTED_VALUE"""),0.167)</f>
        <v>0.167</v>
      </c>
      <c r="E1" s="99" t="str">
        <f>IFERROR(__xludf.DUMMYFUNCTION("""COMPUTED_VALUE"""),"not OK")</f>
        <v>not OK</v>
      </c>
      <c r="F1" s="99" t="str">
        <f>IFERROR(__xludf.DUMMYFUNCTION("""COMPUTED_VALUE"""),"omission")</f>
        <v>omission</v>
      </c>
      <c r="G1" s="99" t="str">
        <f>IFERROR(__xludf.DUMMYFUNCTION("""COMPUTED_VALUE"""),"x")</f>
        <v>x</v>
      </c>
      <c r="H1" s="99"/>
      <c r="I1" s="99"/>
      <c r="J1" s="99"/>
      <c r="K1" s="99"/>
      <c r="L1" s="99"/>
      <c r="M1" s="99"/>
      <c r="N1" s="99" t="str">
        <f>IFERROR(__xludf.DUMMYFUNCTION("""COMPUTED_VALUE"""),"x")</f>
        <v>x</v>
      </c>
      <c r="O1" s="99"/>
    </row>
    <row r="2">
      <c r="A2" s="99">
        <f>IFERROR(__xludf.DUMMYFUNCTION("""COMPUTED_VALUE"""),100.0)</f>
        <v>100</v>
      </c>
      <c r="B2" s="99" t="str">
        <f>IFERROR(__xludf.DUMMYFUNCTION("""COMPUTED_VALUE"""),"levan khomeriki manages fc dinamo batumi and plays for aleksandre guruli.")</f>
        <v>levan khomeriki manages fc dinamo batumi and plays for aleksandre guruli.</v>
      </c>
      <c r="C2" s="99" t="str">
        <f>IFERROR(__xludf.DUMMYFUNCTION("""COMPUTED_VALUE"""),"FC_Dinamo_Batumi|manager|Levan_Khomeriki ++ Aleksandre_Guruli|club|FC_Dinamo_Batumi")</f>
        <v>FC_Dinamo_Batumi|manager|Levan_Khomeriki ++ Aleksandre_Guruli|club|FC_Dinamo_Batumi</v>
      </c>
      <c r="D2" s="99">
        <f>IFERROR(__xludf.DUMMYFUNCTION("""COMPUTED_VALUE"""),0.714)</f>
        <v>0.714</v>
      </c>
      <c r="E2" s="99" t="str">
        <f>IFERROR(__xludf.DUMMYFUNCTION("""COMPUTED_VALUE"""),"not OK")</f>
        <v>not OK</v>
      </c>
      <c r="F2" s="99" t="str">
        <f>IFERROR(__xludf.DUMMYFUNCTION("""COMPUTED_VALUE"""),"OK")</f>
        <v>OK</v>
      </c>
      <c r="G2" s="99" t="str">
        <f>IFERROR(__xludf.DUMMYFUNCTION("""COMPUTED_VALUE"""),"x")</f>
        <v>x</v>
      </c>
      <c r="H2" s="99"/>
      <c r="I2" s="99"/>
      <c r="J2" s="99" t="str">
        <f>IFERROR(__xludf.DUMMYFUNCTION("""COMPUTED_VALUE"""),"x")</f>
        <v>x</v>
      </c>
      <c r="K2" s="99"/>
      <c r="L2" s="99"/>
      <c r="M2" s="99"/>
      <c r="N2" s="99"/>
      <c r="O2" s="99"/>
    </row>
    <row r="3">
      <c r="A3" s="99">
        <f>IFERROR(__xludf.DUMMYFUNCTION("""COMPUTED_VALUE"""),18.0)</f>
        <v>18</v>
      </c>
      <c r="B3" s="99" t="str">
        <f>IFERROR(__xludf.DUMMYFUNCTION("""COMPUTED_VALUE"""),"asterix was created by albert uderzo and rene goscinny who is a french national .")</f>
        <v>asterix was created by albert uderzo and rene goscinny who is a french national .</v>
      </c>
      <c r="C3" s="99" t="str">
        <f>IFERROR(__xludf.DUMMYFUNCTION("""COMPUTED_VALUE"""),"Asterix_(comicsCharacter)|creator|René_Goscinny ++ René_Goscinny|nationality|French_people ++ Asterix_(comicsCharacter)|creator|Albert_Uderzo")</f>
        <v>Asterix_(comicsCharacter)|creator|René_Goscinny ++ René_Goscinny|nationality|French_people ++ Asterix_(comicsCharacter)|creator|Albert_Uderzo</v>
      </c>
      <c r="D3" s="99">
        <f>IFERROR(__xludf.DUMMYFUNCTION("""COMPUTED_VALUE"""),0.14)</f>
        <v>0.14</v>
      </c>
      <c r="E3" s="99" t="str">
        <f>IFERROR(__xludf.DUMMYFUNCTION("""COMPUTED_VALUE"""),"OK")</f>
        <v>OK</v>
      </c>
      <c r="F3" s="99" t="str">
        <f>IFERROR(__xludf.DUMMYFUNCTION("""COMPUTED_VALUE"""),"omission")</f>
        <v>omission</v>
      </c>
      <c r="G3" s="99" t="str">
        <f>IFERROR(__xludf.DUMMYFUNCTION("""COMPUTED_VALUE"""),"x")</f>
        <v>x</v>
      </c>
      <c r="H3" s="99"/>
      <c r="I3" s="99"/>
      <c r="J3" s="99" t="str">
        <f>IFERROR(__xludf.DUMMYFUNCTION("""COMPUTED_VALUE"""),"x")</f>
        <v>x</v>
      </c>
      <c r="K3" s="99"/>
      <c r="L3" s="99"/>
      <c r="M3" s="99"/>
      <c r="N3" s="99"/>
      <c r="O3" s="99"/>
    </row>
    <row r="4">
      <c r="A4" s="99">
        <f>IFERROR(__xludf.DUMMYFUNCTION("""COMPUTED_VALUE"""),99.0)</f>
        <v>99</v>
      </c>
      <c r="B4" s="99" t="str">
        <f>IFERROR(__xludf.DUMMYFUNCTION("""COMPUTED_VALUE"""),"baku is the capital of azerbaijan where the leader is artur rasizade and the capital city is baku. the country is the location of the baku turkish martyrs memorial which is dedicated to the ottoman army soldiers killed in the battle of baku.")</f>
        <v>baku is the capital of azerbaijan where the leader is artur rasizade and the capital city is baku. the country is the location of the baku turkish martyrs memorial which is dedicated to the ottoman army soldiers killed in the battle of baku.</v>
      </c>
      <c r="C4" s="99" t="str">
        <f>IFERROR(__xludf.DUMMYFUNCTION("""COMPUTED_VALUE"""),"Azerbaijan|capital|Baku ++ Azerbaijan|leaderTitle|Prime_Minister_of_Azerbaijan ++ Baku_Turkish_Martyrs'_Memorial|dedicatedTo|""Ottoman Army soldiers killed in the Battle of Baku"" ++ Baku_Turkish_Martyrs'_Memorial|location|Azerbaijan ++ Azerbaijan|leaderN"&amp;"ame|Artur_Rasizade")</f>
        <v>Azerbaijan|capital|Baku ++ Azerbaijan|leaderTitle|Prime_Minister_of_Azerbaijan ++ Baku_Turkish_Martyrs'_Memorial|dedicatedTo|"Ottoman Army soldiers killed in the Battle of Baku" ++ Baku_Turkish_Martyrs'_Memorial|location|Azerbaijan ++ Azerbaijan|leaderName|Artur_Rasizade</v>
      </c>
      <c r="D4" s="99">
        <f>IFERROR(__xludf.DUMMYFUNCTION("""COMPUTED_VALUE"""),0.161)</f>
        <v>0.161</v>
      </c>
      <c r="E4" s="99" t="str">
        <f>IFERROR(__xludf.DUMMYFUNCTION("""COMPUTED_VALUE"""),"OK")</f>
        <v>OK</v>
      </c>
      <c r="F4" s="99" t="str">
        <f>IFERROR(__xludf.DUMMYFUNCTION("""COMPUTED_VALUE"""),"omission")</f>
        <v>omission</v>
      </c>
      <c r="G4" s="99" t="str">
        <f>IFERROR(__xludf.DUMMYFUNCTION("""COMPUTED_VALUE"""),"x")</f>
        <v>x</v>
      </c>
      <c r="H4" s="99"/>
      <c r="I4" s="99"/>
      <c r="J4" s="99"/>
      <c r="K4" s="99" t="str">
        <f>IFERROR(__xludf.DUMMYFUNCTION("""COMPUTED_VALUE"""),"x")</f>
        <v>x</v>
      </c>
      <c r="L4" s="99"/>
      <c r="M4" s="99"/>
      <c r="N4" s="99"/>
      <c r="O4" s="99"/>
    </row>
    <row r="5">
      <c r="A5" s="99">
        <f>IFERROR(__xludf.DUMMYFUNCTION("""COMPUTED_VALUE"""),1.0)</f>
        <v>1</v>
      </c>
      <c r="B5" s="99" t="str">
        <f>IFERROR(__xludf.DUMMYFUNCTION("""COMPUTED_VALUE"""),"aenir is written in english.")</f>
        <v>aenir is written in english.</v>
      </c>
      <c r="C5" s="99" t="str">
        <f>IFERROR(__xludf.DUMMYFUNCTION("""COMPUTED_VALUE"""),"Aenir|language|English_language")</f>
        <v>Aenir|language|English_language</v>
      </c>
      <c r="D5" s="99">
        <f>IFERROR(__xludf.DUMMYFUNCTION("""COMPUTED_VALUE"""),0.125)</f>
        <v>0.125</v>
      </c>
      <c r="E5" s="99" t="str">
        <f>IFERROR(__xludf.DUMMYFUNCTION("""COMPUTED_VALUE"""),"OK")</f>
        <v>OK</v>
      </c>
      <c r="F5" s="99" t="str">
        <f>IFERROR(__xludf.DUMMYFUNCTION("""COMPUTED_VALUE"""),"hallucination")</f>
        <v>hallucination</v>
      </c>
      <c r="G5" s="99" t="str">
        <f>IFERROR(__xludf.DUMMYFUNCTION("""COMPUTED_VALUE"""),"x")</f>
        <v>x</v>
      </c>
      <c r="H5" s="99"/>
      <c r="I5" s="99"/>
      <c r="J5" s="99"/>
      <c r="K5" s="99"/>
      <c r="L5" s="99"/>
      <c r="M5" s="99" t="str">
        <f>IFERROR(__xludf.DUMMYFUNCTION("""COMPUTED_VALUE"""),"x")</f>
        <v>x</v>
      </c>
      <c r="N5" s="99"/>
      <c r="O5" s="99"/>
    </row>
    <row r="6">
      <c r="A6" s="99">
        <f>IFERROR(__xludf.DUMMYFUNCTION("""COMPUTED_VALUE"""),28.0)</f>
        <v>28</v>
      </c>
      <c r="B6" s="99" t="str">
        <f>IFERROR(__xludf.DUMMYFUNCTION("""COMPUTED_VALUE"""),"california is well known for the benitoite gemstone.")</f>
        <v>california is well known for the benitoite gemstone.</v>
      </c>
      <c r="C6" s="99" t="str">
        <f>IFERROR(__xludf.DUMMYFUNCTION("""COMPUTED_VALUE"""),"California|gemstone|Benitoite")</f>
        <v>California|gemstone|Benitoite</v>
      </c>
      <c r="D6" s="99">
        <f>IFERROR(__xludf.DUMMYFUNCTION("""COMPUTED_VALUE"""),0.229)</f>
        <v>0.229</v>
      </c>
      <c r="E6" s="99" t="str">
        <f>IFERROR(__xludf.DUMMYFUNCTION("""COMPUTED_VALUE"""),"OK")</f>
        <v>OK</v>
      </c>
      <c r="F6" s="99" t="str">
        <f>IFERROR(__xludf.DUMMYFUNCTION("""COMPUTED_VALUE"""),"hallucination")</f>
        <v>hallucination</v>
      </c>
      <c r="G6" s="99"/>
      <c r="H6" s="99"/>
      <c r="I6" s="99" t="str">
        <f>IFERROR(__xludf.DUMMYFUNCTION("""COMPUTED_VALUE"""),"x")</f>
        <v>x</v>
      </c>
      <c r="J6" s="99"/>
      <c r="K6" s="99"/>
      <c r="L6" s="99" t="str">
        <f>IFERROR(__xludf.DUMMYFUNCTION("""COMPUTED_VALUE"""),"x")</f>
        <v>x</v>
      </c>
      <c r="M6" s="99"/>
      <c r="N6" s="99"/>
      <c r="O6" s="99"/>
    </row>
    <row r="7">
      <c r="A7" s="99">
        <f>IFERROR(__xludf.DUMMYFUNCTION("""COMPUTED_VALUE"""),26.0)</f>
        <v>26</v>
      </c>
      <c r="B7" s="99" t="str">
        <f>IFERROR(__xludf.DUMMYFUNCTION("""COMPUTED_VALUE"""),"john van den brom is manager of az alkmaar and is affiliated with jong ajax. he is currently at the i ̇ stanbulspor a. ş. club.")</f>
        <v>john van den brom is manager of az alkmaar and is affiliated with jong ajax. he is currently at the i ̇ stanbulspor a. ş. club.</v>
      </c>
      <c r="C7" s="99" t="str">
        <f>IFERROR(__xludf.DUMMYFUNCTION("""COMPUTED_VALUE"""),"AZ_Alkmaar|manager|John_van_den_Brom ++ John_van_den_Brom|club|Jong_Ajax ++ John_van_den_Brom|club|İstanbulspor_A.Ş.")</f>
        <v>AZ_Alkmaar|manager|John_van_den_Brom ++ John_van_den_Brom|club|Jong_Ajax ++ John_van_den_Brom|club|İstanbulspor_A.Ş.</v>
      </c>
      <c r="D7" s="99">
        <f>IFERROR(__xludf.DUMMYFUNCTION("""COMPUTED_VALUE"""),0.07)</f>
        <v>0.07</v>
      </c>
      <c r="E7" s="99" t="str">
        <f>IFERROR(__xludf.DUMMYFUNCTION("""COMPUTED_VALUE"""),"OK")</f>
        <v>OK</v>
      </c>
      <c r="F7" s="99" t="str">
        <f>IFERROR(__xludf.DUMMYFUNCTION("""COMPUTED_VALUE"""),"omission")</f>
        <v>omission</v>
      </c>
      <c r="G7" s="99"/>
      <c r="H7" s="99"/>
      <c r="I7" s="99" t="str">
        <f>IFERROR(__xludf.DUMMYFUNCTION("""COMPUTED_VALUE"""),"x")</f>
        <v>x</v>
      </c>
      <c r="J7" s="99"/>
      <c r="K7" s="99"/>
      <c r="L7" s="99" t="str">
        <f>IFERROR(__xludf.DUMMYFUNCTION("""COMPUTED_VALUE"""),"x")</f>
        <v>x</v>
      </c>
      <c r="M7" s="99"/>
      <c r="N7" s="99"/>
      <c r="O7" s="99"/>
    </row>
    <row r="8">
      <c r="A8" s="99">
        <f>IFERROR(__xludf.DUMMYFUNCTION("""COMPUTED_VALUE"""),63.0)</f>
        <v>63</v>
      </c>
      <c r="B8" s="99" t="str">
        <f>IFERROR(__xludf.DUMMYFUNCTION("""COMPUTED_VALUE"""),"a severed wasp ( from the united states ) is written in english , which is the language spoken in great britain .")</f>
        <v>a severed wasp ( from the united states ) is written in english , which is the language spoken in great britain .</v>
      </c>
      <c r="C8" s="99" t="str">
        <f>IFERROR(__xludf.DUMMYFUNCTION("""COMPUTED_VALUE"""),"A_Severed_Wasp|language|English_language ++ English_language|spokenIn|Great_Britain ++ A_Severed_Wasp|country|United_States")</f>
        <v>A_Severed_Wasp|language|English_language ++ English_language|spokenIn|Great_Britain ++ A_Severed_Wasp|country|United_States</v>
      </c>
      <c r="D8" s="99">
        <f>IFERROR(__xludf.DUMMYFUNCTION("""COMPUTED_VALUE"""),0.413)</f>
        <v>0.413</v>
      </c>
      <c r="E8" s="99" t="str">
        <f>IFERROR(__xludf.DUMMYFUNCTION("""COMPUTED_VALUE"""),"OK")</f>
        <v>OK</v>
      </c>
      <c r="F8" s="99" t="str">
        <f>IFERROR(__xludf.DUMMYFUNCTION("""COMPUTED_VALUE"""),"hallucination")</f>
        <v>hallucination</v>
      </c>
      <c r="G8" s="99"/>
      <c r="H8" s="99" t="str">
        <f>IFERROR(__xludf.DUMMYFUNCTION("""COMPUTED_VALUE"""),"x")</f>
        <v>x</v>
      </c>
      <c r="I8" s="99"/>
      <c r="J8" s="99"/>
      <c r="K8" s="99"/>
      <c r="L8" s="99"/>
      <c r="M8" s="99"/>
      <c r="N8" s="99" t="str">
        <f>IFERROR(__xludf.DUMMYFUNCTION("""COMPUTED_VALUE"""),"x")</f>
        <v>x</v>
      </c>
      <c r="O8" s="99"/>
    </row>
    <row r="9">
      <c r="A9" s="99">
        <f>IFERROR(__xludf.DUMMYFUNCTION("""COMPUTED_VALUE"""),65.0)</f>
        <v>65</v>
      </c>
      <c r="B9" s="99" t="str">
        <f>IFERROR(__xludf.DUMMYFUNCTION("""COMPUTED_VALUE"""),"marriott international is the tenant of ac hotel bella sky and is located in copenhagen .")</f>
        <v>marriott international is the tenant of ac hotel bella sky and is located in copenhagen .</v>
      </c>
      <c r="C9" s="99" t="str">
        <f>IFERROR(__xludf.DUMMYFUNCTION("""COMPUTED_VALUE"""),"AC_Hotel_Bella_Sky_Copenhagen|tenant|Marriott_International ++ AC_Hotel_Bella_Sky_Copenhagen|location|Copenhagen")</f>
        <v>AC_Hotel_Bella_Sky_Copenhagen|tenant|Marriott_International ++ AC_Hotel_Bella_Sky_Copenhagen|location|Copenhagen</v>
      </c>
      <c r="D9" s="99">
        <f>IFERROR(__xludf.DUMMYFUNCTION("""COMPUTED_VALUE"""),0.003)</f>
        <v>0.003</v>
      </c>
      <c r="E9" s="99" t="str">
        <f>IFERROR(__xludf.DUMMYFUNCTION("""COMPUTED_VALUE"""),"OK")</f>
        <v>OK</v>
      </c>
      <c r="F9" s="99" t="str">
        <f>IFERROR(__xludf.DUMMYFUNCTION("""COMPUTED_VALUE"""),"hallucination+omission")</f>
        <v>hallucination+omission</v>
      </c>
      <c r="G9" s="99"/>
      <c r="H9" s="99" t="str">
        <f>IFERROR(__xludf.DUMMYFUNCTION("""COMPUTED_VALUE"""),"x")</f>
        <v>x</v>
      </c>
      <c r="I9" s="99"/>
      <c r="J9" s="99"/>
      <c r="K9" s="99"/>
      <c r="L9" s="99"/>
      <c r="M9" s="99"/>
      <c r="N9" s="99" t="str">
        <f>IFERROR(__xludf.DUMMYFUNCTION("""COMPUTED_VALUE"""),"x")</f>
        <v>x</v>
      </c>
      <c r="O9" s="99"/>
    </row>
    <row r="10">
      <c r="A10" s="99">
        <f>IFERROR(__xludf.DUMMYFUNCTION("""COMPUTED_VALUE"""),50.0)</f>
        <v>50</v>
      </c>
      <c r="B10" s="99" t="str">
        <f>IFERROR(__xludf.DUMMYFUNCTION("""COMPUTED_VALUE"""),"the comic character blockbuster , aka mark desmond , was created by gardner fox and carmine infantino .")</f>
        <v>the comic character blockbuster , aka mark desmond , was created by gardner fox and carmine infantino .</v>
      </c>
      <c r="C10" s="99" t="str">
        <f>IFERROR(__xludf.DUMMYFUNCTION("""COMPUTED_VALUE"""),"Blockbuster_(comicsCharacter)|creator|Gardner_Fox ++ Blockbuster_(comicsCharacter)|alternativeName|""Mark Desmond"" ++ Blockbuster_(comicsCharacter)|creator|Carmine_Infantino")</f>
        <v>Blockbuster_(comicsCharacter)|creator|Gardner_Fox ++ Blockbuster_(comicsCharacter)|alternativeName|"Mark Desmond" ++ Blockbuster_(comicsCharacter)|creator|Carmine_Infantino</v>
      </c>
      <c r="D10" s="99">
        <f>IFERROR(__xludf.DUMMYFUNCTION("""COMPUTED_VALUE"""),0.317)</f>
        <v>0.317</v>
      </c>
      <c r="E10" s="99" t="str">
        <f>IFERROR(__xludf.DUMMYFUNCTION("""COMPUTED_VALUE"""),"OK")</f>
        <v>OK</v>
      </c>
      <c r="F10" s="99" t="str">
        <f>IFERROR(__xludf.DUMMYFUNCTION("""COMPUTED_VALUE"""),"omission")</f>
        <v>omission</v>
      </c>
      <c r="G10" s="99"/>
      <c r="H10" s="99" t="str">
        <f>IFERROR(__xludf.DUMMYFUNCTION("""COMPUTED_VALUE"""),"x")</f>
        <v>x</v>
      </c>
      <c r="I10" s="99"/>
      <c r="J10" s="99"/>
      <c r="K10" s="99"/>
      <c r="L10" s="99"/>
      <c r="M10" s="99" t="str">
        <f>IFERROR(__xludf.DUMMYFUNCTION("""COMPUTED_VALUE"""),"x")</f>
        <v>x</v>
      </c>
      <c r="N10" s="99"/>
      <c r="O10" s="99"/>
    </row>
    <row r="11">
      <c r="A11" s="99">
        <f>IFERROR(__xludf.DUMMYFUNCTION("""COMPUTED_VALUE"""),35.0)</f>
        <v>35</v>
      </c>
      <c r="B11" s="99" t="str">
        <f>IFERROR(__xludf.DUMMYFUNCTION("""COMPUTED_VALUE"""),"guiana space centre is headquartered in french guiana. arianespace is located in courcouronnes. ela-3 is operated by arianespace.")</f>
        <v>guiana space centre is headquartered in french guiana. arianespace is located in courcouronnes. ela-3 is operated by arianespace.</v>
      </c>
      <c r="C11" s="99" t="str">
        <f>IFERROR(__xludf.DUMMYFUNCTION("""COMPUTED_VALUE"""),"Arianespace|locationCity|Courcouronnes ++ Guiana_Space_Centre|headquarter|French_Guiana ++ ELA-3|site|Guiana_Space_Centre ++ Ariane_5|launchSite|ELA-3 ++ ELA-3|operator|Arianespace")</f>
        <v>Arianespace|locationCity|Courcouronnes ++ Guiana_Space_Centre|headquarter|French_Guiana ++ ELA-3|site|Guiana_Space_Centre ++ Ariane_5|launchSite|ELA-3 ++ ELA-3|operator|Arianespace</v>
      </c>
      <c r="D11" s="99">
        <f>IFERROR(__xludf.DUMMYFUNCTION("""COMPUTED_VALUE"""),0.068)</f>
        <v>0.068</v>
      </c>
      <c r="E11" s="99" t="str">
        <f>IFERROR(__xludf.DUMMYFUNCTION("""COMPUTED_VALUE"""),"OK")</f>
        <v>OK</v>
      </c>
      <c r="F11" s="99" t="str">
        <f>IFERROR(__xludf.DUMMYFUNCTION("""COMPUTED_VALUE"""),"omission")</f>
        <v>omission</v>
      </c>
      <c r="G11" s="99"/>
      <c r="H11" s="99"/>
      <c r="I11" s="99" t="str">
        <f>IFERROR(__xludf.DUMMYFUNCTION("""COMPUTED_VALUE"""),"x")</f>
        <v>x</v>
      </c>
      <c r="J11" s="99"/>
      <c r="K11" s="99"/>
      <c r="L11" s="99" t="str">
        <f>IFERROR(__xludf.DUMMYFUNCTION("""COMPUTED_VALUE"""),"x")</f>
        <v>x</v>
      </c>
      <c r="M11" s="99"/>
      <c r="N11" s="99"/>
      <c r="O11" s="99"/>
    </row>
    <row r="12">
      <c r="A12" s="99">
        <f>IFERROR(__xludf.DUMMYFUNCTION("""COMPUTED_VALUE"""),53.0)</f>
        <v>53</v>
      </c>
      <c r="B12" s="99" t="str">
        <f>IFERROR(__xludf.DUMMYFUNCTION("""COMPUTED_VALUE"""),"akita museum of art is located in akita, akita, japan, at the following addres : 142 nakadori. akita museum of art are three floors at akita prefecture.")</f>
        <v>akita museum of art is located in akita, akita, japan, at the following addres : 142 nakadori. akita museum of art are three floors at akita prefecture.</v>
      </c>
      <c r="C12" s="99" t="str">
        <f>IFERROR(__xludf.DUMMYFUNCTION("""COMPUTED_VALUE"""),"Akita_Museum_of_Art|country|Japan ++ Akita_Museum_of_Art|floorCount|3 ++ Akita_Museum_of_Art|location|Akita,_Akita ++ Akita_Museum_of_Art|location|Akita_Prefecture ++ Akita_Museum_of_Art|address|""1-4-2 Nakadori""")</f>
        <v>Akita_Museum_of_Art|country|Japan ++ Akita_Museum_of_Art|floorCount|3 ++ Akita_Museum_of_Art|location|Akita,_Akita ++ Akita_Museum_of_Art|location|Akita_Prefecture ++ Akita_Museum_of_Art|address|"1-4-2 Nakadori"</v>
      </c>
      <c r="D12" s="99">
        <f>IFERROR(__xludf.DUMMYFUNCTION("""COMPUTED_VALUE"""),0.013)</f>
        <v>0.013</v>
      </c>
      <c r="E12" s="99" t="str">
        <f>IFERROR(__xludf.DUMMYFUNCTION("""COMPUTED_VALUE"""),"OK")</f>
        <v>OK</v>
      </c>
      <c r="F12" s="99" t="str">
        <f>IFERROR(__xludf.DUMMYFUNCTION("""COMPUTED_VALUE"""),"omission")</f>
        <v>omission</v>
      </c>
      <c r="G12" s="99"/>
      <c r="H12" s="99" t="str">
        <f>IFERROR(__xludf.DUMMYFUNCTION("""COMPUTED_VALUE"""),"x")</f>
        <v>x</v>
      </c>
      <c r="I12" s="99"/>
      <c r="J12" s="99"/>
      <c r="K12" s="99"/>
      <c r="L12" s="99"/>
      <c r="M12" s="99"/>
      <c r="N12" s="99" t="str">
        <f>IFERROR(__xludf.DUMMYFUNCTION("""COMPUTED_VALUE"""),"x")</f>
        <v>x</v>
      </c>
      <c r="O12" s="99"/>
    </row>
    <row r="13">
      <c r="A13" s="99">
        <f>IFERROR(__xludf.DUMMYFUNCTION("""COMPUTED_VALUE"""),66.0)</f>
        <v>66</v>
      </c>
      <c r="B13" s="99" t="str">
        <f>IFERROR(__xludf.DUMMYFUNCTION("""COMPUTED_VALUE"""),"binignit is dessert which contains sago. cookies is dessert.")</f>
        <v>binignit is dessert which contains sago. cookies is dessert.</v>
      </c>
      <c r="C13" s="99" t="str">
        <f>IFERROR(__xludf.DUMMYFUNCTION("""COMPUTED_VALUE"""),"Binignit|ingredient|Sago ++ Binignit|course|Dessert ++ Dessert|dishVariation|Cookie")</f>
        <v>Binignit|ingredient|Sago ++ Binignit|course|Dessert ++ Dessert|dishVariation|Cookie</v>
      </c>
      <c r="D13" s="99">
        <f>IFERROR(__xludf.DUMMYFUNCTION("""COMPUTED_VALUE"""),0.271)</f>
        <v>0.271</v>
      </c>
      <c r="E13" s="99" t="str">
        <f>IFERROR(__xludf.DUMMYFUNCTION("""COMPUTED_VALUE"""),"OK")</f>
        <v>OK</v>
      </c>
      <c r="F13" s="99" t="str">
        <f>IFERROR(__xludf.DUMMYFUNCTION("""COMPUTED_VALUE"""),"omission")</f>
        <v>omission</v>
      </c>
      <c r="G13" s="99" t="str">
        <f>IFERROR(__xludf.DUMMYFUNCTION("""COMPUTED_VALUE"""),"x")</f>
        <v>x</v>
      </c>
      <c r="H13" s="99"/>
      <c r="I13" s="99"/>
      <c r="J13" s="99"/>
      <c r="K13" s="99"/>
      <c r="L13" s="99"/>
      <c r="M13" s="99"/>
      <c r="N13" s="99" t="str">
        <f>IFERROR(__xludf.DUMMYFUNCTION("""COMPUTED_VALUE"""),"x")</f>
        <v>x</v>
      </c>
      <c r="O13" s="99"/>
    </row>
    <row r="14">
      <c r="A14" s="99">
        <f>IFERROR(__xludf.DUMMYFUNCTION("""COMPUTED_VALUE"""),69.0)</f>
        <v>69</v>
      </c>
      <c r="B14" s="99" t="str">
        <f>IFERROR(__xludf.DUMMYFUNCTION("""COMPUTED_VALUE"""),"gardner fox created the character blockbuster, which is also known as mark desmond. carmine infantino created it.")</f>
        <v>gardner fox created the character blockbuster, which is also known as mark desmond. carmine infantino created it.</v>
      </c>
      <c r="C14" s="99" t="str">
        <f>IFERROR(__xludf.DUMMYFUNCTION("""COMPUTED_VALUE"""),"Blockbuster_(comicsCharacter)|creator|Gardner_Fox ++ Blockbuster_(comicsCharacter)|alternativeName|""Mark Desmond"" ++ Blockbuster_(comicsCharacter)|creator|Carmine_Infantino")</f>
        <v>Blockbuster_(comicsCharacter)|creator|Gardner_Fox ++ Blockbuster_(comicsCharacter)|alternativeName|"Mark Desmond" ++ Blockbuster_(comicsCharacter)|creator|Carmine_Infantino</v>
      </c>
      <c r="D14" s="99">
        <f>IFERROR(__xludf.DUMMYFUNCTION("""COMPUTED_VALUE"""),0.468)</f>
        <v>0.468</v>
      </c>
      <c r="E14" s="99" t="str">
        <f>IFERROR(__xludf.DUMMYFUNCTION("""COMPUTED_VALUE"""),"OK")</f>
        <v>OK</v>
      </c>
      <c r="F14" s="99" t="str">
        <f>IFERROR(__xludf.DUMMYFUNCTION("""COMPUTED_VALUE"""),"hallucination")</f>
        <v>hallucination</v>
      </c>
      <c r="G14" s="99" t="str">
        <f>IFERROR(__xludf.DUMMYFUNCTION("""COMPUTED_VALUE"""),"x")</f>
        <v>x</v>
      </c>
      <c r="H14" s="99"/>
      <c r="I14" s="99"/>
      <c r="J14" s="99" t="str">
        <f>IFERROR(__xludf.DUMMYFUNCTION("""COMPUTED_VALUE"""),"x")</f>
        <v>x</v>
      </c>
      <c r="K14" s="99"/>
      <c r="L14" s="99"/>
      <c r="M14" s="99"/>
      <c r="N14" s="99"/>
      <c r="O14" s="99"/>
    </row>
    <row r="15">
      <c r="A15" s="99">
        <f>IFERROR(__xludf.DUMMYFUNCTION("""COMPUTED_VALUE"""),75.0)</f>
        <v>75</v>
      </c>
      <c r="B15" s="99" t="str">
        <f>IFERROR(__xludf.DUMMYFUNCTION("""COMPUTED_VALUE"""),"tomato is an ingredient of amatriciana sauce which is a member of the solanaceae family. tomato is a fruit of solanales.")</f>
        <v>tomato is an ingredient of amatriciana sauce which is a member of the solanaceae family. tomato is a fruit of solanales.</v>
      </c>
      <c r="C15" s="99" t="str">
        <f>IFERROR(__xludf.DUMMYFUNCTION("""COMPUTED_VALUE"""),"Tomato|family|Solanaceae ++ Amatriciana_sauce|ingredient|Tomato ++ Tomato|order|Solanales")</f>
        <v>Tomato|family|Solanaceae ++ Amatriciana_sauce|ingredient|Tomato ++ Tomato|order|Solanales</v>
      </c>
      <c r="D15" s="99">
        <f>IFERROR(__xludf.DUMMYFUNCTION("""COMPUTED_VALUE"""),0.825)</f>
        <v>0.825</v>
      </c>
      <c r="E15" s="99" t="str">
        <f>IFERROR(__xludf.DUMMYFUNCTION("""COMPUTED_VALUE"""),"not OK")</f>
        <v>not OK</v>
      </c>
      <c r="F15" s="99" t="str">
        <f>IFERROR(__xludf.DUMMYFUNCTION("""COMPUTED_VALUE"""),"OK")</f>
        <v>OK</v>
      </c>
      <c r="G15" s="99"/>
      <c r="H15" s="99" t="str">
        <f>IFERROR(__xludf.DUMMYFUNCTION("""COMPUTED_VALUE"""),"x")</f>
        <v>x</v>
      </c>
      <c r="I15" s="99"/>
      <c r="J15" s="99"/>
      <c r="K15" s="99"/>
      <c r="L15" s="99"/>
      <c r="M15" s="99"/>
      <c r="N15" s="99" t="str">
        <f>IFERROR(__xludf.DUMMYFUNCTION("""COMPUTED_VALUE"""),"x")</f>
        <v>x</v>
      </c>
      <c r="O15" s="99"/>
    </row>
    <row r="16">
      <c r="A16" s="99">
        <f>IFERROR(__xludf.DUMMYFUNCTION("""COMPUTED_VALUE"""),58.0)</f>
        <v>58</v>
      </c>
      <c r="B16" s="99" t="str">
        <f>IFERROR(__xludf.DUMMYFUNCTION("""COMPUTED_VALUE"""),"ajoblanco is a spanish dish that originates andalusia , where the leader is susana diaz . felipe vi is the leader of spain , where the people that live there are called spaniards .")</f>
        <v>ajoblanco is a spanish dish that originates andalusia , where the leader is susana diaz . felipe vi is the leader of spain , where the people that live there are called spaniards .</v>
      </c>
      <c r="C16" s="99" t="str">
        <f>IFERROR(__xludf.DUMMYFUNCTION("""COMPUTED_VALUE"""),"Spain|leaderName|Felipe_VI_of_Spain ++ Ajoblanco|region|Andalusia ++ Andalusia|leaderName|Susana_Díaz ++ Ajoblanco|country|Spain ++ Spain|demonym|Spaniards")</f>
        <v>Spain|leaderName|Felipe_VI_of_Spain ++ Ajoblanco|region|Andalusia ++ Andalusia|leaderName|Susana_Díaz ++ Ajoblanco|country|Spain ++ Spain|demonym|Spaniards</v>
      </c>
      <c r="D16" s="99">
        <f>IFERROR(__xludf.DUMMYFUNCTION("""COMPUTED_VALUE"""),0.524)</f>
        <v>0.524</v>
      </c>
      <c r="E16" s="99" t="str">
        <f>IFERROR(__xludf.DUMMYFUNCTION("""COMPUTED_VALUE"""),"not OK")</f>
        <v>not OK</v>
      </c>
      <c r="F16" s="99" t="str">
        <f>IFERROR(__xludf.DUMMYFUNCTION("""COMPUTED_VALUE"""),"OK")</f>
        <v>OK</v>
      </c>
      <c r="G16" s="99"/>
      <c r="H16" s="99"/>
      <c r="I16" s="99"/>
      <c r="J16" s="99"/>
      <c r="K16" s="99"/>
      <c r="L16" s="99"/>
      <c r="M16" s="99"/>
      <c r="N16" s="99"/>
      <c r="O16" s="99"/>
    </row>
    <row r="17">
      <c r="A17" s="99">
        <f>IFERROR(__xludf.DUMMYFUNCTION("""COMPUTED_VALUE"""),12.0)</f>
        <v>12</v>
      </c>
      <c r="B17" s="99" t="str">
        <f>IFERROR(__xludf.DUMMYFUNCTION("""COMPUTED_VALUE"""),"shumai is a variation of batagor.")</f>
        <v>shumai is a variation of batagor.</v>
      </c>
      <c r="C17" s="99" t="str">
        <f>IFERROR(__xludf.DUMMYFUNCTION("""COMPUTED_VALUE"""),"Batagor|dishVariation|Shumai")</f>
        <v>Batagor|dishVariation|Shumai</v>
      </c>
      <c r="D17" s="99">
        <f>IFERROR(__xludf.DUMMYFUNCTION("""COMPUTED_VALUE"""),0.524)</f>
        <v>0.524</v>
      </c>
      <c r="E17" s="99" t="str">
        <f>IFERROR(__xludf.DUMMYFUNCTION("""COMPUTED_VALUE"""),"not OK")</f>
        <v>not OK</v>
      </c>
      <c r="F17" s="99" t="str">
        <f>IFERROR(__xludf.DUMMYFUNCTION("""COMPUTED_VALUE"""),"OK")</f>
        <v>OK</v>
      </c>
      <c r="G17" s="99"/>
      <c r="H17" s="99"/>
      <c r="I17" s="99"/>
      <c r="J17" s="99"/>
      <c r="K17" s="99"/>
      <c r="L17" s="99"/>
      <c r="M17" s="99"/>
      <c r="N17" s="99"/>
      <c r="O17" s="99"/>
    </row>
    <row r="18">
      <c r="A18" s="99">
        <f>IFERROR(__xludf.DUMMYFUNCTION("""COMPUTED_VALUE"""),10.0)</f>
        <v>10</v>
      </c>
      <c r="B18" s="99" t="str">
        <f>IFERROR(__xludf.DUMMYFUNCTION("""COMPUTED_VALUE"""),"allama iqbal international airport is located in pakistan where anwar zaheer jamali is a leader .")</f>
        <v>allama iqbal international airport is located in pakistan where anwar zaheer jamali is a leader .</v>
      </c>
      <c r="C18" s="99" t="str">
        <f>IFERROR(__xludf.DUMMYFUNCTION("""COMPUTED_VALUE"""),"Allama_Iqbal_International_Airport|location|Pakistan ++ Pakistan|leaderName|Anwar_Zaheer_Jamali")</f>
        <v>Allama_Iqbal_International_Airport|location|Pakistan ++ Pakistan|leaderName|Anwar_Zaheer_Jamali</v>
      </c>
      <c r="D18" s="99">
        <f>IFERROR(__xludf.DUMMYFUNCTION("""COMPUTED_VALUE"""),0.961)</f>
        <v>0.961</v>
      </c>
      <c r="E18" s="99" t="str">
        <f>IFERROR(__xludf.DUMMYFUNCTION("""COMPUTED_VALUE"""),"not OK")</f>
        <v>not OK</v>
      </c>
      <c r="F18" s="99" t="str">
        <f>IFERROR(__xludf.DUMMYFUNCTION("""COMPUTED_VALUE"""),"OK")</f>
        <v>OK</v>
      </c>
      <c r="G18" s="99"/>
      <c r="H18" s="99" t="str">
        <f>IFERROR(__xludf.DUMMYFUNCTION("""COMPUTED_VALUE"""),"x")</f>
        <v>x</v>
      </c>
      <c r="I18" s="99"/>
      <c r="J18" s="99"/>
      <c r="K18" s="99"/>
      <c r="L18" s="99"/>
      <c r="M18" s="99"/>
      <c r="N18" s="99" t="str">
        <f>IFERROR(__xludf.DUMMYFUNCTION("""COMPUTED_VALUE"""),"x")</f>
        <v>x</v>
      </c>
      <c r="O18" s="99"/>
    </row>
    <row r="19">
      <c r="A19" s="99">
        <f>IFERROR(__xludf.DUMMYFUNCTION("""COMPUTED_VALUE"""),39.0)</f>
        <v>39</v>
      </c>
      <c r="B19" s="99" t="str">
        <f>IFERROR(__xludf.DUMMYFUNCTION("""COMPUTED_VALUE"""),"the leader of the united states is john sánchez, it is where asian americans are an ethnic group and the country is where the leader is called the new mexico senate. the country is the location of albuquerque, new mexico.")</f>
        <v>the leader of the united states is john sánchez, it is where asian americans are an ethnic group and the country is where the leader is called the new mexico senate. the country is the location of albuquerque, new mexico.</v>
      </c>
      <c r="C19" s="99" t="str">
        <f>IFERROR(__xludf.DUMMYFUNCTION("""COMPUTED_VALUE"""),"United_States|ethnicGroup|Asian_Americans ++ Albuquerque,_New_Mexico|leaderTitle|New_Mexico_Senate ++ New_Mexico_Senate|leader|John_Sánchez ++ Albuquerque,_New_Mexico|country|United_States")</f>
        <v>United_States|ethnicGroup|Asian_Americans ++ Albuquerque,_New_Mexico|leaderTitle|New_Mexico_Senate ++ New_Mexico_Senate|leader|John_Sánchez ++ Albuquerque,_New_Mexico|country|United_States</v>
      </c>
      <c r="D19" s="99">
        <f>IFERROR(__xludf.DUMMYFUNCTION("""COMPUTED_VALUE"""),0.529)</f>
        <v>0.529</v>
      </c>
      <c r="E19" s="99" t="str">
        <f>IFERROR(__xludf.DUMMYFUNCTION("""COMPUTED_VALUE"""),"not OK")</f>
        <v>not OK</v>
      </c>
      <c r="F19" s="99" t="str">
        <f>IFERROR(__xludf.DUMMYFUNCTION("""COMPUTED_VALUE"""),"OK")</f>
        <v>OK</v>
      </c>
      <c r="G19" s="99" t="str">
        <f>IFERROR(__xludf.DUMMYFUNCTION("""COMPUTED_VALUE"""),"x")</f>
        <v>x</v>
      </c>
      <c r="H19" s="99"/>
      <c r="I19" s="99"/>
      <c r="J19" s="99"/>
      <c r="K19" s="99"/>
      <c r="L19" s="99"/>
      <c r="M19" s="99" t="str">
        <f>IFERROR(__xludf.DUMMYFUNCTION("""COMPUTED_VALUE"""),"x")</f>
        <v>x</v>
      </c>
      <c r="N19" s="99"/>
      <c r="O19" s="99"/>
    </row>
    <row r="20">
      <c r="A20" s="99">
        <f>IFERROR(__xludf.DUMMYFUNCTION("""COMPUTED_VALUE"""),70.0)</f>
        <v>70</v>
      </c>
      <c r="B20" s="99" t="str">
        <f>IFERROR(__xludf.DUMMYFUNCTION("""COMPUTED_VALUE"""),"the languages spoken in philippines are philippine spanish and arabic. batchoy is eaten there and philippines ethnic groups are zamboangans and chinese filipino.")</f>
        <v>the languages spoken in philippines are philippine spanish and arabic. batchoy is eaten there and philippines ethnic groups are zamboangans and chinese filipino.</v>
      </c>
      <c r="C20" s="99" t="str">
        <f>IFERROR(__xludf.DUMMYFUNCTION("""COMPUTED_VALUE"""),"Philippines|language|Arabic ++ Philippines|ethnicGroup|Zamboangans ++ Philippines|language|Philippine_Spanish ++ Batchoy|country|Philippines ++ Philippines|ethnicGroup|Chinese_Filipino")</f>
        <v>Philippines|language|Arabic ++ Philippines|ethnicGroup|Zamboangans ++ Philippines|language|Philippine_Spanish ++ Batchoy|country|Philippines ++ Philippines|ethnicGroup|Chinese_Filipino</v>
      </c>
      <c r="D20" s="99">
        <f>IFERROR(__xludf.DUMMYFUNCTION("""COMPUTED_VALUE"""),0.222)</f>
        <v>0.222</v>
      </c>
      <c r="E20" s="99" t="str">
        <f>IFERROR(__xludf.DUMMYFUNCTION("""COMPUTED_VALUE"""),"OK")</f>
        <v>OK</v>
      </c>
      <c r="F20" s="99" t="str">
        <f>IFERROR(__xludf.DUMMYFUNCTION("""COMPUTED_VALUE"""),"hallucination")</f>
        <v>hallucination</v>
      </c>
      <c r="G20" s="99"/>
      <c r="H20" s="99"/>
      <c r="I20" s="99" t="str">
        <f>IFERROR(__xludf.DUMMYFUNCTION("""COMPUTED_VALUE"""),"x")</f>
        <v>x</v>
      </c>
      <c r="J20" s="99"/>
      <c r="K20" s="99"/>
      <c r="L20" s="99" t="str">
        <f>IFERROR(__xludf.DUMMYFUNCTION("""COMPUTED_VALUE"""),"x")</f>
        <v>x</v>
      </c>
      <c r="M20" s="99"/>
      <c r="N20" s="99"/>
      <c r="O20" s="99"/>
    </row>
    <row r="21">
      <c r="A21" s="99">
        <f>IFERROR(__xludf.DUMMYFUNCTION("""COMPUTED_VALUE"""),30.0)</f>
        <v>30</v>
      </c>
      <c r="B21" s="99" t="str">
        <f>IFERROR(__xludf.DUMMYFUNCTION("""COMPUTED_VALUE"""),"the main ingredients of beef kway teow are kway teow, beef tender loin, gula melaka, sliced, dried black beans, garlic, dark soy sauce, lengkuas, oyster sauce, soya sauce, chilli and sesame oil.")</f>
        <v>the main ingredients of beef kway teow are kway teow, beef tender loin, gula melaka, sliced, dried black beans, garlic, dark soy sauce, lengkuas, oyster sauce, soya sauce, chilli and sesame oil.</v>
      </c>
      <c r="C21" s="99" t="str">
        <f>IFERROR(__xludf.DUMMYFUNCTION("""COMPUTED_VALUE"""),"Beef_kway_teow|mainIngredients|""Kway teow, beef tender loin, gula Melaka, sliced, dried black beans, garlic, dark soy sauce, lengkuas, oyster sauce, soya sauce, chilli and sesame oil"" ++ Beef_kway_teow|country|""Singapore and Indonesia""")</f>
        <v>Beef_kway_teow|mainIngredients|"Kway teow, beef tender loin, gula Melaka, sliced, dried black beans, garlic, dark soy sauce, lengkuas, oyster sauce, soya sauce, chilli and sesame oil" ++ Beef_kway_teow|country|"Singapore and Indonesia"</v>
      </c>
      <c r="D21" s="99">
        <f>IFERROR(__xludf.DUMMYFUNCTION("""COMPUTED_VALUE"""),0.002)</f>
        <v>0.002</v>
      </c>
      <c r="E21" s="99" t="str">
        <f>IFERROR(__xludf.DUMMYFUNCTION("""COMPUTED_VALUE"""),"OK")</f>
        <v>OK</v>
      </c>
      <c r="F21" s="99" t="str">
        <f>IFERROR(__xludf.DUMMYFUNCTION("""COMPUTED_VALUE"""),"omission")</f>
        <v>omission</v>
      </c>
      <c r="G21" s="99"/>
      <c r="H21" s="99"/>
      <c r="I21" s="99"/>
      <c r="J21" s="99"/>
      <c r="K21" s="99"/>
      <c r="L21" s="99"/>
      <c r="M21" s="99"/>
      <c r="N21" s="99"/>
      <c r="O21" s="99"/>
    </row>
    <row r="22">
      <c r="A22" s="99">
        <f>IFERROR(__xludf.DUMMYFUNCTION("""COMPUTED_VALUE"""),90.0)</f>
        <v>90</v>
      </c>
      <c r="B22" s="99" t="str">
        <f>IFERROR(__xludf.DUMMYFUNCTION("""COMPUTED_VALUE"""),"the 14th new jersey volunteer infantry monument is near frederick , maryland in the district of the monocacy national battlefield .")</f>
        <v>the 14th new jersey volunteer infantry monument is near frederick , maryland in the district of the monocacy national battlefield .</v>
      </c>
      <c r="C22" s="99" t="str">
        <f>IFERROR(__xludf.DUMMYFUNCTION("""COMPUTED_VALUE"""),"14th_New_Jersey_Volunteer_Infantry_Monument|district|Monocacy_National_Battlefield ++ Monocacy_National_Battlefield|nearestCity|Frederick,_Maryland")</f>
        <v>14th_New_Jersey_Volunteer_Infantry_Monument|district|Monocacy_National_Battlefield ++ Monocacy_National_Battlefield|nearestCity|Frederick,_Maryland</v>
      </c>
      <c r="D22" s="99">
        <f>IFERROR(__xludf.DUMMYFUNCTION("""COMPUTED_VALUE"""),0.73)</f>
        <v>0.73</v>
      </c>
      <c r="E22" s="99" t="str">
        <f>IFERROR(__xludf.DUMMYFUNCTION("""COMPUTED_VALUE"""),"not OK")</f>
        <v>not OK</v>
      </c>
      <c r="F22" s="99" t="str">
        <f>IFERROR(__xludf.DUMMYFUNCTION("""COMPUTED_VALUE"""),"OK")</f>
        <v>OK</v>
      </c>
      <c r="G22" s="99" t="str">
        <f>IFERROR(__xludf.DUMMYFUNCTION("""COMPUTED_VALUE"""),"x")</f>
        <v>x</v>
      </c>
      <c r="H22" s="99"/>
      <c r="I22" s="99"/>
      <c r="J22" s="99"/>
      <c r="K22" s="99"/>
      <c r="L22" s="99"/>
      <c r="M22" s="99" t="str">
        <f>IFERROR(__xludf.DUMMYFUNCTION("""COMPUTED_VALUE"""),"x")</f>
        <v>x</v>
      </c>
      <c r="N22" s="99"/>
      <c r="O22" s="99"/>
    </row>
    <row r="23">
      <c r="A23" s="99">
        <f>IFERROR(__xludf.DUMMYFUNCTION("""COMPUTED_VALUE"""),74.0)</f>
        <v>74</v>
      </c>
      <c r="B23" s="99" t="str">
        <f>IFERROR(__xludf.DUMMYFUNCTION("""COMPUTED_VALUE"""),"aleksandra kovač (new zealand) can be found in the country of rhythm and blues, which is lead by k2 and kristina kovač.")</f>
        <v>aleksandra kovač (new zealand) can be found in the country of rhythm and blues, which is lead by k2 and kristina kovač.</v>
      </c>
      <c r="C23" s="99" t="str">
        <f>IFERROR(__xludf.DUMMYFUNCTION("""COMPUTED_VALUE"""),"Aleksandra_Kovač|genre|Rhythm_and_blues ++ Aleksandra_Kovač|associatedBand/associatedMusicalArtist|K2_(Kovač_sisters_duo) ++ Aleksandra_Kovač|associatedBand/associatedMusicalArtist|Kristina_Kovač")</f>
        <v>Aleksandra_Kovač|genre|Rhythm_and_blues ++ Aleksandra_Kovač|associatedBand/associatedMusicalArtist|K2_(Kovač_sisters_duo) ++ Aleksandra_Kovač|associatedBand/associatedMusicalArtist|Kristina_Kovač</v>
      </c>
      <c r="D23" s="99">
        <f>IFERROR(__xludf.DUMMYFUNCTION("""COMPUTED_VALUE"""),0.553)</f>
        <v>0.553</v>
      </c>
      <c r="E23" s="99" t="str">
        <f>IFERROR(__xludf.DUMMYFUNCTION("""COMPUTED_VALUE"""),"not OK")</f>
        <v>not OK</v>
      </c>
      <c r="F23" s="99" t="str">
        <f>IFERROR(__xludf.DUMMYFUNCTION("""COMPUTED_VALUE"""),"OK")</f>
        <v>OK</v>
      </c>
      <c r="G23" s="99"/>
      <c r="H23" s="99"/>
      <c r="I23" s="99"/>
      <c r="J23" s="99"/>
      <c r="K23" s="99"/>
      <c r="L23" s="99"/>
      <c r="M23" s="99"/>
      <c r="N23" s="99"/>
      <c r="O23" s="99"/>
    </row>
    <row r="24">
      <c r="A24" s="99">
        <f>IFERROR(__xludf.DUMMYFUNCTION("""COMPUTED_VALUE"""),62.0)</f>
        <v>62</v>
      </c>
      <c r="B24" s="99" t="str">
        <f>IFERROR(__xludf.DUMMYFUNCTION("""COMPUTED_VALUE"""),". english is spoken in the united states and great britain. the capital of the united states is washington, d.c. a severed wasp is from the united states where the native americans are an ethnic group.")</f>
        <v>. english is spoken in the united states and great britain. the capital of the united states is washington, d.c. a severed wasp is from the united states where the native americans are an ethnic group.</v>
      </c>
      <c r="C24" s="99" t="str">
        <f>IFERROR(__xludf.DUMMYFUNCTION("""COMPUTED_VALUE"""),"English_language|spokenIn|Great_Britain ++ United_States|language|English_language ++ United_States|capital|Washington,_D.C. ++ A_Severed_Wasp|country|United_States ++ United_States|ethnicGroup|Native_Americans_in_the_United_States")</f>
        <v>English_language|spokenIn|Great_Britain ++ United_States|language|English_language ++ United_States|capital|Washington,_D.C. ++ A_Severed_Wasp|country|United_States ++ United_States|ethnicGroup|Native_Americans_in_the_United_States</v>
      </c>
      <c r="D24" s="99">
        <f>IFERROR(__xludf.DUMMYFUNCTION("""COMPUTED_VALUE"""),0.921)</f>
        <v>0.921</v>
      </c>
      <c r="E24" s="99" t="str">
        <f>IFERROR(__xludf.DUMMYFUNCTION("""COMPUTED_VALUE"""),"not OK")</f>
        <v>not OK</v>
      </c>
      <c r="F24" s="99" t="str">
        <f>IFERROR(__xludf.DUMMYFUNCTION("""COMPUTED_VALUE"""),"OK")</f>
        <v>OK</v>
      </c>
      <c r="G24" s="99"/>
      <c r="H24" s="99"/>
      <c r="I24" s="99" t="str">
        <f>IFERROR(__xludf.DUMMYFUNCTION("""COMPUTED_VALUE"""),"x")</f>
        <v>x</v>
      </c>
      <c r="J24" s="99"/>
      <c r="K24" s="99"/>
      <c r="L24" s="99"/>
      <c r="M24" s="99"/>
      <c r="N24" s="99"/>
      <c r="O24" s="99" t="str">
        <f>IFERROR(__xludf.DUMMYFUNCTION("""COMPUTED_VALUE"""),"hallucination: ""located in baku""")</f>
        <v>hallucination: "located in baku"</v>
      </c>
    </row>
    <row r="25">
      <c r="A25" s="99">
        <f>IFERROR(__xludf.DUMMYFUNCTION("""COMPUTED_VALUE"""),23.0)</f>
        <v>23</v>
      </c>
      <c r="B25" s="99" t="str">
        <f>IFERROR(__xludf.DUMMYFUNCTION("""COMPUTED_VALUE"""),"gus poyet, who plays for real zaragoza and chelsea f.c., is the manager of aek athens f.c.. it plays in olympic stadium (athens). it is in marousi.")</f>
        <v>gus poyet, who plays for real zaragoza and chelsea f.c., is the manager of aek athens f.c.. it plays in olympic stadium (athens). it is in marousi.</v>
      </c>
      <c r="C25" s="99" t="str">
        <f>IFERROR(__xludf.DUMMYFUNCTION("""COMPUTED_VALUE"""),"AEK_Athens_F.C.|manager|Gus_Poyet ++ Gus_Poyet|club|Real_Zaragoza ++ Olympic_Stadium_(Athens)|location|Marousi ++ AEK_Athens_F.C.|ground|Olympic_Stadium_(Athens) ++ Gus_Poyet|club|Chelsea_F.C.")</f>
        <v>AEK_Athens_F.C.|manager|Gus_Poyet ++ Gus_Poyet|club|Real_Zaragoza ++ Olympic_Stadium_(Athens)|location|Marousi ++ AEK_Athens_F.C.|ground|Olympic_Stadium_(Athens) ++ Gus_Poyet|club|Chelsea_F.C.</v>
      </c>
      <c r="D25" s="99">
        <f>IFERROR(__xludf.DUMMYFUNCTION("""COMPUTED_VALUE"""),0.417)</f>
        <v>0.417</v>
      </c>
      <c r="E25" s="99" t="str">
        <f>IFERROR(__xludf.DUMMYFUNCTION("""COMPUTED_VALUE"""),"OK")</f>
        <v>OK</v>
      </c>
      <c r="F25" s="99" t="str">
        <f>IFERROR(__xludf.DUMMYFUNCTION("""COMPUTED_VALUE"""),"hallucination")</f>
        <v>hallucination</v>
      </c>
      <c r="G25" s="99"/>
      <c r="H25" s="99" t="str">
        <f>IFERROR(__xludf.DUMMYFUNCTION("""COMPUTED_VALUE"""),"x")</f>
        <v>x</v>
      </c>
      <c r="I25" s="99"/>
      <c r="J25" s="99"/>
      <c r="K25" s="99"/>
      <c r="L25" s="99" t="str">
        <f>IFERROR(__xludf.DUMMYFUNCTION("""COMPUTED_VALUE"""),"x")</f>
        <v>x</v>
      </c>
      <c r="M25" s="99"/>
      <c r="N25" s="99"/>
      <c r="O25" s="99"/>
    </row>
    <row r="26">
      <c r="A26" s="99">
        <f>IFERROR(__xludf.DUMMYFUNCTION("""COMPUTED_VALUE"""),55.0)</f>
        <v>55</v>
      </c>
      <c r="B26" s="99" t="str">
        <f>IFERROR(__xludf.DUMMYFUNCTION("""COMPUTED_VALUE"""),"john van den brom, manager of az alkmaar, plays for jong ajax john van den brom plays for istanbulspor a.s.")</f>
        <v>john van den brom, manager of az alkmaar, plays for jong ajax john van den brom plays for istanbulspor a.s.</v>
      </c>
      <c r="C26" s="99" t="str">
        <f>IFERROR(__xludf.DUMMYFUNCTION("""COMPUTED_VALUE"""),"AZ_Alkmaar|manager|John_van_den_Brom ++ John_van_den_Brom|club|Jong_Ajax ++ John_van_den_Brom|club|İstanbulspor_A.Ş.")</f>
        <v>AZ_Alkmaar|manager|John_van_den_Brom ++ John_van_den_Brom|club|Jong_Ajax ++ John_van_den_Brom|club|İstanbulspor_A.Ş.</v>
      </c>
      <c r="D26" s="99">
        <f>IFERROR(__xludf.DUMMYFUNCTION("""COMPUTED_VALUE"""),0.692)</f>
        <v>0.692</v>
      </c>
      <c r="E26" s="99" t="str">
        <f>IFERROR(__xludf.DUMMYFUNCTION("""COMPUTED_VALUE"""),"not OK")</f>
        <v>not OK</v>
      </c>
      <c r="F26" s="99" t="str">
        <f>IFERROR(__xludf.DUMMYFUNCTION("""COMPUTED_VALUE"""),"OK")</f>
        <v>OK</v>
      </c>
      <c r="G26" s="99" t="str">
        <f>IFERROR(__xludf.DUMMYFUNCTION("""COMPUTED_VALUE"""),"x")</f>
        <v>x</v>
      </c>
      <c r="H26" s="99"/>
      <c r="I26" s="99"/>
      <c r="J26" s="99" t="str">
        <f>IFERROR(__xludf.DUMMYFUNCTION("""COMPUTED_VALUE"""),"x")</f>
        <v>x</v>
      </c>
      <c r="K26" s="99"/>
      <c r="L26" s="99"/>
      <c r="M26" s="99"/>
      <c r="N26" s="99"/>
      <c r="O26" s="99"/>
    </row>
    <row r="27">
      <c r="A27" s="99">
        <f>IFERROR(__xludf.DUMMYFUNCTION("""COMPUTED_VALUE"""),4.0)</f>
        <v>4</v>
      </c>
      <c r="B27" s="99" t="str">
        <f>IFERROR(__xludf.DUMMYFUNCTION("""COMPUTED_VALUE"""),"elliot see died in st louis in france on february 28th 1966.")</f>
        <v>elliot see died in st louis in france on february 28th 1966.</v>
      </c>
      <c r="C27" s="99" t="str">
        <f>IFERROR(__xludf.DUMMYFUNCTION("""COMPUTED_VALUE"""),"Elliot_See|deathPlace|St._Louis ++ St._Louis|isPartOf|Kingdom_of_France ++ Elliot_See|deathDate|""1966-02-28""")</f>
        <v>Elliot_See|deathPlace|St._Louis ++ St._Louis|isPartOf|Kingdom_of_France ++ Elliot_See|deathDate|"1966-02-28"</v>
      </c>
      <c r="D27" s="99">
        <f>IFERROR(__xludf.DUMMYFUNCTION("""COMPUTED_VALUE"""),0.5)</f>
        <v>0.5</v>
      </c>
      <c r="E27" s="99" t="str">
        <f>IFERROR(__xludf.DUMMYFUNCTION("""COMPUTED_VALUE"""),"not OK")</f>
        <v>not OK</v>
      </c>
      <c r="F27" s="99" t="str">
        <f>IFERROR(__xludf.DUMMYFUNCTION("""COMPUTED_VALUE"""),"OK")</f>
        <v>OK</v>
      </c>
      <c r="G27" s="99"/>
      <c r="H27" s="99" t="str">
        <f>IFERROR(__xludf.DUMMYFUNCTION("""COMPUTED_VALUE"""),"x")</f>
        <v>x</v>
      </c>
      <c r="I27" s="99"/>
      <c r="J27" s="99"/>
      <c r="K27" s="99"/>
      <c r="L27" s="99"/>
      <c r="M27" s="99"/>
      <c r="N27" s="99" t="str">
        <f>IFERROR(__xludf.DUMMYFUNCTION("""COMPUTED_VALUE"""),"x")</f>
        <v>x</v>
      </c>
      <c r="O27" s="99"/>
    </row>
    <row r="28">
      <c r="A28" s="99">
        <f>IFERROR(__xludf.DUMMYFUNCTION("""COMPUTED_VALUE"""),22.0)</f>
        <v>22</v>
      </c>
      <c r="B28" s="99" t="str">
        <f>IFERROR(__xludf.DUMMYFUNCTION("""COMPUTED_VALUE"""),"the languages spoken in the philippines are philippine spanish and arabic. batchoy is eaten there and the ethnic groups are the zamboangans and the chinese filipino.")</f>
        <v>the languages spoken in the philippines are philippine spanish and arabic. batchoy is eaten there and the ethnic groups are the zamboangans and the chinese filipino.</v>
      </c>
      <c r="C28" s="99" t="str">
        <f>IFERROR(__xludf.DUMMYFUNCTION("""COMPUTED_VALUE"""),"Philippines|language|Arabic ++ Philippines|ethnicGroup|Zamboangans ++ Philippines|language|Philippine_Spanish ++ Batchoy|country|Philippines ++ Philippines|ethnicGroup|Chinese_Filipino")</f>
        <v>Philippines|language|Arabic ++ Philippines|ethnicGroup|Zamboangans ++ Philippines|language|Philippine_Spanish ++ Batchoy|country|Philippines ++ Philippines|ethnicGroup|Chinese_Filipino</v>
      </c>
      <c r="D28" s="99">
        <f>IFERROR(__xludf.DUMMYFUNCTION("""COMPUTED_VALUE"""),0.122)</f>
        <v>0.122</v>
      </c>
      <c r="E28" s="99" t="str">
        <f>IFERROR(__xludf.DUMMYFUNCTION("""COMPUTED_VALUE"""),"OK")</f>
        <v>OK</v>
      </c>
      <c r="F28" s="99" t="str">
        <f>IFERROR(__xludf.DUMMYFUNCTION("""COMPUTED_VALUE"""),"hallucination")</f>
        <v>hallucination</v>
      </c>
      <c r="G28" s="99" t="str">
        <f>IFERROR(__xludf.DUMMYFUNCTION("""COMPUTED_VALUE"""),"x")</f>
        <v>x</v>
      </c>
      <c r="H28" s="99"/>
      <c r="I28" s="99"/>
      <c r="J28" s="99" t="str">
        <f>IFERROR(__xludf.DUMMYFUNCTION("""COMPUTED_VALUE"""),"x")</f>
        <v>x</v>
      </c>
      <c r="K28" s="99"/>
      <c r="L28" s="99"/>
      <c r="M28" s="99"/>
      <c r="N28" s="99"/>
      <c r="O28" s="99"/>
    </row>
    <row r="29">
      <c r="A29" s="99">
        <f>IFERROR(__xludf.DUMMYFUNCTION("""COMPUTED_VALUE"""),84.0)</f>
        <v>84</v>
      </c>
      <c r="B29" s="99" t="str">
        <f>IFERROR(__xludf.DUMMYFUNCTION("""COMPUTED_VALUE"""),"107 camilla discoverer n. r. pogson n. r. pogson was born in nottingham n. r. pogson, england")</f>
        <v>107 camilla discoverer n. r. pogson n. r. pogson was born in nottingham n. r. pogson, england</v>
      </c>
      <c r="C29" s="99" t="str">
        <f>IFERROR(__xludf.DUMMYFUNCTION("""COMPUTED_VALUE"""),"107_Camilla|discoverer|N._R._Pogson ++ N._R._Pogson|birthPlace|Nottingham ++ N._R._Pogson|nationality|England")</f>
        <v>107_Camilla|discoverer|N._R._Pogson ++ N._R._Pogson|birthPlace|Nottingham ++ N._R._Pogson|nationality|England</v>
      </c>
      <c r="D29" s="99">
        <f>IFERROR(__xludf.DUMMYFUNCTION("""COMPUTED_VALUE"""),0.911)</f>
        <v>0.911</v>
      </c>
      <c r="E29" s="99" t="str">
        <f>IFERROR(__xludf.DUMMYFUNCTION("""COMPUTED_VALUE"""),"not OK")</f>
        <v>not OK</v>
      </c>
      <c r="F29" s="99" t="str">
        <f>IFERROR(__xludf.DUMMYFUNCTION("""COMPUTED_VALUE"""),"OK")</f>
        <v>OK</v>
      </c>
      <c r="G29" s="99" t="str">
        <f>IFERROR(__xludf.DUMMYFUNCTION("""COMPUTED_VALUE"""),"x")</f>
        <v>x</v>
      </c>
      <c r="H29" s="99"/>
      <c r="I29" s="99"/>
      <c r="J29" s="99"/>
      <c r="K29" s="99"/>
      <c r="L29" s="99"/>
      <c r="M29" s="99" t="str">
        <f>IFERROR(__xludf.DUMMYFUNCTION("""COMPUTED_VALUE"""),"x")</f>
        <v>x</v>
      </c>
      <c r="N29" s="99"/>
      <c r="O29" s="99"/>
    </row>
    <row r="30">
      <c r="A30" s="99">
        <f>IFERROR(__xludf.DUMMYFUNCTION("""COMPUTED_VALUE"""),51.0)</f>
        <v>51</v>
      </c>
      <c r="B30" s="99" t="str">
        <f>IFERROR(__xludf.DUMMYFUNCTION("""COMPUTED_VALUE"""),"albert jennings fountain was born in new york city and died in new mexico territory. albert jennings fountain was born in staten island.")</f>
        <v>albert jennings fountain was born in new york city and died in new mexico territory. albert jennings fountain was born in staten island.</v>
      </c>
      <c r="C30" s="99" t="str">
        <f>IFERROR(__xludf.DUMMYFUNCTION("""COMPUTED_VALUE"""),"Albert_Jennings_Fountain|deathPlace|New_Mexico_Territory ++ Albert_Jennings_Fountain|birthPlace|New_York_City ++ Albert_Jennings_Fountain|birthPlace|Staten_Island")</f>
        <v>Albert_Jennings_Fountain|deathPlace|New_Mexico_Territory ++ Albert_Jennings_Fountain|birthPlace|New_York_City ++ Albert_Jennings_Fountain|birthPlace|Staten_Island</v>
      </c>
      <c r="D30" s="99">
        <f>IFERROR(__xludf.DUMMYFUNCTION("""COMPUTED_VALUE"""),0.166)</f>
        <v>0.166</v>
      </c>
      <c r="E30" s="99" t="str">
        <f>IFERROR(__xludf.DUMMYFUNCTION("""COMPUTED_VALUE"""),"OK")</f>
        <v>OK</v>
      </c>
      <c r="F30" s="99" t="str">
        <f>IFERROR(__xludf.DUMMYFUNCTION("""COMPUTED_VALUE"""),"hallucination")</f>
        <v>hallucination</v>
      </c>
      <c r="G30" s="99"/>
      <c r="H30" s="99" t="str">
        <f>IFERROR(__xludf.DUMMYFUNCTION("""COMPUTED_VALUE"""),"x")</f>
        <v>x</v>
      </c>
      <c r="I30" s="99"/>
      <c r="J30" s="99"/>
      <c r="K30" s="99"/>
      <c r="L30" s="99"/>
      <c r="M30" s="99" t="str">
        <f>IFERROR(__xludf.DUMMYFUNCTION("""COMPUTED_VALUE"""),"x")</f>
        <v>x</v>
      </c>
      <c r="N30" s="99"/>
      <c r="O30" s="99"/>
    </row>
    <row r="31">
      <c r="A31" s="99">
        <f>IFERROR(__xludf.DUMMYFUNCTION("""COMPUTED_VALUE"""),68.0)</f>
        <v>68</v>
      </c>
      <c r="B31" s="99" t="str">
        <f>IFERROR(__xludf.DUMMYFUNCTION("""COMPUTED_VALUE"""),"new york city is in new netherland.")</f>
        <v>new york city is in new netherland.</v>
      </c>
      <c r="C31" s="99" t="str">
        <f>IFERROR(__xludf.DUMMYFUNCTION("""COMPUTED_VALUE"""),"New_York_City|isPartOf|New_Netherland")</f>
        <v>New_York_City|isPartOf|New_Netherland</v>
      </c>
      <c r="D31" s="99">
        <f>IFERROR(__xludf.DUMMYFUNCTION("""COMPUTED_VALUE"""),0.91)</f>
        <v>0.91</v>
      </c>
      <c r="E31" s="99" t="str">
        <f>IFERROR(__xludf.DUMMYFUNCTION("""COMPUTED_VALUE"""),"not OK")</f>
        <v>not OK</v>
      </c>
      <c r="F31" s="99" t="str">
        <f>IFERROR(__xludf.DUMMYFUNCTION("""COMPUTED_VALUE"""),"OK")</f>
        <v>OK</v>
      </c>
      <c r="G31" s="99"/>
      <c r="H31" s="99"/>
      <c r="I31" s="99" t="str">
        <f>IFERROR(__xludf.DUMMYFUNCTION("""COMPUTED_VALUE"""),"x")</f>
        <v>x</v>
      </c>
      <c r="J31" s="99"/>
      <c r="K31" s="99"/>
      <c r="L31" s="99" t="str">
        <f>IFERROR(__xludf.DUMMYFUNCTION("""COMPUTED_VALUE"""),"x")</f>
        <v>x</v>
      </c>
      <c r="M31" s="99"/>
      <c r="N31" s="99"/>
      <c r="O31" s="99"/>
    </row>
    <row r="32">
      <c r="A32" s="99">
        <f>IFERROR(__xludf.DUMMYFUNCTION("""COMPUTED_VALUE"""),43.0)</f>
        <v>43</v>
      </c>
      <c r="B32" s="99" t="str">
        <f>IFERROR(__xludf.DUMMYFUNCTION("""COMPUTED_VALUE"""),"amsterdam-centrum and eberhard van der laan are part of amsterdam where afc ajax is based.")</f>
        <v>amsterdam-centrum and eberhard van der laan are part of amsterdam where afc ajax is based.</v>
      </c>
      <c r="C32" s="99" t="str">
        <f>IFERROR(__xludf.DUMMYFUNCTION("""COMPUTED_VALUE"""),"AFC_Ajax_(amateurs)|ground|Amsterdam ++ Amsterdam|leader|Eberhard_van_der_Laan ++ Amsterdam|part|Amsterdam-Centrum")</f>
        <v>AFC_Ajax_(amateurs)|ground|Amsterdam ++ Amsterdam|leader|Eberhard_van_der_Laan ++ Amsterdam|part|Amsterdam-Centrum</v>
      </c>
      <c r="D32" s="99">
        <f>IFERROR(__xludf.DUMMYFUNCTION("""COMPUTED_VALUE"""),0.107)</f>
        <v>0.107</v>
      </c>
      <c r="E32" s="99" t="str">
        <f>IFERROR(__xludf.DUMMYFUNCTION("""COMPUTED_VALUE"""),"OK")</f>
        <v>OK</v>
      </c>
      <c r="F32" s="99" t="str">
        <f>IFERROR(__xludf.DUMMYFUNCTION("""COMPUTED_VALUE"""),"omission")</f>
        <v>omission</v>
      </c>
      <c r="G32" s="99" t="str">
        <f>IFERROR(__xludf.DUMMYFUNCTION("""COMPUTED_VALUE"""),"x")</f>
        <v>x</v>
      </c>
      <c r="H32" s="99"/>
      <c r="I32" s="99"/>
      <c r="J32" s="99"/>
      <c r="K32" s="99"/>
      <c r="L32" s="99"/>
      <c r="M32" s="99" t="str">
        <f>IFERROR(__xludf.DUMMYFUNCTION("""COMPUTED_VALUE"""),"x")</f>
        <v>x</v>
      </c>
      <c r="N32" s="99"/>
      <c r="O32" s="99"/>
    </row>
    <row r="33">
      <c r="A33" s="99">
        <f>IFERROR(__xludf.DUMMYFUNCTION("""COMPUTED_VALUE"""),89.0)</f>
        <v>89</v>
      </c>
      <c r="B33" s="99" t="str">
        <f>IFERROR(__xludf.DUMMYFUNCTION("""COMPUTED_VALUE"""),"adams county, pennsylvania is southwest of carroll county, maryland.")</f>
        <v>adams county, pennsylvania is southwest of carroll county, maryland.</v>
      </c>
      <c r="C33" s="99" t="str">
        <f>IFERROR(__xludf.DUMMYFUNCTION("""COMPUTED_VALUE"""),"Adams_County,_Pennsylvania|has to its southeast|Carroll_County,_Maryland")</f>
        <v>Adams_County,_Pennsylvania|has to its southeast|Carroll_County,_Maryland</v>
      </c>
      <c r="D33" s="99">
        <f>IFERROR(__xludf.DUMMYFUNCTION("""COMPUTED_VALUE"""),0.559)</f>
        <v>0.559</v>
      </c>
      <c r="E33" s="99" t="str">
        <f>IFERROR(__xludf.DUMMYFUNCTION("""COMPUTED_VALUE"""),"not OK")</f>
        <v>not OK</v>
      </c>
      <c r="F33" s="99" t="str">
        <f>IFERROR(__xludf.DUMMYFUNCTION("""COMPUTED_VALUE"""),"OK")</f>
        <v>OK</v>
      </c>
      <c r="G33" s="99"/>
      <c r="H33" s="99"/>
      <c r="I33" s="99"/>
      <c r="J33" s="99"/>
      <c r="K33" s="99"/>
      <c r="L33" s="99"/>
      <c r="M33" s="99"/>
      <c r="N33" s="99"/>
      <c r="O33" s="99"/>
    </row>
    <row r="34">
      <c r="A34" s="99">
        <f>IFERROR(__xludf.DUMMYFUNCTION("""COMPUTED_VALUE"""),40.0)</f>
        <v>40</v>
      </c>
      <c r="B34" s="99" t="str">
        <f>IFERROR(__xludf.DUMMYFUNCTION("""COMPUTED_VALUE"""),"the apoapsis of 101 helena is 4.41092e8 kilometers.")</f>
        <v>the apoapsis of 101 helena is 4.41092e8 kilometers.</v>
      </c>
      <c r="C34" s="99" t="str">
        <f>IFERROR(__xludf.DUMMYFUNCTION("""COMPUTED_VALUE"""),"101_Helena|apoapsis|441092000.0 (kilometres)")</f>
        <v>101_Helena|apoapsis|441092000.0 (kilometres)</v>
      </c>
      <c r="D34" s="99">
        <f>IFERROR(__xludf.DUMMYFUNCTION("""COMPUTED_VALUE"""),0.459)</f>
        <v>0.459</v>
      </c>
      <c r="E34" s="99" t="str">
        <f>IFERROR(__xludf.DUMMYFUNCTION("""COMPUTED_VALUE"""),"OK")</f>
        <v>OK</v>
      </c>
      <c r="F34" s="99" t="str">
        <f>IFERROR(__xludf.DUMMYFUNCTION("""COMPUTED_VALUE"""),"hallucination")</f>
        <v>hallucination</v>
      </c>
      <c r="G34" s="99"/>
      <c r="H34" s="99" t="str">
        <f>IFERROR(__xludf.DUMMYFUNCTION("""COMPUTED_VALUE"""),"x")</f>
        <v>x</v>
      </c>
      <c r="I34" s="99"/>
      <c r="J34" s="99"/>
      <c r="K34" s="99"/>
      <c r="L34" s="99"/>
      <c r="M34" s="99"/>
      <c r="N34" s="99" t="str">
        <f>IFERROR(__xludf.DUMMYFUNCTION("""COMPUTED_VALUE"""),"x")</f>
        <v>x</v>
      </c>
      <c r="O34" s="99"/>
    </row>
    <row r="35">
      <c r="A35" s="99">
        <f>IFERROR(__xludf.DUMMYFUNCTION("""COMPUTED_VALUE"""),67.0)</f>
        <v>67</v>
      </c>
      <c r="B35" s="99" t="str">
        <f>IFERROR(__xludf.DUMMYFUNCTION("""COMPUTED_VALUE"""),"akita museum of art is located in akita, akita, akita prefecture, japan. the brazilians are an ethnic group in japan.")</f>
        <v>akita museum of art is located in akita, akita, akita prefecture, japan. the brazilians are an ethnic group in japan.</v>
      </c>
      <c r="C35" s="99" t="str">
        <f>IFERROR(__xludf.DUMMYFUNCTION("""COMPUTED_VALUE"""),"Akita_Museum_of_Art|country|Japan ++ Akita_Museum_of_Art|location|Akita,_Akita ++ Akita,_Akita|isPartOf|Akita_Prefecture ++ Japan|ethnicGroup|Brazilians_in_Japan")</f>
        <v>Akita_Museum_of_Art|country|Japan ++ Akita_Museum_of_Art|location|Akita,_Akita ++ Akita,_Akita|isPartOf|Akita_Prefecture ++ Japan|ethnicGroup|Brazilians_in_Japan</v>
      </c>
      <c r="D35" s="99">
        <f>IFERROR(__xludf.DUMMYFUNCTION("""COMPUTED_VALUE"""),0.908)</f>
        <v>0.908</v>
      </c>
      <c r="E35" s="99" t="str">
        <f>IFERROR(__xludf.DUMMYFUNCTION("""COMPUTED_VALUE"""),"not OK")</f>
        <v>not OK</v>
      </c>
      <c r="F35" s="99" t="str">
        <f>IFERROR(__xludf.DUMMYFUNCTION("""COMPUTED_VALUE"""),"OK")</f>
        <v>OK</v>
      </c>
      <c r="G35" s="99"/>
      <c r="H35" s="99" t="str">
        <f>IFERROR(__xludf.DUMMYFUNCTION("""COMPUTED_VALUE"""),"x")</f>
        <v>x</v>
      </c>
      <c r="I35" s="99"/>
      <c r="J35" s="99"/>
      <c r="K35" s="99"/>
      <c r="L35" s="99"/>
      <c r="M35" s="99"/>
      <c r="N35" s="99" t="str">
        <f>IFERROR(__xludf.DUMMYFUNCTION("""COMPUTED_VALUE"""),"x")</f>
        <v>x</v>
      </c>
      <c r="O35" s="99"/>
    </row>
    <row r="36">
      <c r="A36" s="99">
        <f>IFERROR(__xludf.DUMMYFUNCTION("""COMPUTED_VALUE"""),86.0)</f>
        <v>86</v>
      </c>
      <c r="B36" s="99" t="str">
        <f>IFERROR(__xludf.DUMMYFUNCTION("""COMPUTED_VALUE"""),"the inhabitants of the united states are known as americans and the language spoken is english. the country is inhabited by americans and the population is known as americans. the country is the location of angola, indiana which is part of steuben county,"&amp;" in indiana.")</f>
        <v>the inhabitants of the united states are known as americans and the language spoken is english. the country is inhabited by americans and the population is known as americans. the country is the location of angola, indiana which is part of steuben county, in indiana.</v>
      </c>
      <c r="C36" s="99" t="str">
        <f>IFERROR(__xludf.DUMMYFUNCTION("""COMPUTED_VALUE"""),"United_States|language|English_language ++ Angola,_Indiana|isPartOf|Steuben_County,_Indiana ++ United_States|demonym|Americans ++ Angola,_Indiana|country|United_States ++ United_States|ethnicGroup|Asian_Americans")</f>
        <v>United_States|language|English_language ++ Angola,_Indiana|isPartOf|Steuben_County,_Indiana ++ United_States|demonym|Americans ++ Angola,_Indiana|country|United_States ++ United_States|ethnicGroup|Asian_Americans</v>
      </c>
      <c r="D36" s="99">
        <f>IFERROR(__xludf.DUMMYFUNCTION("""COMPUTED_VALUE"""),0.579)</f>
        <v>0.579</v>
      </c>
      <c r="E36" s="99" t="str">
        <f>IFERROR(__xludf.DUMMYFUNCTION("""COMPUTED_VALUE"""),"not OK")</f>
        <v>not OK</v>
      </c>
      <c r="F36" s="99" t="str">
        <f>IFERROR(__xludf.DUMMYFUNCTION("""COMPUTED_VALUE"""),"OK")</f>
        <v>OK</v>
      </c>
      <c r="G36" s="99"/>
      <c r="H36" s="99"/>
      <c r="I36" s="99" t="str">
        <f>IFERROR(__xludf.DUMMYFUNCTION("""COMPUTED_VALUE"""),"x")</f>
        <v>x</v>
      </c>
      <c r="J36" s="99"/>
      <c r="K36" s="99" t="str">
        <f>IFERROR(__xludf.DUMMYFUNCTION("""COMPUTED_VALUE"""),"x")</f>
        <v>x</v>
      </c>
      <c r="L36" s="99"/>
      <c r="M36" s="99"/>
      <c r="N36" s="99"/>
      <c r="O36" s="99"/>
    </row>
    <row r="37">
      <c r="A37" s="99">
        <f>IFERROR(__xludf.DUMMYFUNCTION("""COMPUTED_VALUE"""),72.0)</f>
        <v>72</v>
      </c>
      <c r="B37" s="99" t="str">
        <f>IFERROR(__xludf.DUMMYFUNCTION("""COMPUTED_VALUE"""),"abdulsalami abubakar, who graduated from technical institute (kaduna), was born in minna.")</f>
        <v>abdulsalami abubakar, who graduated from technical institute (kaduna), was born in minna.</v>
      </c>
      <c r="C37" s="99" t="str">
        <f>IFERROR(__xludf.DUMMYFUNCTION("""COMPUTED_VALUE"""),"Abdulsalami_Abubakar|birthPlace|Minna ++ Abdulsalami_Abubakar|almaMater|Technical_Institute,_Kaduna")</f>
        <v>Abdulsalami_Abubakar|birthPlace|Minna ++ Abdulsalami_Abubakar|almaMater|Technical_Institute,_Kaduna</v>
      </c>
      <c r="D37" s="99">
        <f>IFERROR(__xludf.DUMMYFUNCTION("""COMPUTED_VALUE"""),0.012)</f>
        <v>0.012</v>
      </c>
      <c r="E37" s="99" t="str">
        <f>IFERROR(__xludf.DUMMYFUNCTION("""COMPUTED_VALUE"""),"OK")</f>
        <v>OK</v>
      </c>
      <c r="F37" s="99" t="str">
        <f>IFERROR(__xludf.DUMMYFUNCTION("""COMPUTED_VALUE"""),"hallucination")</f>
        <v>hallucination</v>
      </c>
      <c r="G37" s="99"/>
      <c r="H37" s="99" t="str">
        <f>IFERROR(__xludf.DUMMYFUNCTION("""COMPUTED_VALUE"""),"x")</f>
        <v>x</v>
      </c>
      <c r="I37" s="99"/>
      <c r="J37" s="99"/>
      <c r="K37" s="99"/>
      <c r="L37" s="99"/>
      <c r="M37" s="99"/>
      <c r="N37" s="99" t="str">
        <f>IFERROR(__xludf.DUMMYFUNCTION("""COMPUTED_VALUE"""),"x")</f>
        <v>x</v>
      </c>
      <c r="O37" s="99"/>
    </row>
    <row r="38">
      <c r="A38" s="99">
        <f>IFERROR(__xludf.DUMMYFUNCTION("""COMPUTED_VALUE"""),80.0)</f>
        <v>80</v>
      </c>
      <c r="B38" s="99" t="str">
        <f>IFERROR(__xludf.DUMMYFUNCTION("""COMPUTED_VALUE"""),"carl a. wirtanen discovered (29075) 1950 da.")</f>
        <v>carl a. wirtanen discovered (29075) 1950 da.</v>
      </c>
      <c r="C38" s="99" t="str">
        <f>IFERROR(__xludf.DUMMYFUNCTION("""COMPUTED_VALUE"""),"(29075)_1950_DA|discoverer|Carl_A._Wirtanen")</f>
        <v>(29075)_1950_DA|discoverer|Carl_A._Wirtanen</v>
      </c>
      <c r="D38" s="99">
        <f>IFERROR(__xludf.DUMMYFUNCTION("""COMPUTED_VALUE"""),0.982)</f>
        <v>0.982</v>
      </c>
      <c r="E38" s="99" t="str">
        <f>IFERROR(__xludf.DUMMYFUNCTION("""COMPUTED_VALUE"""),"not OK")</f>
        <v>not OK</v>
      </c>
      <c r="F38" s="99" t="str">
        <f>IFERROR(__xludf.DUMMYFUNCTION("""COMPUTED_VALUE"""),"OK")</f>
        <v>OK</v>
      </c>
      <c r="G38" s="99" t="str">
        <f>IFERROR(__xludf.DUMMYFUNCTION("""COMPUTED_VALUE"""),"x")</f>
        <v>x</v>
      </c>
      <c r="H38" s="99"/>
      <c r="I38" s="99"/>
      <c r="J38" s="99"/>
      <c r="K38" s="99"/>
      <c r="L38" s="99"/>
      <c r="M38" s="99"/>
      <c r="N38" s="99" t="str">
        <f>IFERROR(__xludf.DUMMYFUNCTION("""COMPUTED_VALUE"""),"x")</f>
        <v>x</v>
      </c>
      <c r="O38" s="99"/>
    </row>
    <row r="39">
      <c r="A39" s="99">
        <f>IFERROR(__xludf.DUMMYFUNCTION("""COMPUTED_VALUE"""),61.0)</f>
        <v>61</v>
      </c>
      <c r="B39" s="99" t="str">
        <f>IFERROR(__xludf.DUMMYFUNCTION("""COMPUTED_VALUE"""),"athens international airport serves athens in greece. alexis tsipras and prokopis pavlopoulos are leaders in greece where the people there are called greek.")</f>
        <v>athens international airport serves athens in greece. alexis tsipras and prokopis pavlopoulos are leaders in greece where the people there are called greek.</v>
      </c>
      <c r="C39" s="99" t="str">
        <f>IFERROR(__xludf.DUMMYFUNCTION("""COMPUTED_VALUE"""),"Athens_International_Airport|cityServed|Athens ++ Athens|country|Greece ++ Greece|leaderName|Alexis_Tsipras ++ Greece|language|Greek_language ++ Greece|leaderName|Prokopis_Pavlopoulos")</f>
        <v>Athens_International_Airport|cityServed|Athens ++ Athens|country|Greece ++ Greece|leaderName|Alexis_Tsipras ++ Greece|language|Greek_language ++ Greece|leaderName|Prokopis_Pavlopoulos</v>
      </c>
      <c r="D39" s="99">
        <f>IFERROR(__xludf.DUMMYFUNCTION("""COMPUTED_VALUE"""),0.307)</f>
        <v>0.307</v>
      </c>
      <c r="E39" s="99" t="str">
        <f>IFERROR(__xludf.DUMMYFUNCTION("""COMPUTED_VALUE"""),"OK")</f>
        <v>OK</v>
      </c>
      <c r="F39" s="99" t="str">
        <f>IFERROR(__xludf.DUMMYFUNCTION("""COMPUTED_VALUE"""),"hallucination+omission")</f>
        <v>hallucination+omission</v>
      </c>
      <c r="G39" s="99"/>
      <c r="H39" s="99"/>
      <c r="I39" s="99" t="str">
        <f>IFERROR(__xludf.DUMMYFUNCTION("""COMPUTED_VALUE"""),"x")</f>
        <v>x</v>
      </c>
      <c r="J39" s="99"/>
      <c r="K39" s="99" t="str">
        <f>IFERROR(__xludf.DUMMYFUNCTION("""COMPUTED_VALUE"""),"x")</f>
        <v>x</v>
      </c>
      <c r="L39" s="99" t="str">
        <f>IFERROR(__xludf.DUMMYFUNCTION("""COMPUTED_VALUE"""),"x")</f>
        <v>x</v>
      </c>
      <c r="M39" s="99"/>
      <c r="N39" s="99"/>
      <c r="O39" s="99"/>
    </row>
    <row r="40">
      <c r="A40" s="99">
        <f>IFERROR(__xludf.DUMMYFUNCTION("""COMPUTED_VALUE"""),48.0)</f>
        <v>48</v>
      </c>
      <c r="B40" s="99" t="str">
        <f>IFERROR(__xludf.DUMMYFUNCTION("""COMPUTED_VALUE"""),"aenir is in english.")</f>
        <v>aenir is in english.</v>
      </c>
      <c r="C40" s="99" t="str">
        <f>IFERROR(__xludf.DUMMYFUNCTION("""COMPUTED_VALUE"""),"Aenir|language|English_language")</f>
        <v>Aenir|language|English_language</v>
      </c>
      <c r="D40" s="99">
        <f>IFERROR(__xludf.DUMMYFUNCTION("""COMPUTED_VALUE"""),0.8)</f>
        <v>0.8</v>
      </c>
      <c r="E40" s="99" t="str">
        <f>IFERROR(__xludf.DUMMYFUNCTION("""COMPUTED_VALUE"""),"not OK")</f>
        <v>not OK</v>
      </c>
      <c r="F40" s="99" t="str">
        <f>IFERROR(__xludf.DUMMYFUNCTION("""COMPUTED_VALUE"""),"OK")</f>
        <v>OK</v>
      </c>
      <c r="G40" s="99"/>
      <c r="H40" s="99" t="str">
        <f>IFERROR(__xludf.DUMMYFUNCTION("""COMPUTED_VALUE"""),"x")</f>
        <v>x</v>
      </c>
      <c r="I40" s="99"/>
      <c r="J40" s="99"/>
      <c r="K40" s="99"/>
      <c r="L40" s="99" t="str">
        <f>IFERROR(__xludf.DUMMYFUNCTION("""COMPUTED_VALUE"""),"x")</f>
        <v>x</v>
      </c>
      <c r="M40" s="99"/>
      <c r="N40" s="99"/>
      <c r="O40" s="99"/>
    </row>
    <row r="41">
      <c r="A41" s="99">
        <f>IFERROR(__xludf.DUMMYFUNCTION("""COMPUTED_VALUE"""),77.0)</f>
        <v>77</v>
      </c>
      <c r="B41" s="99" t="str">
        <f>IFERROR(__xludf.DUMMYFUNCTION("""COMPUTED_VALUE"""),"baku turkish martyrs ' memorial is located in azerbaijan, which has artur rasizade as prime minister. baku is the capital of azerbaijan.")</f>
        <v>baku turkish martyrs ' memorial is located in azerbaijan, which has artur rasizade as prime minister. baku is the capital of azerbaijan.</v>
      </c>
      <c r="C41" s="99" t="str">
        <f>IFERROR(__xludf.DUMMYFUNCTION("""COMPUTED_VALUE"""),"Azerbaijan|capital|Baku ++ Azerbaijan|leaderTitle|Prime_Minister_of_Azerbaijan ++ Baku_Turkish_Martyrs'_Memorial|location|Azerbaijan ++ Azerbaijan|leaderName|Artur_Rasizade")</f>
        <v>Azerbaijan|capital|Baku ++ Azerbaijan|leaderTitle|Prime_Minister_of_Azerbaijan ++ Baku_Turkish_Martyrs'_Memorial|location|Azerbaijan ++ Azerbaijan|leaderName|Artur_Rasizade</v>
      </c>
      <c r="D41" s="99">
        <f>IFERROR(__xludf.DUMMYFUNCTION("""COMPUTED_VALUE"""),0.475)</f>
        <v>0.475</v>
      </c>
      <c r="E41" s="99" t="str">
        <f>IFERROR(__xludf.DUMMYFUNCTION("""COMPUTED_VALUE"""),"OK")</f>
        <v>OK</v>
      </c>
      <c r="F41" s="99" t="str">
        <f>IFERROR(__xludf.DUMMYFUNCTION("""COMPUTED_VALUE"""),"omission")</f>
        <v>omission</v>
      </c>
      <c r="G41" s="99"/>
      <c r="H41" s="99"/>
      <c r="I41" s="99"/>
      <c r="J41" s="99"/>
      <c r="K41" s="99"/>
      <c r="L41" s="99"/>
      <c r="M41" s="99"/>
      <c r="N41" s="99"/>
      <c r="O41" s="99"/>
    </row>
    <row r="42">
      <c r="A42" s="99">
        <f>IFERROR(__xludf.DUMMYFUNCTION("""COMPUTED_VALUE"""),64.0)</f>
        <v>64</v>
      </c>
      <c r="B42" s="99" t="str">
        <f>IFERROR(__xludf.DUMMYFUNCTION("""COMPUTED_VALUE"""),"atlantic city, new jersey is published in united states, the capital of which is washington dc")</f>
        <v>atlantic city, new jersey is published in united states, the capital of which is washington dc</v>
      </c>
      <c r="C42" s="99" t="str">
        <f>IFERROR(__xludf.DUMMYFUNCTION("""COMPUTED_VALUE"""),"Atlantic_City,_New_Jersey|country|United_States ++ United_States|capital|Washington,_D.C.")</f>
        <v>Atlantic_City,_New_Jersey|country|United_States ++ United_States|capital|Washington,_D.C.</v>
      </c>
      <c r="D42" s="99">
        <f>IFERROR(__xludf.DUMMYFUNCTION("""COMPUTED_VALUE"""),0.824)</f>
        <v>0.824</v>
      </c>
      <c r="E42" s="99" t="str">
        <f>IFERROR(__xludf.DUMMYFUNCTION("""COMPUTED_VALUE"""),"not OK")</f>
        <v>not OK</v>
      </c>
      <c r="F42" s="99" t="str">
        <f>IFERROR(__xludf.DUMMYFUNCTION("""COMPUTED_VALUE"""),"OK")</f>
        <v>OK</v>
      </c>
      <c r="G42" s="99"/>
      <c r="H42" s="99"/>
      <c r="I42" s="99"/>
      <c r="J42" s="99"/>
      <c r="K42" s="99"/>
      <c r="L42" s="99"/>
      <c r="M42" s="99"/>
      <c r="N42" s="99"/>
      <c r="O42" s="99"/>
    </row>
    <row r="43">
      <c r="A43" s="99">
        <f>IFERROR(__xludf.DUMMYFUNCTION("""COMPUTED_VALUE"""),97.0)</f>
        <v>97</v>
      </c>
      <c r="B43" s="99" t="str">
        <f>IFERROR(__xludf.DUMMYFUNCTION("""COMPUTED_VALUE"""),"1 decembrie 1918 university is in the state of alba.")</f>
        <v>1 decembrie 1918 university is in the state of alba.</v>
      </c>
      <c r="C43" s="99" t="str">
        <f>IFERROR(__xludf.DUMMYFUNCTION("""COMPUTED_VALUE"""),"1_Decembrie_1918_University|state|Alba")</f>
        <v>1_Decembrie_1918_University|state|Alba</v>
      </c>
      <c r="D43" s="99">
        <f>IFERROR(__xludf.DUMMYFUNCTION("""COMPUTED_VALUE"""),0.978)</f>
        <v>0.978</v>
      </c>
      <c r="E43" s="99" t="str">
        <f>IFERROR(__xludf.DUMMYFUNCTION("""COMPUTED_VALUE"""),"not OK")</f>
        <v>not OK</v>
      </c>
      <c r="F43" s="99" t="str">
        <f>IFERROR(__xludf.DUMMYFUNCTION("""COMPUTED_VALUE"""),"OK")</f>
        <v>OK</v>
      </c>
      <c r="G43" s="99" t="str">
        <f>IFERROR(__xludf.DUMMYFUNCTION("""COMPUTED_VALUE"""),"x")</f>
        <v>x</v>
      </c>
      <c r="H43" s="99"/>
      <c r="I43" s="99"/>
      <c r="J43" s="99"/>
      <c r="K43" s="99"/>
      <c r="L43" s="99"/>
      <c r="M43" s="99"/>
      <c r="N43" s="99" t="str">
        <f>IFERROR(__xludf.DUMMYFUNCTION("""COMPUTED_VALUE"""),"x")</f>
        <v>x</v>
      </c>
      <c r="O43" s="99"/>
    </row>
    <row r="44">
      <c r="A44" s="99">
        <f>IFERROR(__xludf.DUMMYFUNCTION("""COMPUTED_VALUE"""),96.0)</f>
        <v>96</v>
      </c>
      <c r="B44" s="99" t="str">
        <f>IFERROR(__xludf.DUMMYFUNCTION("""COMPUTED_VALUE"""),"the comic character asterix was created by albert uderzo and rene goscinny, who is french.")</f>
        <v>the comic character asterix was created by albert uderzo and rene goscinny, who is french.</v>
      </c>
      <c r="C44" s="99" t="str">
        <f>IFERROR(__xludf.DUMMYFUNCTION("""COMPUTED_VALUE"""),"Asterix_(comicsCharacter)|creator|René_Goscinny ++ René_Goscinny|nationality|French_people ++ Asterix_(comicsCharacter)|creator|Albert_Uderzo")</f>
        <v>Asterix_(comicsCharacter)|creator|René_Goscinny ++ René_Goscinny|nationality|French_people ++ Asterix_(comicsCharacter)|creator|Albert_Uderzo</v>
      </c>
      <c r="D44" s="99">
        <f>IFERROR(__xludf.DUMMYFUNCTION("""COMPUTED_VALUE"""),0.137)</f>
        <v>0.137</v>
      </c>
      <c r="E44" s="99" t="str">
        <f>IFERROR(__xludf.DUMMYFUNCTION("""COMPUTED_VALUE"""),"OK")</f>
        <v>OK</v>
      </c>
      <c r="F44" s="99" t="str">
        <f>IFERROR(__xludf.DUMMYFUNCTION("""COMPUTED_VALUE"""),"omission")</f>
        <v>omission</v>
      </c>
      <c r="G44" s="99"/>
      <c r="H44" s="99" t="str">
        <f>IFERROR(__xludf.DUMMYFUNCTION("""COMPUTED_VALUE"""),"x")</f>
        <v>x</v>
      </c>
      <c r="I44" s="99"/>
      <c r="J44" s="99"/>
      <c r="K44" s="99"/>
      <c r="L44" s="99" t="str">
        <f>IFERROR(__xludf.DUMMYFUNCTION("""COMPUTED_VALUE"""),"x")</f>
        <v>x</v>
      </c>
      <c r="M44" s="99"/>
      <c r="N44" s="99"/>
      <c r="O44" s="99"/>
    </row>
    <row r="45">
      <c r="A45" s="99">
        <f>IFERROR(__xludf.DUMMYFUNCTION("""COMPUTED_VALUE"""),94.0)</f>
        <v>94</v>
      </c>
      <c r="B45" s="99" t="str">
        <f>IFERROR(__xludf.DUMMYFUNCTION("""COMPUTED_VALUE"""),"associazione calcio lumezzane spa is the nickname of ac lumezzane. lumezzane have 4150 members and play in lega pro/a.")</f>
        <v>associazione calcio lumezzane spa is the nickname of ac lumezzane. lumezzane have 4150 members and play in lega pro/a.</v>
      </c>
      <c r="C45" s="99" t="str">
        <f>IFERROR(__xludf.DUMMYFUNCTION("""COMPUTED_VALUE"""),"A.C._Lumezzane|fullname|""Associazione Calcio Lumezzane SpA"" ++ A.C._Lumezzane|league|""Lega Pro/A"" ++ A.C._Lumezzane|numberOfMembers|4150")</f>
        <v>A.C._Lumezzane|fullname|"Associazione Calcio Lumezzane SpA" ++ A.C._Lumezzane|league|"Lega Pro/A" ++ A.C._Lumezzane|numberOfMembers|4150</v>
      </c>
      <c r="D45" s="99">
        <f>IFERROR(__xludf.DUMMYFUNCTION("""COMPUTED_VALUE"""),0.331)</f>
        <v>0.331</v>
      </c>
      <c r="E45" s="99" t="str">
        <f>IFERROR(__xludf.DUMMYFUNCTION("""COMPUTED_VALUE"""),"OK")</f>
        <v>OK</v>
      </c>
      <c r="F45" s="99" t="str">
        <f>IFERROR(__xludf.DUMMYFUNCTION("""COMPUTED_VALUE"""),"omission")</f>
        <v>omission</v>
      </c>
      <c r="G45" s="99"/>
      <c r="H45" s="99"/>
      <c r="I45" s="99" t="str">
        <f>IFERROR(__xludf.DUMMYFUNCTION("""COMPUTED_VALUE"""),"x")</f>
        <v>x</v>
      </c>
      <c r="J45" s="99"/>
      <c r="K45" s="99"/>
      <c r="L45" s="99" t="str">
        <f>IFERROR(__xludf.DUMMYFUNCTION("""COMPUTED_VALUE"""),"x")</f>
        <v>x</v>
      </c>
      <c r="M45" s="99"/>
      <c r="N45" s="99"/>
      <c r="O45" s="99"/>
    </row>
    <row r="46">
      <c r="A46" s="99">
        <f>IFERROR(__xludf.DUMMYFUNCTION("""COMPUTED_VALUE"""),93.0)</f>
        <v>93</v>
      </c>
      <c r="B46" s="99" t="str">
        <f>IFERROR(__xludf.DUMMYFUNCTION("""COMPUTED_VALUE"""),"rolando maran , who has managed ac chievo verona , was born in italy .")</f>
        <v>rolando maran , who has managed ac chievo verona , was born in italy .</v>
      </c>
      <c r="C46" s="99" t="str">
        <f>IFERROR(__xludf.DUMMYFUNCTION("""COMPUTED_VALUE"""),"A.C._Chievo_Verona|manager|Rolando_Maran ++ Rolando_Maran|placeOfBirth|Italy")</f>
        <v>A.C._Chievo_Verona|manager|Rolando_Maran ++ Rolando_Maran|placeOfBirth|Italy</v>
      </c>
      <c r="D46" s="99">
        <f>IFERROR(__xludf.DUMMYFUNCTION("""COMPUTED_VALUE"""),0.955)</f>
        <v>0.955</v>
      </c>
      <c r="E46" s="99" t="str">
        <f>IFERROR(__xludf.DUMMYFUNCTION("""COMPUTED_VALUE"""),"not OK")</f>
        <v>not OK</v>
      </c>
      <c r="F46" s="99" t="str">
        <f>IFERROR(__xludf.DUMMYFUNCTION("""COMPUTED_VALUE"""),"OK")</f>
        <v>OK</v>
      </c>
      <c r="G46" s="99"/>
      <c r="H46" s="99" t="str">
        <f>IFERROR(__xludf.DUMMYFUNCTION("""COMPUTED_VALUE"""),"x")</f>
        <v>x</v>
      </c>
      <c r="I46" s="99"/>
      <c r="J46" s="99"/>
      <c r="K46" s="99"/>
      <c r="L46" s="99"/>
      <c r="M46" s="99"/>
      <c r="N46" s="99" t="str">
        <f>IFERROR(__xludf.DUMMYFUNCTION("""COMPUTED_VALUE"""),"x")</f>
        <v>x</v>
      </c>
      <c r="O46" s="99"/>
    </row>
    <row r="47">
      <c r="A47" s="99">
        <f>IFERROR(__xludf.DUMMYFUNCTION("""COMPUTED_VALUE"""),46.0)</f>
        <v>46</v>
      </c>
      <c r="B47" s="99" t="str">
        <f>IFERROR(__xludf.DUMMYFUNCTION("""COMPUTED_VALUE"""),"the baku turkish martyr 's memorial is located in baku, the capital of azerbaijan, lead by prime minister artur rasizade.")</f>
        <v>the baku turkish martyr 's memorial is located in baku, the capital of azerbaijan, lead by prime minister artur rasizade.</v>
      </c>
      <c r="C47" s="99" t="str">
        <f>IFERROR(__xludf.DUMMYFUNCTION("""COMPUTED_VALUE"""),"Azerbaijan|capital|Baku ++ Azerbaijan|leaderTitle|Prime_Minister_of_Azerbaijan ++ Baku_Turkish_Martyrs'_Memorial|location|Azerbaijan ++ Azerbaijan|leaderName|Artur_Rasizade")</f>
        <v>Azerbaijan|capital|Baku ++ Azerbaijan|leaderTitle|Prime_Minister_of_Azerbaijan ++ Baku_Turkish_Martyrs'_Memorial|location|Azerbaijan ++ Azerbaijan|leaderName|Artur_Rasizade</v>
      </c>
      <c r="D47" s="99">
        <f>IFERROR(__xludf.DUMMYFUNCTION("""COMPUTED_VALUE"""),0.414)</f>
        <v>0.414</v>
      </c>
      <c r="E47" s="99" t="str">
        <f>IFERROR(__xludf.DUMMYFUNCTION("""COMPUTED_VALUE"""),"OK")</f>
        <v>OK</v>
      </c>
      <c r="F47" s="99" t="str">
        <f>IFERROR(__xludf.DUMMYFUNCTION("""COMPUTED_VALUE"""),"omission")</f>
        <v>omission</v>
      </c>
      <c r="G47" s="99" t="str">
        <f>IFERROR(__xludf.DUMMYFUNCTION("""COMPUTED_VALUE"""),"x")</f>
        <v>x</v>
      </c>
      <c r="H47" s="99"/>
      <c r="I47" s="99"/>
      <c r="J47" s="99" t="str">
        <f>IFERROR(__xludf.DUMMYFUNCTION("""COMPUTED_VALUE"""),"x")</f>
        <v>x</v>
      </c>
      <c r="K47" s="99"/>
      <c r="L47" s="99"/>
      <c r="M47" s="99"/>
      <c r="N47" s="99"/>
      <c r="O47" s="99"/>
    </row>
    <row r="48">
      <c r="A48" s="99">
        <f>IFERROR(__xludf.DUMMYFUNCTION("""COMPUTED_VALUE"""),27.0)</f>
        <v>27</v>
      </c>
      <c r="B48" s="99"/>
      <c r="C48" s="99" t="str">
        <f>IFERROR(__xludf.DUMMYFUNCTION("""COMPUTED_VALUE"""),"Indonesia|language|Indonesian_language")</f>
        <v>Indonesia|language|Indonesian_language</v>
      </c>
      <c r="D48" s="99">
        <f>IFERROR(__xludf.DUMMYFUNCTION("""COMPUTED_VALUE"""),0.599)</f>
        <v>0.599</v>
      </c>
      <c r="E48" s="99" t="str">
        <f>IFERROR(__xludf.DUMMYFUNCTION("""COMPUTED_VALUE"""),"not OK")</f>
        <v>not OK</v>
      </c>
      <c r="F48" s="99" t="str">
        <f>IFERROR(__xludf.DUMMYFUNCTION("""COMPUTED_VALUE"""),"OK")</f>
        <v>OK</v>
      </c>
      <c r="G48" s="99"/>
      <c r="H48" s="99" t="str">
        <f>IFERROR(__xludf.DUMMYFUNCTION("""COMPUTED_VALUE"""),"x")</f>
        <v>x</v>
      </c>
      <c r="I48" s="99"/>
      <c r="J48" s="99"/>
      <c r="K48" s="99"/>
      <c r="L48" s="99"/>
      <c r="M48" s="99"/>
      <c r="N48" s="99" t="str">
        <f>IFERROR(__xludf.DUMMYFUNCTION("""COMPUTED_VALUE"""),"x")</f>
        <v>x</v>
      </c>
      <c r="O48" s="99"/>
    </row>
    <row r="49">
      <c r="A49" s="99">
        <f>IFERROR(__xludf.DUMMYFUNCTION("""COMPUTED_VALUE"""),3.0)</f>
        <v>3</v>
      </c>
      <c r="B49" s="99" t="str">
        <f>IFERROR(__xludf.DUMMYFUNCTION("""COMPUTED_VALUE"""),"adare manor is located in county limerick, adare, limerick city and county council and is operated by munster.")</f>
        <v>adare manor is located in county limerick, adare, limerick city and county council and is operated by munster.</v>
      </c>
      <c r="C49" s="99" t="str">
        <f>IFERROR(__xludf.DUMMYFUNCTION("""COMPUTED_VALUE"""),"Adare_Manor|location|Adare ++ County_Limerick|isPartOf|Munster ++ Adare_Manor|location|County_Limerick ++ County_Limerick|governmentType|Limerick_City_and_County_Council")</f>
        <v>Adare_Manor|location|Adare ++ County_Limerick|isPartOf|Munster ++ Adare_Manor|location|County_Limerick ++ County_Limerick|governmentType|Limerick_City_and_County_Council</v>
      </c>
      <c r="D49" s="99">
        <f>IFERROR(__xludf.DUMMYFUNCTION("""COMPUTED_VALUE"""),0.769)</f>
        <v>0.769</v>
      </c>
      <c r="E49" s="99" t="str">
        <f>IFERROR(__xludf.DUMMYFUNCTION("""COMPUTED_VALUE"""),"not OK")</f>
        <v>not OK</v>
      </c>
      <c r="F49" s="99" t="str">
        <f>IFERROR(__xludf.DUMMYFUNCTION("""COMPUTED_VALUE"""),"OK")</f>
        <v>OK</v>
      </c>
      <c r="G49" s="99" t="str">
        <f>IFERROR(__xludf.DUMMYFUNCTION("""COMPUTED_VALUE"""),"x")</f>
        <v>x</v>
      </c>
      <c r="H49" s="99"/>
      <c r="I49" s="99"/>
      <c r="J49" s="99"/>
      <c r="K49" s="99"/>
      <c r="L49" s="99"/>
      <c r="M49" s="99" t="str">
        <f>IFERROR(__xludf.DUMMYFUNCTION("""COMPUTED_VALUE"""),"x")</f>
        <v>x</v>
      </c>
      <c r="N49" s="99"/>
      <c r="O49" s="99"/>
    </row>
    <row r="50">
      <c r="A50" s="99">
        <f>IFERROR(__xludf.DUMMYFUNCTION("""COMPUTED_VALUE"""),54.0)</f>
        <v>54</v>
      </c>
      <c r="B50" s="99" t="str">
        <f>IFERROR(__xludf.DUMMYFUNCTION("""COMPUTED_VALUE"""),"american journal of mathematics, the academic discipline mathematics")</f>
        <v>american journal of mathematics, the academic discipline mathematics</v>
      </c>
      <c r="C50" s="99" t="str">
        <f>IFERROR(__xludf.DUMMYFUNCTION("""COMPUTED_VALUE"""),"American_Journal_of_Mathematics|academicDiscipline|Mathematics")</f>
        <v>American_Journal_of_Mathematics|academicDiscipline|Mathematics</v>
      </c>
      <c r="D50" s="99">
        <f>IFERROR(__xludf.DUMMYFUNCTION("""COMPUTED_VALUE"""),0.977)</f>
        <v>0.977</v>
      </c>
      <c r="E50" s="99" t="str">
        <f>IFERROR(__xludf.DUMMYFUNCTION("""COMPUTED_VALUE"""),"not OK")</f>
        <v>not OK</v>
      </c>
      <c r="F50" s="99" t="str">
        <f>IFERROR(__xludf.DUMMYFUNCTION("""COMPUTED_VALUE"""),"OK")</f>
        <v>OK</v>
      </c>
      <c r="G50" s="99" t="str">
        <f>IFERROR(__xludf.DUMMYFUNCTION("""COMPUTED_VALUE"""),"x")</f>
        <v>x</v>
      </c>
      <c r="H50" s="99"/>
      <c r="I50" s="99"/>
      <c r="J50" s="99" t="str">
        <f>IFERROR(__xludf.DUMMYFUNCTION("""COMPUTED_VALUE"""),"x")</f>
        <v>x</v>
      </c>
      <c r="K50" s="99"/>
      <c r="L50" s="99"/>
      <c r="M50" s="99"/>
      <c r="N50" s="99"/>
      <c r="O50" s="99"/>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sheetData>
    <row r="1">
      <c r="A1" s="99" t="str">
        <f>'Original-WebNLG'!A2</f>
        <v/>
      </c>
      <c r="B1" s="99" t="str">
        <f>'Original-WebNLG'!B2</f>
        <v>sent</v>
      </c>
      <c r="C1" s="99" t="str">
        <f>'Original-WebNLG'!C2</f>
        <v>MRs</v>
      </c>
      <c r="D1" s="99" t="str">
        <f>'Original-WebNLG'!D2</f>
        <v>OK_conf</v>
      </c>
      <c r="E1" s="99" t="str">
        <f>'Original-WebNLG'!E2</f>
        <v>error_type</v>
      </c>
      <c r="F1" s="99" t="str">
        <f>'Original-WebNLG'!F2</f>
        <v/>
      </c>
      <c r="G1" s="99" t="str">
        <f>'Original-WebNLG'!G2</f>
        <v>who is correct</v>
      </c>
      <c r="H1" s="99" t="str">
        <f>'Original-WebNLG'!H2</f>
        <v/>
      </c>
      <c r="I1" s="99" t="str">
        <f>'Original-WebNLG'!I2</f>
        <v/>
      </c>
      <c r="J1" s="99" t="str">
        <f>'Original-WebNLG'!J2</f>
        <v>problem</v>
      </c>
      <c r="K1" s="99" t="str">
        <f>'Original-WebNLG'!K2</f>
        <v/>
      </c>
      <c r="L1" s="99" t="str">
        <f>'Original-WebNLG'!L2</f>
        <v/>
      </c>
      <c r="M1" s="99" t="str">
        <f>'Original-WebNLG'!M2</f>
        <v/>
      </c>
      <c r="N1" s="99" t="str">
        <f>'Original-WebNLG'!N2</f>
        <v/>
      </c>
      <c r="O1" s="99" t="str">
        <f>'Original-WebNLG'!O2</f>
        <v/>
      </c>
    </row>
    <row r="2">
      <c r="A2" s="99" t="str">
        <f>'Original-WebNLG'!A3</f>
        <v>#</v>
      </c>
      <c r="B2" s="99" t="str">
        <f>'Original-WebNLG'!B3</f>
        <v/>
      </c>
      <c r="C2" s="99" t="str">
        <f>'Original-WebNLG'!C3</f>
        <v/>
      </c>
      <c r="D2" s="99" t="str">
        <f>'Original-WebNLG'!D3</f>
        <v/>
      </c>
      <c r="E2" s="99" t="str">
        <f>'Original-WebNLG'!E3</f>
        <v>gold</v>
      </c>
      <c r="F2" s="99" t="str">
        <f>'Original-WebNLG'!F3</f>
        <v>NLI</v>
      </c>
      <c r="G2" s="99" t="str">
        <f>'Original-WebNLG'!G3</f>
        <v>gold</v>
      </c>
      <c r="H2" s="99" t="str">
        <f>'Original-WebNLG'!H3</f>
        <v>NLI</v>
      </c>
      <c r="I2" s="99" t="str">
        <f>'Original-WebNLG'!I3</f>
        <v>neither / cannot decide</v>
      </c>
      <c r="J2" s="99" t="str">
        <f>'Original-WebNLG'!J3</f>
        <v>biased template</v>
      </c>
      <c r="K2" s="99" t="str">
        <f>'Original-WebNLG'!K3</f>
        <v>value format</v>
      </c>
      <c r="L2" s="99" t="str">
        <f>'Original-WebNLG'!L3</f>
        <v>bad sentence</v>
      </c>
      <c r="M2" s="99" t="str">
        <f>'Original-WebNLG'!M3</f>
        <v>unjustified OK</v>
      </c>
      <c r="N2" s="99" t="str">
        <f>'Original-WebNLG'!N3</f>
        <v>unjustified not OK</v>
      </c>
      <c r="O2" s="99" t="str">
        <f>'Original-WebNLG'!O3</f>
        <v>other</v>
      </c>
    </row>
    <row r="3">
      <c r="A3" s="99">
        <f>'retrieve WebNLG ZK random'!A5</f>
        <v>1</v>
      </c>
      <c r="B3" s="99" t="str">
        <f>'retrieve WebNLG ZK random'!B5</f>
        <v>aenir is written in english.</v>
      </c>
      <c r="C3" s="99" t="str">
        <f>'retrieve WebNLG ZK random'!C5</f>
        <v>Aenir|language|English_language</v>
      </c>
      <c r="D3" s="99">
        <f>'retrieve WebNLG ZK random'!D5</f>
        <v>0.125</v>
      </c>
      <c r="E3" s="99" t="str">
        <f>'retrieve WebNLG ZK random'!E5</f>
        <v>OK</v>
      </c>
      <c r="F3" s="99" t="str">
        <f>'retrieve WebNLG ZK random'!F5</f>
        <v>hallucination</v>
      </c>
      <c r="G3" s="99" t="str">
        <f>'retrieve WebNLG ZK random'!G5</f>
        <v>x</v>
      </c>
      <c r="H3" s="99" t="str">
        <f>'retrieve WebNLG ZK random'!H5</f>
        <v/>
      </c>
      <c r="I3" s="99" t="str">
        <f>'retrieve WebNLG ZK random'!I5</f>
        <v/>
      </c>
      <c r="J3" s="99" t="str">
        <f>'retrieve WebNLG ZK random'!J5</f>
        <v/>
      </c>
      <c r="K3" s="99" t="str">
        <f>'retrieve WebNLG ZK random'!K5</f>
        <v/>
      </c>
      <c r="L3" s="99" t="str">
        <f>'retrieve WebNLG ZK random'!L5</f>
        <v/>
      </c>
      <c r="M3" s="99" t="str">
        <f>'retrieve WebNLG ZK random'!M5</f>
        <v>x</v>
      </c>
      <c r="N3" s="99" t="str">
        <f>'retrieve WebNLG ZK random'!N5</f>
        <v/>
      </c>
      <c r="O3" s="99" t="str">
        <f>'retrieve WebNLG ZK random'!O5</f>
        <v/>
      </c>
    </row>
    <row r="4">
      <c r="A4" s="99">
        <f>'retrieve WebNLG OD random'!A31</f>
        <v>2</v>
      </c>
      <c r="B4" s="99" t="str">
        <f>'retrieve WebNLG OD random'!B31</f>
        <v>the awh engineering college is located in kuttikkattoor, kerala. it was established in 2001 and it has 250 academic staff. kerala has mahe, country to its northwest.</v>
      </c>
      <c r="C4" s="99" t="str">
        <f>'retrieve WebNLG OD random'!C31</f>
        <v>AWH_Engineering_College|established|2001 ++ AWH_Engineering_College|academicStaffSize|250 ++ AWH_Engineering_College|state|Kerala ++ Kerala|has to its northwest|Mahé,_India ++ AWH_Engineering_College|city|"Kuttikkattoor"</v>
      </c>
      <c r="D4" s="99">
        <f>'retrieve WebNLG OD random'!D31</f>
        <v>0.838</v>
      </c>
      <c r="E4" s="99" t="str">
        <f>'retrieve WebNLG OD random'!E31</f>
        <v>not OK</v>
      </c>
      <c r="F4" s="99" t="str">
        <f>'retrieve WebNLG OD random'!F31</f>
        <v>OK</v>
      </c>
      <c r="G4" s="99" t="str">
        <f>'retrieve WebNLG OD random'!G31</f>
        <v/>
      </c>
      <c r="H4" s="99" t="str">
        <f>'retrieve WebNLG OD random'!H31</f>
        <v>x</v>
      </c>
      <c r="I4" s="99" t="str">
        <f>'retrieve WebNLG OD random'!I31</f>
        <v/>
      </c>
      <c r="J4" s="99" t="str">
        <f>'retrieve WebNLG OD random'!J31</f>
        <v/>
      </c>
      <c r="K4" s="99" t="str">
        <f>'retrieve WebNLG OD random'!K31</f>
        <v/>
      </c>
      <c r="L4" s="99" t="str">
        <f>'retrieve WebNLG OD random'!L31</f>
        <v>x</v>
      </c>
      <c r="M4" s="99" t="str">
        <f>'retrieve WebNLG OD random'!M31</f>
        <v/>
      </c>
      <c r="N4" s="99" t="str">
        <f>'retrieve WebNLG OD random'!N31</f>
        <v/>
      </c>
      <c r="O4" s="99" t="str">
        <f>'retrieve WebNLG OD random'!O31</f>
        <v/>
      </c>
    </row>
    <row r="5">
      <c r="A5" s="99">
        <f>'retrieve WebNLG ZK random'!A49</f>
        <v>3</v>
      </c>
      <c r="B5" s="99" t="str">
        <f>'retrieve WebNLG ZK random'!B49</f>
        <v>adare manor is located in county limerick, adare, limerick city and county council and is operated by munster.</v>
      </c>
      <c r="C5" s="99" t="str">
        <f>'retrieve WebNLG ZK random'!C49</f>
        <v>Adare_Manor|location|Adare ++ County_Limerick|isPartOf|Munster ++ Adare_Manor|location|County_Limerick ++ County_Limerick|governmentType|Limerick_City_and_County_Council</v>
      </c>
      <c r="D5" s="99">
        <f>'retrieve WebNLG ZK random'!D49</f>
        <v>0.769</v>
      </c>
      <c r="E5" s="99" t="str">
        <f>'retrieve WebNLG ZK random'!E49</f>
        <v>not OK</v>
      </c>
      <c r="F5" s="99" t="str">
        <f>'retrieve WebNLG ZK random'!F49</f>
        <v>OK</v>
      </c>
      <c r="G5" s="99" t="str">
        <f>'retrieve WebNLG ZK random'!G49</f>
        <v>x</v>
      </c>
      <c r="H5" s="99" t="str">
        <f>'retrieve WebNLG ZK random'!H49</f>
        <v/>
      </c>
      <c r="I5" s="99" t="str">
        <f>'retrieve WebNLG ZK random'!I49</f>
        <v/>
      </c>
      <c r="J5" s="99" t="str">
        <f>'retrieve WebNLG ZK random'!J49</f>
        <v/>
      </c>
      <c r="K5" s="99" t="str">
        <f>'retrieve WebNLG ZK random'!K49</f>
        <v/>
      </c>
      <c r="L5" s="99" t="str">
        <f>'retrieve WebNLG ZK random'!L49</f>
        <v/>
      </c>
      <c r="M5" s="99" t="str">
        <f>'retrieve WebNLG ZK random'!M49</f>
        <v>x</v>
      </c>
      <c r="N5" s="99" t="str">
        <f>'retrieve WebNLG ZK random'!N49</f>
        <v/>
      </c>
      <c r="O5" s="99" t="str">
        <f>'retrieve WebNLG ZK random'!O49</f>
        <v/>
      </c>
    </row>
    <row r="6">
      <c r="A6" s="99">
        <f>'retrieve WebNLG ZK random'!A27</f>
        <v>4</v>
      </c>
      <c r="B6" s="99" t="str">
        <f>'retrieve WebNLG ZK random'!B27</f>
        <v>elliot see died in st louis in france on february 28th 1966.</v>
      </c>
      <c r="C6" s="99" t="str">
        <f>'retrieve WebNLG ZK random'!C27</f>
        <v>Elliot_See|deathPlace|St._Louis ++ St._Louis|isPartOf|Kingdom_of_France ++ Elliot_See|deathDate|"1966-02-28"</v>
      </c>
      <c r="D6" s="99">
        <f>'retrieve WebNLG ZK random'!D27</f>
        <v>0.5</v>
      </c>
      <c r="E6" s="99" t="str">
        <f>'retrieve WebNLG ZK random'!E27</f>
        <v>not OK</v>
      </c>
      <c r="F6" s="99" t="str">
        <f>'retrieve WebNLG ZK random'!F27</f>
        <v>OK</v>
      </c>
      <c r="G6" s="99" t="str">
        <f>'retrieve WebNLG ZK random'!G27</f>
        <v/>
      </c>
      <c r="H6" s="99" t="str">
        <f>'retrieve WebNLG ZK random'!H27</f>
        <v>x</v>
      </c>
      <c r="I6" s="99" t="str">
        <f>'retrieve WebNLG ZK random'!I27</f>
        <v/>
      </c>
      <c r="J6" s="99" t="str">
        <f>'retrieve WebNLG ZK random'!J27</f>
        <v/>
      </c>
      <c r="K6" s="99" t="str">
        <f>'retrieve WebNLG ZK random'!K27</f>
        <v/>
      </c>
      <c r="L6" s="99" t="str">
        <f>'retrieve WebNLG ZK random'!L27</f>
        <v/>
      </c>
      <c r="M6" s="99" t="str">
        <f>'retrieve WebNLG ZK random'!M27</f>
        <v/>
      </c>
      <c r="N6" s="99" t="str">
        <f>'retrieve WebNLG ZK random'!N27</f>
        <v>x</v>
      </c>
      <c r="O6" s="99" t="str">
        <f>'retrieve WebNLG ZK random'!O27</f>
        <v/>
      </c>
    </row>
    <row r="7">
      <c r="A7" s="99">
        <f>'retrieve WebNLG OD random'!A37</f>
        <v>5</v>
      </c>
      <c r="B7" s="99" t="str">
        <f>'retrieve WebNLG OD random'!B37</f>
        <v>the leader of azerbaijan is called the prime minister.</v>
      </c>
      <c r="C7" s="99" t="str">
        <f>'retrieve WebNLG OD random'!C37</f>
        <v>Azerbaijan|leaderTitle|Prime_Minister_of_Azerbaijan</v>
      </c>
      <c r="D7" s="99">
        <f>'retrieve WebNLG OD random'!D37</f>
        <v>0.973</v>
      </c>
      <c r="E7" s="99" t="str">
        <f>'retrieve WebNLG OD random'!E37</f>
        <v>not OK</v>
      </c>
      <c r="F7" s="99" t="str">
        <f>'retrieve WebNLG OD random'!F37</f>
        <v>OK</v>
      </c>
      <c r="G7" s="99" t="str">
        <f>'retrieve WebNLG OD random'!G37</f>
        <v/>
      </c>
      <c r="H7" s="99" t="str">
        <f>'retrieve WebNLG OD random'!H37</f>
        <v>x</v>
      </c>
      <c r="I7" s="99" t="str">
        <f>'retrieve WebNLG OD random'!I37</f>
        <v/>
      </c>
      <c r="J7" s="99" t="str">
        <f>'retrieve WebNLG OD random'!J37</f>
        <v/>
      </c>
      <c r="K7" s="99" t="str">
        <f>'retrieve WebNLG OD random'!K37</f>
        <v/>
      </c>
      <c r="L7" s="99" t="str">
        <f>'retrieve WebNLG OD random'!L37</f>
        <v/>
      </c>
      <c r="M7" s="99" t="str">
        <f>'retrieve WebNLG OD random'!M37</f>
        <v/>
      </c>
      <c r="N7" s="99" t="str">
        <f>'retrieve WebNLG OD random'!N37</f>
        <v>x</v>
      </c>
      <c r="O7" s="99" t="str">
        <f>'retrieve WebNLG OD random'!O37</f>
        <v/>
      </c>
    </row>
    <row r="8">
      <c r="A8" s="99">
        <f>'retrieve WebNLG OD random'!A35</f>
        <v>6</v>
      </c>
      <c r="B8" s="99" t="str">
        <f>'retrieve WebNLG OD random'!B35</f>
        <v>baku is the capital of azerbaijan where the leader is artur rasizade and the capital is baku. the baku turkish martyrs ' memorial is located in azerbaijan.</v>
      </c>
      <c r="C8" s="99" t="str">
        <f>'retrieve WebNLG OD random'!C35</f>
        <v>Azerbaijan|capital|Baku ++ Azerbaijan|leaderTitle|Prime_Minister_of_Azerbaijan ++ Baku_Turkish_Martyrs'_Memorial|location|Azerbaijan ++ Azerbaijan|leaderName|Artur_Rasizade</v>
      </c>
      <c r="D8" s="99">
        <f>'retrieve WebNLG OD random'!D35</f>
        <v>0.125</v>
      </c>
      <c r="E8" s="99" t="str">
        <f>'retrieve WebNLG OD random'!E35</f>
        <v>OK</v>
      </c>
      <c r="F8" s="99" t="str">
        <f>'retrieve WebNLG OD random'!F35</f>
        <v>omission</v>
      </c>
      <c r="G8" s="99" t="str">
        <f>'retrieve WebNLG OD random'!G35</f>
        <v/>
      </c>
      <c r="H8" s="99" t="str">
        <f>'retrieve WebNLG OD random'!H35</f>
        <v>x</v>
      </c>
      <c r="I8" s="99" t="str">
        <f>'retrieve WebNLG OD random'!I35</f>
        <v/>
      </c>
      <c r="J8" s="99" t="str">
        <f>'retrieve WebNLG OD random'!J35</f>
        <v/>
      </c>
      <c r="K8" s="99" t="str">
        <f>'retrieve WebNLG OD random'!K35</f>
        <v/>
      </c>
      <c r="L8" s="99" t="str">
        <f>'retrieve WebNLG OD random'!L35</f>
        <v/>
      </c>
      <c r="M8" s="99" t="str">
        <f>'retrieve WebNLG OD random'!M35</f>
        <v>x</v>
      </c>
      <c r="N8" s="99" t="str">
        <f>'retrieve WebNLG OD random'!N35</f>
        <v/>
      </c>
      <c r="O8" s="99" t="str">
        <f>'retrieve WebNLG OD random'!O35</f>
        <v/>
      </c>
    </row>
    <row r="9">
      <c r="A9" s="99">
        <f>'retrieve WebNLG OD random'!A14</f>
        <v>7</v>
      </c>
      <c r="B9" s="99" t="str">
        <f>'retrieve WebNLG OD random'!B14</f>
        <v>aenir is written in english language.</v>
      </c>
      <c r="C9" s="99" t="str">
        <f>'retrieve WebNLG OD random'!C14</f>
        <v>Aenir|language|English_language</v>
      </c>
      <c r="D9" s="99">
        <f>'retrieve WebNLG OD random'!D14</f>
        <v>0.099</v>
      </c>
      <c r="E9" s="99" t="str">
        <f>'retrieve WebNLG OD random'!E14</f>
        <v>OK</v>
      </c>
      <c r="F9" s="99" t="str">
        <f>'retrieve WebNLG OD random'!F14</f>
        <v>hallucination</v>
      </c>
      <c r="G9" s="99" t="str">
        <f>'retrieve WebNLG OD random'!G14</f>
        <v>x</v>
      </c>
      <c r="H9" s="99" t="str">
        <f>'retrieve WebNLG OD random'!H14</f>
        <v/>
      </c>
      <c r="I9" s="99" t="str">
        <f>'retrieve WebNLG OD random'!I14</f>
        <v/>
      </c>
      <c r="J9" s="99" t="str">
        <f>'retrieve WebNLG OD random'!J14</f>
        <v>x</v>
      </c>
      <c r="K9" s="99" t="str">
        <f>'retrieve WebNLG OD random'!K14</f>
        <v/>
      </c>
      <c r="L9" s="99" t="str">
        <f>'retrieve WebNLG OD random'!L14</f>
        <v/>
      </c>
      <c r="M9" s="99" t="str">
        <f>'retrieve WebNLG OD random'!M14</f>
        <v/>
      </c>
      <c r="N9" s="99" t="str">
        <f>'retrieve WebNLG OD random'!N14</f>
        <v/>
      </c>
      <c r="O9" s="99" t="str">
        <f>'retrieve WebNLG OD random'!O14</f>
        <v/>
      </c>
    </row>
    <row r="10">
      <c r="A10" s="99">
        <f>'retrieve WebNLG OD random'!A47</f>
        <v>8</v>
      </c>
      <c r="B10" s="99" t="str">
        <f>'retrieve WebNLG OD random'!B47</f>
        <v>a loyal character dancer is published by soho press in the united states where native americans are an ethnic group. english is spoken both in the us and great britain.</v>
      </c>
      <c r="C10" s="99" t="str">
        <f>'retrieve WebNLG OD random'!C47</f>
        <v>English_language|spokenIn|Great_Britain ++ A_Loyal_Character_Dancer|publisher|Soho_Press ++ A_Loyal_Character_Dancer|country|United_States ++ United_States|ethnicGroup|Native_Americans_in_the_United_States ++ United_States|language|English_language</v>
      </c>
      <c r="D10" s="99">
        <f>'retrieve WebNLG OD random'!D47</f>
        <v>0.751</v>
      </c>
      <c r="E10" s="99" t="str">
        <f>'retrieve WebNLG OD random'!E47</f>
        <v>not OK</v>
      </c>
      <c r="F10" s="99" t="str">
        <f>'retrieve WebNLG OD random'!F47</f>
        <v>OK</v>
      </c>
      <c r="G10" s="99" t="str">
        <f>'retrieve WebNLG OD random'!G47</f>
        <v/>
      </c>
      <c r="H10" s="99" t="str">
        <f>'retrieve WebNLG OD random'!H47</f>
        <v>x</v>
      </c>
      <c r="I10" s="99" t="str">
        <f>'retrieve WebNLG OD random'!I47</f>
        <v/>
      </c>
      <c r="J10" s="99" t="str">
        <f>'retrieve WebNLG OD random'!J47</f>
        <v/>
      </c>
      <c r="K10" s="99" t="str">
        <f>'retrieve WebNLG OD random'!K47</f>
        <v/>
      </c>
      <c r="L10" s="99" t="str">
        <f>'retrieve WebNLG OD random'!L47</f>
        <v/>
      </c>
      <c r="M10" s="99" t="str">
        <f>'retrieve WebNLG OD random'!M47</f>
        <v/>
      </c>
      <c r="N10" s="99" t="str">
        <f>'retrieve WebNLG OD random'!N47</f>
        <v>x</v>
      </c>
      <c r="O10" s="99" t="str">
        <f>'retrieve WebNLG OD random'!O47</f>
        <v/>
      </c>
    </row>
    <row r="11">
      <c r="A11" s="99">
        <f>'retrieve WebNLG OD random'!A13</f>
        <v>9</v>
      </c>
      <c r="B11" s="99" t="str">
        <f>'retrieve WebNLG OD random'!B13</f>
        <v>shumai is a variation of batagor.</v>
      </c>
      <c r="C11" s="99" t="str">
        <f>'retrieve WebNLG OD random'!C13</f>
        <v>Batagor|dishVariation|Shumai</v>
      </c>
      <c r="D11" s="99">
        <f>'retrieve WebNLG OD random'!D13</f>
        <v>0.524</v>
      </c>
      <c r="E11" s="99" t="str">
        <f>'retrieve WebNLG OD random'!E13</f>
        <v>not OK</v>
      </c>
      <c r="F11" s="99" t="str">
        <f>'retrieve WebNLG OD random'!F13</f>
        <v>OK</v>
      </c>
      <c r="G11" s="99" t="str">
        <f>'retrieve WebNLG OD random'!G13</f>
        <v>x</v>
      </c>
      <c r="H11" s="99" t="str">
        <f>'retrieve WebNLG OD random'!H13</f>
        <v/>
      </c>
      <c r="I11" s="99" t="str">
        <f>'retrieve WebNLG OD random'!I13</f>
        <v/>
      </c>
      <c r="J11" s="99" t="str">
        <f>'retrieve WebNLG OD random'!J13</f>
        <v/>
      </c>
      <c r="K11" s="99" t="str">
        <f>'retrieve WebNLG OD random'!K13</f>
        <v/>
      </c>
      <c r="L11" s="99" t="str">
        <f>'retrieve WebNLG OD random'!L13</f>
        <v/>
      </c>
      <c r="M11" s="99" t="str">
        <f>'retrieve WebNLG OD random'!M13</f>
        <v>x</v>
      </c>
      <c r="N11" s="99" t="str">
        <f>'retrieve WebNLG OD random'!N13</f>
        <v/>
      </c>
      <c r="O11" s="99" t="str">
        <f>'retrieve WebNLG OD random'!O13</f>
        <v/>
      </c>
    </row>
    <row r="12">
      <c r="A12" s="99">
        <f>'retrieve WebNLG ZK random'!A18</f>
        <v>10</v>
      </c>
      <c r="B12" s="99" t="str">
        <f>'retrieve WebNLG ZK random'!B18</f>
        <v>allama iqbal international airport is located in pakistan where anwar zaheer jamali is a leader .</v>
      </c>
      <c r="C12" s="99" t="str">
        <f>'retrieve WebNLG ZK random'!C18</f>
        <v>Allama_Iqbal_International_Airport|location|Pakistan ++ Pakistan|leaderName|Anwar_Zaheer_Jamali</v>
      </c>
      <c r="D12" s="99">
        <f>'retrieve WebNLG ZK random'!D18</f>
        <v>0.961</v>
      </c>
      <c r="E12" s="99" t="str">
        <f>'retrieve WebNLG ZK random'!E18</f>
        <v>not OK</v>
      </c>
      <c r="F12" s="99" t="str">
        <f>'retrieve WebNLG ZK random'!F18</f>
        <v>OK</v>
      </c>
      <c r="G12" s="99" t="str">
        <f>'retrieve WebNLG ZK random'!G18</f>
        <v/>
      </c>
      <c r="H12" s="99" t="str">
        <f>'retrieve WebNLG ZK random'!H18</f>
        <v>x</v>
      </c>
      <c r="I12" s="99" t="str">
        <f>'retrieve WebNLG ZK random'!I18</f>
        <v/>
      </c>
      <c r="J12" s="99" t="str">
        <f>'retrieve WebNLG ZK random'!J18</f>
        <v/>
      </c>
      <c r="K12" s="99" t="str">
        <f>'retrieve WebNLG ZK random'!K18</f>
        <v/>
      </c>
      <c r="L12" s="99" t="str">
        <f>'retrieve WebNLG ZK random'!L18</f>
        <v/>
      </c>
      <c r="M12" s="99" t="str">
        <f>'retrieve WebNLG ZK random'!M18</f>
        <v/>
      </c>
      <c r="N12" s="99" t="str">
        <f>'retrieve WebNLG ZK random'!N18</f>
        <v>x</v>
      </c>
      <c r="O12" s="99" t="str">
        <f>'retrieve WebNLG ZK random'!O18</f>
        <v/>
      </c>
    </row>
    <row r="13">
      <c r="A13" s="99">
        <f>'retrieve WebNLG OD random'!A48</f>
        <v>11</v>
      </c>
      <c r="B13" s="99" t="str">
        <f>'retrieve WebNLG OD random'!B48</f>
        <v>ajoblanco is from spain, where spaniards live. felipe vi is the leader of it. susana diaz is the leader of andalusia where you will find almonds.</v>
      </c>
      <c r="C13" s="99" t="str">
        <f>'retrieve WebNLG OD random'!C48</f>
        <v>Spain|leaderName|Felipe_VI_of_Spain ++ Ajoblanco|region|Andalusia ++ Andalusia|leaderName|Susana_Díaz ++ Ajoblanco|country|Spain ++ Spain|demonym|Spaniards</v>
      </c>
      <c r="D13" s="99">
        <f>'retrieve WebNLG OD random'!D48</f>
        <v>0.053</v>
      </c>
      <c r="E13" s="99" t="str">
        <f>'retrieve WebNLG OD random'!E48</f>
        <v>OK</v>
      </c>
      <c r="F13" s="99" t="str">
        <f>'retrieve WebNLG OD random'!F48</f>
        <v>hallucination+omission</v>
      </c>
      <c r="G13" s="99" t="str">
        <f>'retrieve WebNLG OD random'!G48</f>
        <v/>
      </c>
      <c r="H13" s="99" t="str">
        <f>'retrieve WebNLG OD random'!H48</f>
        <v>x</v>
      </c>
      <c r="I13" s="99" t="str">
        <f>'retrieve WebNLG OD random'!I48</f>
        <v/>
      </c>
      <c r="J13" s="99" t="str">
        <f>'retrieve WebNLG OD random'!J48</f>
        <v/>
      </c>
      <c r="K13" s="99" t="str">
        <f>'retrieve WebNLG OD random'!K48</f>
        <v/>
      </c>
      <c r="L13" s="99" t="str">
        <f>'retrieve WebNLG OD random'!L48</f>
        <v/>
      </c>
      <c r="M13" s="99" t="str">
        <f>'retrieve WebNLG OD random'!M48</f>
        <v>x</v>
      </c>
      <c r="N13" s="99" t="str">
        <f>'retrieve WebNLG OD random'!N48</f>
        <v/>
      </c>
      <c r="O13" s="99" t="str">
        <f>'retrieve WebNLG OD random'!O48</f>
        <v/>
      </c>
    </row>
    <row r="14">
      <c r="A14" s="99">
        <f>'retrieve WebNLG ZK random'!A17</f>
        <v>12</v>
      </c>
      <c r="B14" s="99" t="str">
        <f>'retrieve WebNLG ZK random'!B17</f>
        <v>shumai is a variation of batagor.</v>
      </c>
      <c r="C14" s="99" t="str">
        <f>'retrieve WebNLG ZK random'!C17</f>
        <v>Batagor|dishVariation|Shumai</v>
      </c>
      <c r="D14" s="99">
        <f>'retrieve WebNLG ZK random'!D17</f>
        <v>0.524</v>
      </c>
      <c r="E14" s="99" t="str">
        <f>'retrieve WebNLG ZK random'!E17</f>
        <v>not OK</v>
      </c>
      <c r="F14" s="99" t="str">
        <f>'retrieve WebNLG ZK random'!F17</f>
        <v>OK</v>
      </c>
      <c r="G14" s="99" t="str">
        <f>'retrieve WebNLG ZK random'!G17</f>
        <v/>
      </c>
      <c r="H14" s="99" t="str">
        <f>'retrieve WebNLG ZK random'!H17</f>
        <v/>
      </c>
      <c r="I14" s="99" t="str">
        <f>'retrieve WebNLG ZK random'!I17</f>
        <v/>
      </c>
      <c r="J14" s="99" t="str">
        <f>'retrieve WebNLG ZK random'!J17</f>
        <v/>
      </c>
      <c r="K14" s="99" t="str">
        <f>'retrieve WebNLG ZK random'!K17</f>
        <v/>
      </c>
      <c r="L14" s="99" t="str">
        <f>'retrieve WebNLG ZK random'!L17</f>
        <v/>
      </c>
      <c r="M14" s="99" t="str">
        <f>'retrieve WebNLG ZK random'!M17</f>
        <v/>
      </c>
      <c r="N14" s="99" t="str">
        <f>'retrieve WebNLG ZK random'!N17</f>
        <v/>
      </c>
      <c r="O14" s="99" t="str">
        <f>'retrieve WebNLG ZK random'!O17</f>
        <v/>
      </c>
    </row>
    <row r="15">
      <c r="A15" s="99">
        <f>'retrieve WebNLG OD random'!A50</f>
        <v>13</v>
      </c>
      <c r="B15" s="99" t="str">
        <f>'retrieve WebNLG OD random'!B50</f>
        <v>alfa romeo 164 assembly italy where the capital is rome alfa romeo 164 relatedmeanoftransportation fiat croma</v>
      </c>
      <c r="C15" s="99" t="str">
        <f>'retrieve WebNLG OD random'!C50</f>
        <v>Alfa_Romeo_164|assembly|Italy ++ Italy|capital|Rome ++ Alfa_Romeo_164|relatedMeanOfTransportation|Fiat_Croma</v>
      </c>
      <c r="D15" s="99">
        <f>'retrieve WebNLG OD random'!D50</f>
        <v>0.964</v>
      </c>
      <c r="E15" s="99" t="str">
        <f>'retrieve WebNLG OD random'!E50</f>
        <v>not OK</v>
      </c>
      <c r="F15" s="99" t="str">
        <f>'retrieve WebNLG OD random'!F50</f>
        <v>OK</v>
      </c>
      <c r="G15" s="99" t="str">
        <f>'retrieve WebNLG OD random'!G50</f>
        <v/>
      </c>
      <c r="H15" s="99" t="str">
        <f>'retrieve WebNLG OD random'!H50</f>
        <v>x</v>
      </c>
      <c r="I15" s="99" t="str">
        <f>'retrieve WebNLG OD random'!I50</f>
        <v/>
      </c>
      <c r="J15" s="99" t="str">
        <f>'retrieve WebNLG OD random'!J50</f>
        <v/>
      </c>
      <c r="K15" s="99" t="str">
        <f>'retrieve WebNLG OD random'!K50</f>
        <v/>
      </c>
      <c r="L15" s="99" t="str">
        <f>'retrieve WebNLG OD random'!L50</f>
        <v>x</v>
      </c>
      <c r="M15" s="99" t="str">
        <f>'retrieve WebNLG OD random'!M50</f>
        <v/>
      </c>
      <c r="N15" s="99" t="str">
        <f>'retrieve WebNLG OD random'!N50</f>
        <v/>
      </c>
      <c r="O15" s="99" t="str">
        <f>'retrieve WebNLG OD random'!O50</f>
        <v/>
      </c>
    </row>
    <row r="16">
      <c r="A16" s="99">
        <f>'retrieve WebNLG OD random'!A15</f>
        <v>14</v>
      </c>
      <c r="B16" s="99" t="str">
        <f>'retrieve WebNLG OD random'!B15</f>
        <v>aleksandra kovac plays pop music for the k2 band . he knows musician , bebi dol .</v>
      </c>
      <c r="C16" s="99" t="str">
        <f>'retrieve WebNLG OD random'!C15</f>
        <v>Aleksandra_Kovač|associatedBand/associatedMusicalArtist|Bebi_Dol ++ Aleksandra_Kovač|associatedBand/associatedMusicalArtist|K2_(Kovač_sisters_duo) ++ Aleksandra_Kovač|genre|Pop_music</v>
      </c>
      <c r="D16" s="99">
        <f>'retrieve WebNLG OD random'!D15</f>
        <v>0.626</v>
      </c>
      <c r="E16" s="99" t="str">
        <f>'retrieve WebNLG OD random'!E15</f>
        <v>not OK</v>
      </c>
      <c r="F16" s="99" t="str">
        <f>'retrieve WebNLG OD random'!F15</f>
        <v>OK</v>
      </c>
      <c r="G16" s="99" t="str">
        <f>'retrieve WebNLG OD random'!G15</f>
        <v>x</v>
      </c>
      <c r="H16" s="99" t="str">
        <f>'retrieve WebNLG OD random'!H15</f>
        <v/>
      </c>
      <c r="I16" s="99" t="str">
        <f>'retrieve WebNLG OD random'!I15</f>
        <v/>
      </c>
      <c r="J16" s="99" t="str">
        <f>'retrieve WebNLG OD random'!J15</f>
        <v/>
      </c>
      <c r="K16" s="99" t="str">
        <f>'retrieve WebNLG OD random'!K15</f>
        <v/>
      </c>
      <c r="L16" s="99" t="str">
        <f>'retrieve WebNLG OD random'!L15</f>
        <v/>
      </c>
      <c r="M16" s="99" t="str">
        <f>'retrieve WebNLG OD random'!M15</f>
        <v>x</v>
      </c>
      <c r="N16" s="99" t="str">
        <f>'retrieve WebNLG OD random'!N15</f>
        <v/>
      </c>
      <c r="O16" s="99" t="str">
        <f>'retrieve WebNLG OD random'!O15</f>
        <v/>
      </c>
    </row>
    <row r="17">
      <c r="A17" s="99">
        <f>'retrieve WebNLG OD random'!A8</f>
        <v>15</v>
      </c>
      <c r="B17" s="99" t="str">
        <f>'retrieve WebNLG OD random'!B8</f>
        <v>all india council for technical education is located in mumbai. acharya institute of technology was given the Technical Campus status by it. acharya institute offers sports including tennis. the location is the governing body of tennis.</v>
      </c>
      <c r="C17" s="99" t="str">
        <f>'retrieve WebNLG OD random'!C8</f>
        <v>Acharya_Institute_of_Technology|was given the 'Technical Campus' status by|All_India_Council_for_Technical_Education ++ All_India_Council_for_Technical_Education|location|Mumbai ++ Acharya_Institute_of_Technology|sportsOffered|Tennis ++ Tennis|sportsGoverningBody|International_Tennis_Federation</v>
      </c>
      <c r="D17" s="99">
        <f>'retrieve WebNLG OD random'!D8</f>
        <v>0.001</v>
      </c>
      <c r="E17" s="99" t="str">
        <f>'retrieve WebNLG OD random'!E8</f>
        <v>OK</v>
      </c>
      <c r="F17" s="99" t="str">
        <f>'retrieve WebNLG OD random'!F8</f>
        <v>omission</v>
      </c>
      <c r="G17" s="99" t="str">
        <f>'retrieve WebNLG OD random'!G8</f>
        <v/>
      </c>
      <c r="H17" s="99" t="str">
        <f>'retrieve WebNLG OD random'!H8</f>
        <v>x</v>
      </c>
      <c r="I17" s="99" t="str">
        <f>'retrieve WebNLG OD random'!I8</f>
        <v/>
      </c>
      <c r="J17" s="99" t="str">
        <f>'retrieve WebNLG OD random'!J8</f>
        <v/>
      </c>
      <c r="K17" s="99" t="str">
        <f>'retrieve WebNLG OD random'!K8</f>
        <v/>
      </c>
      <c r="L17" s="99" t="str">
        <f>'retrieve WebNLG OD random'!L8</f>
        <v/>
      </c>
      <c r="M17" s="99" t="str">
        <f>'retrieve WebNLG OD random'!M8</f>
        <v>x</v>
      </c>
      <c r="N17" s="99" t="str">
        <f>'retrieve WebNLG OD random'!N8</f>
        <v/>
      </c>
      <c r="O17" s="99" t="str">
        <f>'retrieve WebNLG OD random'!O8</f>
        <v/>
      </c>
    </row>
    <row r="18">
      <c r="A18" s="99">
        <f>'retrieve WebNLG OD random'!A49</f>
        <v>16</v>
      </c>
      <c r="B18" s="99" t="str">
        <f>'retrieve WebNLG OD random'!B49</f>
        <v>awh engineering college ( kuttikkattoor , india ) was established in 2001 . one of the rivers in india is the ganges .</v>
      </c>
      <c r="C18" s="99" t="str">
        <f>'retrieve WebNLG OD random'!C49</f>
        <v>AWH_Engineering_College|country|India ++ AWH_Engineering_College|established|2001 ++ AWH_Engineering_College|city|"Kuttikkattoor" ++ India|river|Ganges</v>
      </c>
      <c r="D18" s="99">
        <f>'retrieve WebNLG OD random'!D49</f>
        <v>0.007</v>
      </c>
      <c r="E18" s="99" t="str">
        <f>'retrieve WebNLG OD random'!E49</f>
        <v>OK</v>
      </c>
      <c r="F18" s="99" t="str">
        <f>'retrieve WebNLG OD random'!F49</f>
        <v>omission</v>
      </c>
      <c r="G18" s="99" t="str">
        <f>'retrieve WebNLG OD random'!G49</f>
        <v>x</v>
      </c>
      <c r="H18" s="99" t="str">
        <f>'retrieve WebNLG OD random'!H49</f>
        <v/>
      </c>
      <c r="I18" s="99" t="str">
        <f>'retrieve WebNLG OD random'!I49</f>
        <v/>
      </c>
      <c r="J18" s="99" t="str">
        <f>'retrieve WebNLG OD random'!J49</f>
        <v>x</v>
      </c>
      <c r="K18" s="99" t="str">
        <f>'retrieve WebNLG OD random'!K49</f>
        <v/>
      </c>
      <c r="L18" s="99" t="str">
        <f>'retrieve WebNLG OD random'!L49</f>
        <v/>
      </c>
      <c r="M18" s="99" t="str">
        <f>'retrieve WebNLG OD random'!M49</f>
        <v/>
      </c>
      <c r="N18" s="99" t="str">
        <f>'retrieve WebNLG OD random'!N49</f>
        <v/>
      </c>
      <c r="O18" s="99" t="str">
        <f>'retrieve WebNLG OD random'!O49</f>
        <v/>
      </c>
    </row>
    <row r="19">
      <c r="A19" s="99">
        <f>'retrieve WebNLG OD random'!A22</f>
        <v>17</v>
      </c>
      <c r="B19" s="99" t="str">
        <f>'retrieve WebNLG OD random'!B22</f>
        <v>atlantic city, new jersey comes from the united states where the capital is washington, d.c.</v>
      </c>
      <c r="C19" s="99" t="str">
        <f>'retrieve WebNLG OD random'!C22</f>
        <v>Atlantic_City,_New_Jersey|country|United_States ++ United_States|capital|Washington,_D.C.</v>
      </c>
      <c r="D19" s="99">
        <f>'retrieve WebNLG OD random'!D22</f>
        <v>0.855</v>
      </c>
      <c r="E19" s="99" t="str">
        <f>'retrieve WebNLG OD random'!E22</f>
        <v>not OK</v>
      </c>
      <c r="F19" s="99" t="str">
        <f>'retrieve WebNLG OD random'!F22</f>
        <v>OK</v>
      </c>
      <c r="G19" s="99" t="str">
        <f>'retrieve WebNLG OD random'!G22</f>
        <v/>
      </c>
      <c r="H19" s="99" t="str">
        <f>'retrieve WebNLG OD random'!H22</f>
        <v/>
      </c>
      <c r="I19" s="99" t="str">
        <f>'retrieve WebNLG OD random'!I22</f>
        <v>x</v>
      </c>
      <c r="J19" s="99" t="str">
        <f>'retrieve WebNLG OD random'!J22</f>
        <v/>
      </c>
      <c r="K19" s="99" t="str">
        <f>'retrieve WebNLG OD random'!K22</f>
        <v/>
      </c>
      <c r="L19" s="99" t="str">
        <f>'retrieve WebNLG OD random'!L22</f>
        <v>x</v>
      </c>
      <c r="M19" s="99" t="str">
        <f>'retrieve WebNLG OD random'!M22</f>
        <v/>
      </c>
      <c r="N19" s="99" t="str">
        <f>'retrieve WebNLG OD random'!N22</f>
        <v/>
      </c>
      <c r="O19" s="99" t="str">
        <f>'retrieve WebNLG OD random'!O22</f>
        <v>edge case: sentence corresponds to some templates and technically conveys the information, but it is misleading/nonsensical</v>
      </c>
    </row>
    <row r="20">
      <c r="A20" s="99">
        <f>'retrieve WebNLG ZK random'!A3</f>
        <v>18</v>
      </c>
      <c r="B20" s="99" t="str">
        <f>'retrieve WebNLG ZK random'!B3</f>
        <v>asterix was created by albert uderzo and rene goscinny who is a french national .</v>
      </c>
      <c r="C20" s="99" t="str">
        <f>'retrieve WebNLG ZK random'!C3</f>
        <v>Asterix_(comicsCharacter)|creator|René_Goscinny ++ René_Goscinny|nationality|French_people ++ Asterix_(comicsCharacter)|creator|Albert_Uderzo</v>
      </c>
      <c r="D20" s="99">
        <f>'retrieve WebNLG ZK random'!D3</f>
        <v>0.14</v>
      </c>
      <c r="E20" s="99" t="str">
        <f>'retrieve WebNLG ZK random'!E3</f>
        <v>OK</v>
      </c>
      <c r="F20" s="99" t="str">
        <f>'retrieve WebNLG ZK random'!F3</f>
        <v>omission</v>
      </c>
      <c r="G20" s="99" t="str">
        <f>'retrieve WebNLG ZK random'!G3</f>
        <v>x</v>
      </c>
      <c r="H20" s="99" t="str">
        <f>'retrieve WebNLG ZK random'!H3</f>
        <v/>
      </c>
      <c r="I20" s="99" t="str">
        <f>'retrieve WebNLG ZK random'!I3</f>
        <v/>
      </c>
      <c r="J20" s="99" t="str">
        <f>'retrieve WebNLG ZK random'!J3</f>
        <v>x</v>
      </c>
      <c r="K20" s="99" t="str">
        <f>'retrieve WebNLG ZK random'!K3</f>
        <v/>
      </c>
      <c r="L20" s="99" t="str">
        <f>'retrieve WebNLG ZK random'!L3</f>
        <v/>
      </c>
      <c r="M20" s="99" t="str">
        <f>'retrieve WebNLG ZK random'!M3</f>
        <v/>
      </c>
      <c r="N20" s="99" t="str">
        <f>'retrieve WebNLG ZK random'!N3</f>
        <v/>
      </c>
      <c r="O20" s="99" t="str">
        <f>'retrieve WebNLG ZK random'!O3</f>
        <v/>
      </c>
    </row>
    <row r="21">
      <c r="A21" s="99">
        <f>'retrieve WebNLG OD random'!A21</f>
        <v>19</v>
      </c>
      <c r="B21" s="99" t="str">
        <f>'retrieve WebNLG OD random'!B21</f>
        <v>the manager of a.c. lumezzane is michele marcolini. a.c. lumezzane 's ground is in italy where pietro grasso is the leader. michele marcolini plays for f.c. bari 1908. michele marcolini plays for vicenza calcio</v>
      </c>
      <c r="C21" s="99" t="str">
        <f>'retrieve WebNLG OD random'!C21</f>
        <v>A.C._Lumezzane|manager|Michele_Marcolini ++ A.C._Lumezzane|ground|Italy ++ Italy|leader|Pietro_Grasso ++ Michele_Marcolini|club|F.C._Bari_1908 ++ Michele_Marcolini|club|Vicenza_Calcio</v>
      </c>
      <c r="D21" s="99">
        <f>'retrieve WebNLG OD random'!D21</f>
        <v>0.164</v>
      </c>
      <c r="E21" s="99" t="str">
        <f>'retrieve WebNLG OD random'!E21</f>
        <v>OK</v>
      </c>
      <c r="F21" s="99" t="str">
        <f>'retrieve WebNLG OD random'!F21</f>
        <v>omission</v>
      </c>
      <c r="G21" s="99" t="str">
        <f>'retrieve WebNLG OD random'!G21</f>
        <v>x</v>
      </c>
      <c r="H21" s="99" t="str">
        <f>'retrieve WebNLG OD random'!H21</f>
        <v/>
      </c>
      <c r="I21" s="99" t="str">
        <f>'retrieve WebNLG OD random'!I21</f>
        <v/>
      </c>
      <c r="J21" s="99" t="str">
        <f>'retrieve WebNLG OD random'!J21</f>
        <v/>
      </c>
      <c r="K21" s="99" t="str">
        <f>'retrieve WebNLG OD random'!K21</f>
        <v/>
      </c>
      <c r="L21" s="99" t="str">
        <f>'retrieve WebNLG OD random'!L21</f>
        <v/>
      </c>
      <c r="M21" s="99" t="str">
        <f>'retrieve WebNLG OD random'!M21</f>
        <v/>
      </c>
      <c r="N21" s="99" t="str">
        <f>'retrieve WebNLG OD random'!N21</f>
        <v>x</v>
      </c>
      <c r="O21" s="99" t="str">
        <f>'retrieve WebNLG OD random'!O21</f>
        <v/>
      </c>
    </row>
    <row r="22">
      <c r="A22" s="99">
        <f>'retrieve WebNLG OD random'!A26</f>
        <v>20</v>
      </c>
      <c r="B22" s="99" t="str">
        <f>'retrieve WebNLG OD random'!B26</f>
        <v>the english language is spoken in great britain and the united states where native americans are an ethnic group . a loyal character dancer is published in the united states by soho press .</v>
      </c>
      <c r="C22" s="99" t="str">
        <f>'retrieve WebNLG OD random'!C26</f>
        <v>English_language|spokenIn|Great_Britain ++ A_Loyal_Character_Dancer|publisher|Soho_Press ++ A_Loyal_Character_Dancer|country|United_States ++ United_States|ethnicGroup|Native_Americans_in_the_United_States ++ United_States|language|English_language</v>
      </c>
      <c r="D22" s="99">
        <f>'retrieve WebNLG OD random'!D26</f>
        <v>0.81</v>
      </c>
      <c r="E22" s="99" t="str">
        <f>'retrieve WebNLG OD random'!E26</f>
        <v>not OK</v>
      </c>
      <c r="F22" s="99" t="str">
        <f>'retrieve WebNLG OD random'!F26</f>
        <v>OK</v>
      </c>
      <c r="G22" s="99" t="str">
        <f>'retrieve WebNLG OD random'!G26</f>
        <v/>
      </c>
      <c r="H22" s="99" t="str">
        <f>'retrieve WebNLG OD random'!H26</f>
        <v>x</v>
      </c>
      <c r="I22" s="99" t="str">
        <f>'retrieve WebNLG OD random'!I26</f>
        <v/>
      </c>
      <c r="J22" s="99" t="str">
        <f>'retrieve WebNLG OD random'!J26</f>
        <v/>
      </c>
      <c r="K22" s="99" t="str">
        <f>'retrieve WebNLG OD random'!K26</f>
        <v/>
      </c>
      <c r="L22" s="99" t="str">
        <f>'retrieve WebNLG OD random'!L26</f>
        <v>x</v>
      </c>
      <c r="M22" s="99" t="str">
        <f>'retrieve WebNLG OD random'!M26</f>
        <v/>
      </c>
      <c r="N22" s="99" t="str">
        <f>'retrieve WebNLG OD random'!N26</f>
        <v/>
      </c>
      <c r="O22" s="99" t="str">
        <f>'retrieve WebNLG OD random'!O26</f>
        <v/>
      </c>
    </row>
    <row r="23">
      <c r="A23" s="99">
        <f>'retrieve WebNLG OD random'!A40</f>
        <v>21</v>
      </c>
      <c r="B23" s="99" t="str">
        <f>'retrieve WebNLG OD random'!B40</f>
        <v>110 lydia, the orbital period of which is 1.42603e+08, was last seen in december 31 (2006 (jd2454100.5)).</v>
      </c>
      <c r="C23" s="99" t="str">
        <f>'retrieve WebNLG OD random'!C40</f>
        <v>110_Lydia|epoch|2006-12-31 ++ 110_Lydia|orbitalPeriod|142603000.0</v>
      </c>
      <c r="D23" s="99">
        <f>'retrieve WebNLG OD random'!D40</f>
        <v>0.004</v>
      </c>
      <c r="E23" s="99" t="str">
        <f>'retrieve WebNLG OD random'!E40</f>
        <v>OK</v>
      </c>
      <c r="F23" s="99" t="str">
        <f>'retrieve WebNLG OD random'!F40</f>
        <v>hallucination+omission</v>
      </c>
      <c r="G23" s="99" t="str">
        <f>'retrieve WebNLG OD random'!G40</f>
        <v/>
      </c>
      <c r="H23" s="99" t="str">
        <f>'retrieve WebNLG OD random'!H40</f>
        <v>x</v>
      </c>
      <c r="I23" s="99" t="str">
        <f>'retrieve WebNLG OD random'!I40</f>
        <v/>
      </c>
      <c r="J23" s="99" t="str">
        <f>'retrieve WebNLG OD random'!J40</f>
        <v/>
      </c>
      <c r="K23" s="99" t="str">
        <f>'retrieve WebNLG OD random'!K40</f>
        <v/>
      </c>
      <c r="L23" s="99" t="str">
        <f>'retrieve WebNLG OD random'!L40</f>
        <v/>
      </c>
      <c r="M23" s="99" t="str">
        <f>'retrieve WebNLG OD random'!M40</f>
        <v>x</v>
      </c>
      <c r="N23" s="99" t="str">
        <f>'retrieve WebNLG OD random'!N40</f>
        <v/>
      </c>
      <c r="O23" s="99" t="str">
        <f>'retrieve WebNLG OD random'!O40</f>
        <v/>
      </c>
    </row>
    <row r="24">
      <c r="A24" s="99">
        <f>'retrieve WebNLG ZK random'!A28</f>
        <v>22</v>
      </c>
      <c r="B24" s="99" t="str">
        <f>'retrieve WebNLG ZK random'!B28</f>
        <v>the languages spoken in the philippines are philippine spanish and arabic. batchoy is eaten there and the ethnic groups are the zamboangans and the chinese filipino.</v>
      </c>
      <c r="C24" s="99" t="str">
        <f>'retrieve WebNLG ZK random'!C28</f>
        <v>Philippines|language|Arabic ++ Philippines|ethnicGroup|Zamboangans ++ Philippines|language|Philippine_Spanish ++ Batchoy|country|Philippines ++ Philippines|ethnicGroup|Chinese_Filipino</v>
      </c>
      <c r="D24" s="99">
        <f>'retrieve WebNLG ZK random'!D28</f>
        <v>0.122</v>
      </c>
      <c r="E24" s="99" t="str">
        <f>'retrieve WebNLG ZK random'!E28</f>
        <v>OK</v>
      </c>
      <c r="F24" s="99" t="str">
        <f>'retrieve WebNLG ZK random'!F28</f>
        <v>hallucination</v>
      </c>
      <c r="G24" s="99" t="str">
        <f>'retrieve WebNLG ZK random'!G28</f>
        <v>x</v>
      </c>
      <c r="H24" s="99" t="str">
        <f>'retrieve WebNLG ZK random'!H28</f>
        <v/>
      </c>
      <c r="I24" s="99" t="str">
        <f>'retrieve WebNLG ZK random'!I28</f>
        <v/>
      </c>
      <c r="J24" s="99" t="str">
        <f>'retrieve WebNLG ZK random'!J28</f>
        <v>x</v>
      </c>
      <c r="K24" s="99" t="str">
        <f>'retrieve WebNLG ZK random'!K28</f>
        <v/>
      </c>
      <c r="L24" s="99" t="str">
        <f>'retrieve WebNLG ZK random'!L28</f>
        <v/>
      </c>
      <c r="M24" s="99" t="str">
        <f>'retrieve WebNLG ZK random'!M28</f>
        <v/>
      </c>
      <c r="N24" s="99" t="str">
        <f>'retrieve WebNLG ZK random'!N28</f>
        <v/>
      </c>
      <c r="O24" s="99" t="str">
        <f>'retrieve WebNLG ZK random'!O28</f>
        <v/>
      </c>
    </row>
    <row r="25">
      <c r="A25" s="99">
        <f>'retrieve WebNLG ZK random'!A25</f>
        <v>23</v>
      </c>
      <c r="B25" s="99" t="str">
        <f>'retrieve WebNLG ZK random'!B25</f>
        <v>gus poyet, who plays for real zaragoza and chelsea f.c., is the manager of aek athens f.c.. it plays in olympic stadium (athens). it is in marousi.</v>
      </c>
      <c r="C25" s="99" t="str">
        <f>'retrieve WebNLG ZK random'!C25</f>
        <v>AEK_Athens_F.C.|manager|Gus_Poyet ++ Gus_Poyet|club|Real_Zaragoza ++ Olympic_Stadium_(Athens)|location|Marousi ++ AEK_Athens_F.C.|ground|Olympic_Stadium_(Athens) ++ Gus_Poyet|club|Chelsea_F.C.</v>
      </c>
      <c r="D25" s="99">
        <f>'retrieve WebNLG ZK random'!D25</f>
        <v>0.417</v>
      </c>
      <c r="E25" s="99" t="str">
        <f>'retrieve WebNLG ZK random'!E25</f>
        <v>OK</v>
      </c>
      <c r="F25" s="99" t="str">
        <f>'retrieve WebNLG ZK random'!F25</f>
        <v>hallucination</v>
      </c>
      <c r="G25" s="99" t="str">
        <f>'retrieve WebNLG ZK random'!G25</f>
        <v/>
      </c>
      <c r="H25" s="99" t="str">
        <f>'retrieve WebNLG ZK random'!H25</f>
        <v>x</v>
      </c>
      <c r="I25" s="99" t="str">
        <f>'retrieve WebNLG ZK random'!I25</f>
        <v/>
      </c>
      <c r="J25" s="99" t="str">
        <f>'retrieve WebNLG ZK random'!J25</f>
        <v/>
      </c>
      <c r="K25" s="99" t="str">
        <f>'retrieve WebNLG ZK random'!K25</f>
        <v/>
      </c>
      <c r="L25" s="99" t="str">
        <f>'retrieve WebNLG ZK random'!L25</f>
        <v>x</v>
      </c>
      <c r="M25" s="99" t="str">
        <f>'retrieve WebNLG ZK random'!M25</f>
        <v/>
      </c>
      <c r="N25" s="99" t="str">
        <f>'retrieve WebNLG ZK random'!N25</f>
        <v/>
      </c>
      <c r="O25" s="99" t="str">
        <f>'retrieve WebNLG ZK random'!O25</f>
        <v/>
      </c>
    </row>
    <row r="26">
      <c r="A26" s="99">
        <f>'retrieve WebNLG OD random'!A4</f>
        <v>24</v>
      </c>
      <c r="B26" s="99" t="str">
        <f>'retrieve WebNLG OD random'!B4</f>
        <v>the first club john van den brom played for was jong ajax, he is part of the istanbulspor a.ş club and, manages az alkmaar.</v>
      </c>
      <c r="C26" s="99" t="str">
        <f>'retrieve WebNLG OD random'!C4</f>
        <v>AZ_Alkmaar|manager|John_van_den_Brom ++ John_van_den_Brom|club|Jong_Ajax ++ John_van_den_Brom|club|İstanbulspor_A.Ş.</v>
      </c>
      <c r="D26" s="99">
        <f>'retrieve WebNLG OD random'!D4</f>
        <v>0.537</v>
      </c>
      <c r="E26" s="99" t="str">
        <f>'retrieve WebNLG OD random'!E4</f>
        <v>not OK</v>
      </c>
      <c r="F26" s="99" t="str">
        <f>'retrieve WebNLG OD random'!F4</f>
        <v>OK</v>
      </c>
      <c r="G26" s="99" t="str">
        <f>'retrieve WebNLG OD random'!G4</f>
        <v>x</v>
      </c>
      <c r="H26" s="99" t="str">
        <f>'retrieve WebNLG OD random'!H4</f>
        <v/>
      </c>
      <c r="I26" s="99" t="str">
        <f>'retrieve WebNLG OD random'!I4</f>
        <v/>
      </c>
      <c r="J26" s="99" t="str">
        <f>'retrieve WebNLG OD random'!J4</f>
        <v/>
      </c>
      <c r="K26" s="99" t="str">
        <f>'retrieve WebNLG OD random'!K4</f>
        <v/>
      </c>
      <c r="L26" s="99" t="str">
        <f>'retrieve WebNLG OD random'!L4</f>
        <v/>
      </c>
      <c r="M26" s="99" t="str">
        <f>'retrieve WebNLG OD random'!M4</f>
        <v>x</v>
      </c>
      <c r="N26" s="99" t="str">
        <f>'retrieve WebNLG OD random'!N4</f>
        <v/>
      </c>
      <c r="O26" s="99" t="str">
        <f>'retrieve WebNLG OD random'!O4</f>
        <v/>
      </c>
    </row>
    <row r="27">
      <c r="A27" s="99">
        <f>'retrieve WebNLG OD random'!A33</f>
        <v>25</v>
      </c>
      <c r="B27" s="99" t="str">
        <f>'retrieve WebNLG OD random'!B33</f>
        <v>binignit is a type of dessert with the ingredient sago , a cookie is also a dessert .</v>
      </c>
      <c r="C27" s="99" t="str">
        <f>'retrieve WebNLG OD random'!C33</f>
        <v>Binignit|ingredient|Sago ++ Binignit|course|Dessert ++ Dessert|dishVariation|Cookie</v>
      </c>
      <c r="D27" s="99">
        <f>'retrieve WebNLG OD random'!D33</f>
        <v>0.114</v>
      </c>
      <c r="E27" s="99" t="str">
        <f>'retrieve WebNLG OD random'!E33</f>
        <v>OK</v>
      </c>
      <c r="F27" s="99" t="str">
        <f>'retrieve WebNLG OD random'!F33</f>
        <v>omission</v>
      </c>
      <c r="G27" s="99" t="str">
        <f>'retrieve WebNLG OD random'!G33</f>
        <v>x</v>
      </c>
      <c r="H27" s="99" t="str">
        <f>'retrieve WebNLG OD random'!H33</f>
        <v/>
      </c>
      <c r="I27" s="99" t="str">
        <f>'retrieve WebNLG OD random'!I33</f>
        <v/>
      </c>
      <c r="J27" s="99" t="str">
        <f>'retrieve WebNLG OD random'!J33</f>
        <v>x</v>
      </c>
      <c r="K27" s="99" t="str">
        <f>'retrieve WebNLG OD random'!K33</f>
        <v/>
      </c>
      <c r="L27" s="99" t="str">
        <f>'retrieve WebNLG OD random'!L33</f>
        <v/>
      </c>
      <c r="M27" s="99" t="str">
        <f>'retrieve WebNLG OD random'!M33</f>
        <v/>
      </c>
      <c r="N27" s="99" t="str">
        <f>'retrieve WebNLG OD random'!N33</f>
        <v/>
      </c>
      <c r="O27" s="99" t="str">
        <f>'retrieve WebNLG OD random'!O33</f>
        <v/>
      </c>
    </row>
    <row r="28">
      <c r="A28" s="99">
        <f>'retrieve WebNLG ZK random'!A7</f>
        <v>26</v>
      </c>
      <c r="B28" s="99" t="str">
        <f>'retrieve WebNLG ZK random'!B7</f>
        <v>john van den brom is manager of az alkmaar and is affiliated with jong ajax. he is currently at the i ̇ stanbulspor a. ş. club.</v>
      </c>
      <c r="C28" s="99" t="str">
        <f>'retrieve WebNLG ZK random'!C7</f>
        <v>AZ_Alkmaar|manager|John_van_den_Brom ++ John_van_den_Brom|club|Jong_Ajax ++ John_van_den_Brom|club|İstanbulspor_A.Ş.</v>
      </c>
      <c r="D28" s="99">
        <f>'retrieve WebNLG ZK random'!D7</f>
        <v>0.07</v>
      </c>
      <c r="E28" s="99" t="str">
        <f>'retrieve WebNLG ZK random'!E7</f>
        <v>OK</v>
      </c>
      <c r="F28" s="99" t="str">
        <f>'retrieve WebNLG ZK random'!F7</f>
        <v>omission</v>
      </c>
      <c r="G28" s="99" t="str">
        <f>'retrieve WebNLG ZK random'!G7</f>
        <v/>
      </c>
      <c r="H28" s="99" t="str">
        <f>'retrieve WebNLG ZK random'!H7</f>
        <v/>
      </c>
      <c r="I28" s="99" t="str">
        <f>'retrieve WebNLG ZK random'!I7</f>
        <v>x</v>
      </c>
      <c r="J28" s="99" t="str">
        <f>'retrieve WebNLG ZK random'!J7</f>
        <v/>
      </c>
      <c r="K28" s="99" t="str">
        <f>'retrieve WebNLG ZK random'!K7</f>
        <v/>
      </c>
      <c r="L28" s="99" t="str">
        <f>'retrieve WebNLG ZK random'!L7</f>
        <v>x</v>
      </c>
      <c r="M28" s="99" t="str">
        <f>'retrieve WebNLG ZK random'!M7</f>
        <v/>
      </c>
      <c r="N28" s="99" t="str">
        <f>'retrieve WebNLG ZK random'!N7</f>
        <v/>
      </c>
      <c r="O28" s="99" t="str">
        <f>'retrieve WebNLG ZK random'!O7</f>
        <v/>
      </c>
    </row>
    <row r="29">
      <c r="A29" s="99">
        <f>'retrieve WebNLG ZK random'!A48</f>
        <v>27</v>
      </c>
      <c r="B29" s="99" t="str">
        <f>'retrieve WebNLG ZK random'!B48</f>
        <v/>
      </c>
      <c r="C29" s="99" t="str">
        <f>'retrieve WebNLG ZK random'!C48</f>
        <v>Indonesia|language|Indonesian_language</v>
      </c>
      <c r="D29" s="99">
        <f>'retrieve WebNLG ZK random'!D48</f>
        <v>0.599</v>
      </c>
      <c r="E29" s="99" t="str">
        <f>'retrieve WebNLG ZK random'!E48</f>
        <v>not OK</v>
      </c>
      <c r="F29" s="99" t="str">
        <f>'retrieve WebNLG ZK random'!F48</f>
        <v>OK</v>
      </c>
      <c r="G29" s="99" t="str">
        <f>'retrieve WebNLG ZK random'!G48</f>
        <v/>
      </c>
      <c r="H29" s="99" t="str">
        <f>'retrieve WebNLG ZK random'!H48</f>
        <v>x</v>
      </c>
      <c r="I29" s="99" t="str">
        <f>'retrieve WebNLG ZK random'!I48</f>
        <v/>
      </c>
      <c r="J29" s="99" t="str">
        <f>'retrieve WebNLG ZK random'!J48</f>
        <v/>
      </c>
      <c r="K29" s="99" t="str">
        <f>'retrieve WebNLG ZK random'!K48</f>
        <v/>
      </c>
      <c r="L29" s="99" t="str">
        <f>'retrieve WebNLG ZK random'!L48</f>
        <v/>
      </c>
      <c r="M29" s="99" t="str">
        <f>'retrieve WebNLG ZK random'!M48</f>
        <v/>
      </c>
      <c r="N29" s="99" t="str">
        <f>'retrieve WebNLG ZK random'!N48</f>
        <v>x</v>
      </c>
      <c r="O29" s="99" t="str">
        <f>'retrieve WebNLG ZK random'!O48</f>
        <v/>
      </c>
    </row>
    <row r="30">
      <c r="A30" s="99">
        <f>'retrieve WebNLG ZK random'!A6</f>
        <v>28</v>
      </c>
      <c r="B30" s="99" t="str">
        <f>'retrieve WebNLG ZK random'!B6</f>
        <v>california is well known for the benitoite gemstone.</v>
      </c>
      <c r="C30" s="99" t="str">
        <f>'retrieve WebNLG ZK random'!C6</f>
        <v>California|gemstone|Benitoite</v>
      </c>
      <c r="D30" s="99">
        <f>'retrieve WebNLG ZK random'!D6</f>
        <v>0.229</v>
      </c>
      <c r="E30" s="99" t="str">
        <f>'retrieve WebNLG ZK random'!E6</f>
        <v>OK</v>
      </c>
      <c r="F30" s="99" t="str">
        <f>'retrieve WebNLG ZK random'!F6</f>
        <v>hallucination</v>
      </c>
      <c r="G30" s="99" t="str">
        <f>'retrieve WebNLG ZK random'!G6</f>
        <v/>
      </c>
      <c r="H30" s="99" t="str">
        <f>'retrieve WebNLG ZK random'!H6</f>
        <v/>
      </c>
      <c r="I30" s="99" t="str">
        <f>'retrieve WebNLG ZK random'!I6</f>
        <v>x</v>
      </c>
      <c r="J30" s="99" t="str">
        <f>'retrieve WebNLG ZK random'!J6</f>
        <v/>
      </c>
      <c r="K30" s="99" t="str">
        <f>'retrieve WebNLG ZK random'!K6</f>
        <v/>
      </c>
      <c r="L30" s="99" t="str">
        <f>'retrieve WebNLG ZK random'!L6</f>
        <v>x</v>
      </c>
      <c r="M30" s="99" t="str">
        <f>'retrieve WebNLG ZK random'!M6</f>
        <v/>
      </c>
      <c r="N30" s="99" t="str">
        <f>'retrieve WebNLG ZK random'!N6</f>
        <v/>
      </c>
      <c r="O30" s="99" t="str">
        <f>'retrieve WebNLG ZK random'!O6</f>
        <v/>
      </c>
    </row>
    <row r="31">
      <c r="A31" s="99">
        <f>'retrieve WebNLG OD random'!A23</f>
        <v>29</v>
      </c>
      <c r="B31" s="99" t="str">
        <f>'retrieve WebNLG OD random'!B23</f>
        <v>alfredo zitarrosa, milonga, was created by solo singer.</v>
      </c>
      <c r="C31" s="99" t="str">
        <f>'retrieve WebNLG OD random'!C23</f>
        <v>Alfredo_Zitarrosa|background|"solo_singer" ++ Alfredo_Zitarrosa|genre|Milonga_(music)</v>
      </c>
      <c r="D31" s="99">
        <f>'retrieve WebNLG OD random'!D23</f>
        <v>0.906</v>
      </c>
      <c r="E31" s="99" t="str">
        <f>'retrieve WebNLG OD random'!E23</f>
        <v>not OK</v>
      </c>
      <c r="F31" s="99" t="str">
        <f>'retrieve WebNLG OD random'!F23</f>
        <v>OK</v>
      </c>
      <c r="G31" s="99" t="str">
        <f>'retrieve WebNLG OD random'!G23</f>
        <v>x</v>
      </c>
      <c r="H31" s="99" t="str">
        <f>'retrieve WebNLG OD random'!H23</f>
        <v/>
      </c>
      <c r="I31" s="99" t="str">
        <f>'retrieve WebNLG OD random'!I23</f>
        <v/>
      </c>
      <c r="J31" s="99" t="str">
        <f>'retrieve WebNLG OD random'!J23</f>
        <v/>
      </c>
      <c r="K31" s="99" t="str">
        <f>'retrieve WebNLG OD random'!K23</f>
        <v/>
      </c>
      <c r="L31" s="99" t="str">
        <f>'retrieve WebNLG OD random'!L23</f>
        <v/>
      </c>
      <c r="M31" s="99" t="str">
        <f>'retrieve WebNLG OD random'!M23</f>
        <v>x</v>
      </c>
      <c r="N31" s="99" t="str">
        <f>'retrieve WebNLG OD random'!N23</f>
        <v/>
      </c>
      <c r="O31" s="99" t="str">
        <f>'retrieve WebNLG OD random'!O23</f>
        <v/>
      </c>
    </row>
    <row r="32">
      <c r="A32" s="99">
        <f>'retrieve WebNLG ZK random'!A21</f>
        <v>30</v>
      </c>
      <c r="B32" s="99" t="str">
        <f>'retrieve WebNLG ZK random'!B21</f>
        <v>the main ingredients of beef kway teow are kway teow, beef tender loin, gula melaka, sliced, dried black beans, garlic, dark soy sauce, lengkuas, oyster sauce, soya sauce, chilli and sesame oil.</v>
      </c>
      <c r="C32" s="99" t="str">
        <f>'retrieve WebNLG ZK random'!C21</f>
        <v>Beef_kway_teow|mainIngredients|"Kway teow, beef tender loin, gula Melaka, sliced, dried black beans, garlic, dark soy sauce, lengkuas, oyster sauce, soya sauce, chilli and sesame oil" ++ Beef_kway_teow|country|"Singapore and Indonesia"</v>
      </c>
      <c r="D32" s="99">
        <f>'retrieve WebNLG ZK random'!D21</f>
        <v>0.002</v>
      </c>
      <c r="E32" s="99" t="str">
        <f>'retrieve WebNLG ZK random'!E21</f>
        <v>OK</v>
      </c>
      <c r="F32" s="99" t="str">
        <f>'retrieve WebNLG ZK random'!F21</f>
        <v>omission</v>
      </c>
      <c r="G32" s="99" t="str">
        <f>'retrieve WebNLG ZK random'!G21</f>
        <v/>
      </c>
      <c r="H32" s="99" t="str">
        <f>'retrieve WebNLG ZK random'!H21</f>
        <v/>
      </c>
      <c r="I32" s="99" t="str">
        <f>'retrieve WebNLG ZK random'!I21</f>
        <v/>
      </c>
      <c r="J32" s="99" t="str">
        <f>'retrieve WebNLG ZK random'!J21</f>
        <v/>
      </c>
      <c r="K32" s="99" t="str">
        <f>'retrieve WebNLG ZK random'!K21</f>
        <v/>
      </c>
      <c r="L32" s="99" t="str">
        <f>'retrieve WebNLG ZK random'!L21</f>
        <v/>
      </c>
      <c r="M32" s="99" t="str">
        <f>'retrieve WebNLG ZK random'!M21</f>
        <v/>
      </c>
      <c r="N32" s="99" t="str">
        <f>'retrieve WebNLG ZK random'!N21</f>
        <v/>
      </c>
      <c r="O32" s="99" t="str">
        <f>'retrieve WebNLG ZK random'!O21</f>
        <v/>
      </c>
    </row>
    <row r="33">
      <c r="A33" s="99">
        <f>'retrieve WebNLG OD random'!A6</f>
        <v>31</v>
      </c>
      <c r="B33" s="99" t="str">
        <f>'retrieve WebNLG OD random'!B6</f>
        <v>1 decembrie 1918 university is known as uab and is located in alba.</v>
      </c>
      <c r="C33" s="99" t="str">
        <f>'retrieve WebNLG OD random'!C6</f>
        <v>1_Decembrie_1918_University|nickname|Uab ++ 1_Decembrie_1918_University|state|Alba</v>
      </c>
      <c r="D33" s="99">
        <f>'retrieve WebNLG OD random'!D6</f>
        <v>0.969</v>
      </c>
      <c r="E33" s="99" t="str">
        <f>'retrieve WebNLG OD random'!E6</f>
        <v>not OK</v>
      </c>
      <c r="F33" s="99" t="str">
        <f>'retrieve WebNLG OD random'!F6</f>
        <v>OK</v>
      </c>
      <c r="G33" s="99" t="str">
        <f>'retrieve WebNLG OD random'!G6</f>
        <v/>
      </c>
      <c r="H33" s="99" t="str">
        <f>'retrieve WebNLG OD random'!H6</f>
        <v>x</v>
      </c>
      <c r="I33" s="99" t="str">
        <f>'retrieve WebNLG OD random'!I6</f>
        <v/>
      </c>
      <c r="J33" s="99" t="str">
        <f>'retrieve WebNLG OD random'!J6</f>
        <v/>
      </c>
      <c r="K33" s="99" t="str">
        <f>'retrieve WebNLG OD random'!K6</f>
        <v/>
      </c>
      <c r="L33" s="99" t="str">
        <f>'retrieve WebNLG OD random'!L6</f>
        <v/>
      </c>
      <c r="M33" s="99" t="str">
        <f>'retrieve WebNLG OD random'!M6</f>
        <v>x</v>
      </c>
      <c r="N33" s="99" t="str">
        <f>'retrieve WebNLG OD random'!N6</f>
        <v/>
      </c>
      <c r="O33" s="99" t="str">
        <f>'retrieve WebNLG OD random'!O6</f>
        <v/>
      </c>
    </row>
    <row r="34">
      <c r="A34" s="99">
        <f>'retrieve WebNLG OD random'!A2</f>
        <v>32</v>
      </c>
      <c r="B34" s="99" t="str">
        <f>'retrieve WebNLG OD random'!B2</f>
        <v>alessio romagnoli is affiliated with a.s. roma.</v>
      </c>
      <c r="C34" s="99" t="str">
        <f>'retrieve WebNLG OD random'!C2</f>
        <v>Alessio_Romagnoli|youthclub|A.S._Roma</v>
      </c>
      <c r="D34" s="99">
        <f>'retrieve WebNLG OD random'!D2</f>
        <v>0.002</v>
      </c>
      <c r="E34" s="99" t="str">
        <f>'retrieve WebNLG OD random'!E2</f>
        <v>OK</v>
      </c>
      <c r="F34" s="99" t="str">
        <f>'retrieve WebNLG OD random'!F2</f>
        <v>omission</v>
      </c>
      <c r="G34" s="99" t="str">
        <f>'retrieve WebNLG OD random'!G2</f>
        <v>x</v>
      </c>
      <c r="H34" s="99" t="str">
        <f>'retrieve WebNLG OD random'!H2</f>
        <v/>
      </c>
      <c r="I34" s="99" t="str">
        <f>'retrieve WebNLG OD random'!I2</f>
        <v/>
      </c>
      <c r="J34" s="99" t="str">
        <f>'retrieve WebNLG OD random'!J2</f>
        <v>x</v>
      </c>
      <c r="K34" s="99" t="str">
        <f>'retrieve WebNLG OD random'!K2</f>
        <v/>
      </c>
      <c r="L34" s="99" t="str">
        <f>'retrieve WebNLG OD random'!L2</f>
        <v/>
      </c>
      <c r="M34" s="99" t="str">
        <f>'retrieve WebNLG OD random'!M2</f>
        <v/>
      </c>
      <c r="N34" s="99" t="str">
        <f>'retrieve WebNLG OD random'!N2</f>
        <v/>
      </c>
      <c r="O34" s="99" t="str">
        <f>'retrieve WebNLG OD random'!O2</f>
        <v/>
      </c>
    </row>
    <row r="35">
      <c r="A35" s="99">
        <f>'retrieve WebNLG OD random'!A41</f>
        <v>33</v>
      </c>
      <c r="B35" s="99" t="str">
        <f>'retrieve WebNLG OD random'!B41</f>
        <v>alessio romagnoli, who plays for defender (association football), plays for a.c. milan and → sampdoria. a.c. milan, the manager of which is siniša mihajlović, plays in serie a.</v>
      </c>
      <c r="C35" s="99" t="str">
        <f>'retrieve WebNLG OD random'!C41</f>
        <v>Alessio_Romagnoli|club|A.C._Milan ++ A.C._Milan|league|Serie_A ++ A.C._Milan|manager|Siniša_Mihajlović ++ Alessio_Romagnoli|position|Defender_(football) ++ Alessio_Romagnoli|club|U.C._Sampdoria</v>
      </c>
      <c r="D35" s="99">
        <f>'retrieve WebNLG OD random'!D41</f>
        <v>0.047</v>
      </c>
      <c r="E35" s="99" t="str">
        <f>'retrieve WebNLG OD random'!E41</f>
        <v>OK</v>
      </c>
      <c r="F35" s="99" t="str">
        <f>'retrieve WebNLG OD random'!F41</f>
        <v>omission</v>
      </c>
      <c r="G35" s="99" t="str">
        <f>'retrieve WebNLG OD random'!G41</f>
        <v/>
      </c>
      <c r="H35" s="99" t="str">
        <f>'retrieve WebNLG OD random'!H41</f>
        <v/>
      </c>
      <c r="I35" s="99" t="str">
        <f>'retrieve WebNLG OD random'!I41</f>
        <v>x</v>
      </c>
      <c r="J35" s="99" t="str">
        <f>'retrieve WebNLG OD random'!J41</f>
        <v/>
      </c>
      <c r="K35" s="99" t="str">
        <f>'retrieve WebNLG OD random'!K41</f>
        <v/>
      </c>
      <c r="L35" s="99" t="str">
        <f>'retrieve WebNLG OD random'!L41</f>
        <v/>
      </c>
      <c r="M35" s="99" t="str">
        <f>'retrieve WebNLG OD random'!M41</f>
        <v/>
      </c>
      <c r="N35" s="99" t="str">
        <f>'retrieve WebNLG OD random'!N41</f>
        <v/>
      </c>
      <c r="O35" s="99" t="str">
        <f>'retrieve WebNLG OD random'!O41</f>
        <v>edge case: "U.C. Sampdoria" is mangled</v>
      </c>
    </row>
    <row r="36">
      <c r="A36" s="99">
        <f>'retrieve WebNLG OD random'!A1</f>
        <v>34</v>
      </c>
      <c r="B36" s="99" t="str">
        <f>'retrieve WebNLG OD random'!B1</f>
        <v>atatürk monument (izmir) is in turkey, the leader of which is the president of turkey. ahmet davutoğlu is the leader of turkey. the capital of turkey is ankara. the largest city in turkey is istanbul.</v>
      </c>
      <c r="C36" s="99" t="str">
        <f>'retrieve WebNLG OD random'!C1</f>
        <v>Turkey|leaderTitle|President_of_Turkey ++ Turkey|leader|Ahmet_Davutoğlu ++ Turkey|capital|Ankara ++ Turkey|largestCity|Istanbul ++ Atatürk_Monument_(İzmir)|location|Turkey</v>
      </c>
      <c r="D36" s="99">
        <f>'retrieve WebNLG OD random'!D1</f>
        <v>0.004</v>
      </c>
      <c r="E36" s="99" t="str">
        <f>'retrieve WebNLG OD random'!E1</f>
        <v>OK</v>
      </c>
      <c r="F36" s="99" t="str">
        <f>'retrieve WebNLG OD random'!F1</f>
        <v>omission</v>
      </c>
      <c r="G36" s="99" t="str">
        <f>'retrieve WebNLG OD random'!G1</f>
        <v>x</v>
      </c>
      <c r="H36" s="99" t="str">
        <f>'retrieve WebNLG OD random'!H1</f>
        <v/>
      </c>
      <c r="I36" s="99" t="str">
        <f>'retrieve WebNLG OD random'!I1</f>
        <v/>
      </c>
      <c r="J36" s="99" t="str">
        <f>'retrieve WebNLG OD random'!J1</f>
        <v/>
      </c>
      <c r="K36" s="99" t="str">
        <f>'retrieve WebNLG OD random'!K1</f>
        <v/>
      </c>
      <c r="L36" s="99" t="str">
        <f>'retrieve WebNLG OD random'!L1</f>
        <v/>
      </c>
      <c r="M36" s="99" t="str">
        <f>'retrieve WebNLG OD random'!M1</f>
        <v/>
      </c>
      <c r="N36" s="99" t="str">
        <f>'retrieve WebNLG OD random'!N1</f>
        <v>x</v>
      </c>
      <c r="O36" s="99" t="str">
        <f>'retrieve WebNLG OD random'!O1</f>
        <v/>
      </c>
    </row>
    <row r="37">
      <c r="A37" s="99">
        <f>'retrieve WebNLG ZK random'!A11</f>
        <v>35</v>
      </c>
      <c r="B37" s="99" t="str">
        <f>'retrieve WebNLG ZK random'!B11</f>
        <v>guiana space centre is headquartered in french guiana. arianespace is located in courcouronnes. ela-3 is operated by arianespace.</v>
      </c>
      <c r="C37" s="99" t="str">
        <f>'retrieve WebNLG ZK random'!C11</f>
        <v>Arianespace|locationCity|Courcouronnes ++ Guiana_Space_Centre|headquarter|French_Guiana ++ ELA-3|site|Guiana_Space_Centre ++ Ariane_5|launchSite|ELA-3 ++ ELA-3|operator|Arianespace</v>
      </c>
      <c r="D37" s="99">
        <f>'retrieve WebNLG ZK random'!D11</f>
        <v>0.068</v>
      </c>
      <c r="E37" s="99" t="str">
        <f>'retrieve WebNLG ZK random'!E11</f>
        <v>OK</v>
      </c>
      <c r="F37" s="99" t="str">
        <f>'retrieve WebNLG ZK random'!F11</f>
        <v>omission</v>
      </c>
      <c r="G37" s="99" t="str">
        <f>'retrieve WebNLG ZK random'!G11</f>
        <v/>
      </c>
      <c r="H37" s="99" t="str">
        <f>'retrieve WebNLG ZK random'!H11</f>
        <v/>
      </c>
      <c r="I37" s="99" t="str">
        <f>'retrieve WebNLG ZK random'!I11</f>
        <v>x</v>
      </c>
      <c r="J37" s="99" t="str">
        <f>'retrieve WebNLG ZK random'!J11</f>
        <v/>
      </c>
      <c r="K37" s="99" t="str">
        <f>'retrieve WebNLG ZK random'!K11</f>
        <v/>
      </c>
      <c r="L37" s="99" t="str">
        <f>'retrieve WebNLG ZK random'!L11</f>
        <v>x</v>
      </c>
      <c r="M37" s="99" t="str">
        <f>'retrieve WebNLG ZK random'!M11</f>
        <v/>
      </c>
      <c r="N37" s="99" t="str">
        <f>'retrieve WebNLG ZK random'!N11</f>
        <v/>
      </c>
      <c r="O37" s="99" t="str">
        <f>'retrieve WebNLG ZK random'!O11</f>
        <v/>
      </c>
    </row>
    <row r="38">
      <c r="A38" s="99">
        <f>'retrieve WebNLG OD random'!A11</f>
        <v>36</v>
      </c>
      <c r="B38" s="99" t="str">
        <f>'retrieve WebNLG OD random'!B11</f>
        <v>auburn is in united states it is part of pierce county, washington. auburn, washington has a total area of 77.41 (square kilometres). auburn, washington has a population density of 914.8 inhabitants per square kilometre. it is part of king county, washington.</v>
      </c>
      <c r="C38" s="99" t="str">
        <f>'retrieve WebNLG OD random'!C11</f>
        <v>Auburn,_Washington|isPartOf|Pierce_County,_Washington ++ Auburn,_Washington|country|United_States ++ Auburn,_Washington|isPartOf|King_County,_Washington ++ Auburn,_Washington|populationDensity|914.8 (inhabitants per square kilometre) ++ Auburn,_Washington|areaTotal|77.41 (square kilometres)</v>
      </c>
      <c r="D38" s="99">
        <f>'retrieve WebNLG OD random'!D11</f>
        <v>0.408</v>
      </c>
      <c r="E38" s="99" t="str">
        <f>'retrieve WebNLG OD random'!E11</f>
        <v>OK</v>
      </c>
      <c r="F38" s="99" t="str">
        <f>'retrieve WebNLG OD random'!F11</f>
        <v>omission</v>
      </c>
      <c r="G38" s="99" t="str">
        <f>'retrieve WebNLG OD random'!G11</f>
        <v>x</v>
      </c>
      <c r="H38" s="99" t="str">
        <f>'retrieve WebNLG OD random'!H11</f>
        <v/>
      </c>
      <c r="I38" s="99" t="str">
        <f>'retrieve WebNLG OD random'!I11</f>
        <v/>
      </c>
      <c r="J38" s="99" t="str">
        <f>'retrieve WebNLG OD random'!J11</f>
        <v>x</v>
      </c>
      <c r="K38" s="99" t="str">
        <f>'retrieve WebNLG OD random'!K11</f>
        <v/>
      </c>
      <c r="L38" s="99" t="str">
        <f>'retrieve WebNLG OD random'!L11</f>
        <v/>
      </c>
      <c r="M38" s="99" t="str">
        <f>'retrieve WebNLG OD random'!M11</f>
        <v/>
      </c>
      <c r="N38" s="99" t="str">
        <f>'retrieve WebNLG OD random'!N11</f>
        <v/>
      </c>
      <c r="O38" s="99" t="str">
        <f>'retrieve WebNLG OD random'!O11</f>
        <v/>
      </c>
    </row>
    <row r="39">
      <c r="A39" s="99">
        <f>'retrieve WebNLG OD random'!A30</f>
        <v>37</v>
      </c>
      <c r="B39" s="99" t="str">
        <f>'retrieve WebNLG OD random'!B30</f>
        <v>adare manor is located in adare. adare manor is located in county limerick which is part of munster. county limerick is governed by the limerick city and county council.</v>
      </c>
      <c r="C39" s="99" t="str">
        <f>'retrieve WebNLG OD random'!C30</f>
        <v>Adare_Manor|location|Adare ++ County_Limerick|isPartOf|Munster ++ Adare_Manor|location|County_Limerick ++ County_Limerick|governmentType|Limerick_City_and_County_Council</v>
      </c>
      <c r="D39" s="99">
        <f>'retrieve WebNLG OD random'!D30</f>
        <v>0.276</v>
      </c>
      <c r="E39" s="99" t="str">
        <f>'retrieve WebNLG OD random'!E30</f>
        <v>OK</v>
      </c>
      <c r="F39" s="99" t="str">
        <f>'retrieve WebNLG OD random'!F30</f>
        <v>omission</v>
      </c>
      <c r="G39" s="99" t="str">
        <f>'retrieve WebNLG OD random'!G30</f>
        <v>x</v>
      </c>
      <c r="H39" s="99" t="str">
        <f>'retrieve WebNLG OD random'!H30</f>
        <v/>
      </c>
      <c r="I39" s="99" t="str">
        <f>'retrieve WebNLG OD random'!I30</f>
        <v/>
      </c>
      <c r="J39" s="99" t="str">
        <f>'retrieve WebNLG OD random'!J30</f>
        <v>x</v>
      </c>
      <c r="K39" s="99" t="str">
        <f>'retrieve WebNLG OD random'!K30</f>
        <v/>
      </c>
      <c r="L39" s="99" t="str">
        <f>'retrieve WebNLG OD random'!L30</f>
        <v/>
      </c>
      <c r="M39" s="99" t="str">
        <f>'retrieve WebNLG OD random'!M30</f>
        <v/>
      </c>
      <c r="N39" s="99" t="str">
        <f>'retrieve WebNLG OD random'!N30</f>
        <v/>
      </c>
      <c r="O39" s="99" t="str">
        <f>'retrieve WebNLG OD random'!O30</f>
        <v/>
      </c>
    </row>
    <row r="40">
      <c r="A40" s="99">
        <f>'retrieve WebNLG OD random'!A44</f>
        <v>38</v>
      </c>
      <c r="B40" s="99" t="str">
        <f>'retrieve WebNLG OD random'!B44</f>
        <v>the baku turkish martyrs ' memorial , known locally as turk sehitleri aniti , is located in baku , the capital city of azerbaijan .</v>
      </c>
      <c r="C40" s="99" t="str">
        <f>'retrieve WebNLG OD random'!C44</f>
        <v>Azerbaijan|capital|Baku ++ Baku_Turkish_Martyrs'_Memorial|location|Azerbaijan ++ Baku_Turkish_Martyrs'_Memorial|nativeName|"Türk Şehitleri Anıtı"</v>
      </c>
      <c r="D40" s="99">
        <f>'retrieve WebNLG OD random'!D44</f>
        <v>0.456</v>
      </c>
      <c r="E40" s="99" t="str">
        <f>'retrieve WebNLG OD random'!E44</f>
        <v>OK</v>
      </c>
      <c r="F40" s="99" t="str">
        <f>'retrieve WebNLG OD random'!F44</f>
        <v>omission</v>
      </c>
      <c r="G40" s="99" t="str">
        <f>'retrieve WebNLG OD random'!G44</f>
        <v/>
      </c>
      <c r="H40" s="99" t="str">
        <f>'retrieve WebNLG OD random'!H44</f>
        <v/>
      </c>
      <c r="I40" s="99" t="str">
        <f>'retrieve WebNLG OD random'!I44</f>
        <v>x</v>
      </c>
      <c r="J40" s="99" t="str">
        <f>'retrieve WebNLG OD random'!J44</f>
        <v/>
      </c>
      <c r="K40" s="99" t="str">
        <f>'retrieve WebNLG OD random'!K44</f>
        <v/>
      </c>
      <c r="L40" s="99" t="str">
        <f>'retrieve WebNLG OD random'!L44</f>
        <v/>
      </c>
      <c r="M40" s="99" t="str">
        <f>'retrieve WebNLG OD random'!M44</f>
        <v/>
      </c>
      <c r="N40" s="99" t="str">
        <f>'retrieve WebNLG OD random'!N44</f>
        <v/>
      </c>
      <c r="O40" s="99" t="str">
        <f>'retrieve WebNLG OD random'!O44</f>
        <v>should be hallucination: MR does not specify the Memorial is in Baku</v>
      </c>
    </row>
    <row r="41">
      <c r="A41" s="99">
        <f>'retrieve WebNLG ZK random'!A19</f>
        <v>39</v>
      </c>
      <c r="B41" s="99" t="str">
        <f>'retrieve WebNLG ZK random'!B19</f>
        <v>the leader of the united states is john sánchez, it is where asian americans are an ethnic group and the country is where the leader is called the new mexico senate. the country is the location of albuquerque, new mexico.</v>
      </c>
      <c r="C41" s="99" t="str">
        <f>'retrieve WebNLG ZK random'!C19</f>
        <v>United_States|ethnicGroup|Asian_Americans ++ Albuquerque,_New_Mexico|leaderTitle|New_Mexico_Senate ++ New_Mexico_Senate|leader|John_Sánchez ++ Albuquerque,_New_Mexico|country|United_States</v>
      </c>
      <c r="D41" s="99">
        <f>'retrieve WebNLG ZK random'!D19</f>
        <v>0.529</v>
      </c>
      <c r="E41" s="99" t="str">
        <f>'retrieve WebNLG ZK random'!E19</f>
        <v>not OK</v>
      </c>
      <c r="F41" s="99" t="str">
        <f>'retrieve WebNLG ZK random'!F19</f>
        <v>OK</v>
      </c>
      <c r="G41" s="99" t="str">
        <f>'retrieve WebNLG ZK random'!G19</f>
        <v>x</v>
      </c>
      <c r="H41" s="99" t="str">
        <f>'retrieve WebNLG ZK random'!H19</f>
        <v/>
      </c>
      <c r="I41" s="99" t="str">
        <f>'retrieve WebNLG ZK random'!I19</f>
        <v/>
      </c>
      <c r="J41" s="99" t="str">
        <f>'retrieve WebNLG ZK random'!J19</f>
        <v/>
      </c>
      <c r="K41" s="99" t="str">
        <f>'retrieve WebNLG ZK random'!K19</f>
        <v/>
      </c>
      <c r="L41" s="99" t="str">
        <f>'retrieve WebNLG ZK random'!L19</f>
        <v/>
      </c>
      <c r="M41" s="99" t="str">
        <f>'retrieve WebNLG ZK random'!M19</f>
        <v>x</v>
      </c>
      <c r="N41" s="99" t="str">
        <f>'retrieve WebNLG ZK random'!N19</f>
        <v/>
      </c>
      <c r="O41" s="99" t="str">
        <f>'retrieve WebNLG ZK random'!O19</f>
        <v/>
      </c>
    </row>
    <row r="42">
      <c r="A42" s="99">
        <f>'retrieve WebNLG ZK random'!A34</f>
        <v>40</v>
      </c>
      <c r="B42" s="99" t="str">
        <f>'retrieve WebNLG ZK random'!B34</f>
        <v>the apoapsis of 101 helena is 4.41092e8 kilometers.</v>
      </c>
      <c r="C42" s="99" t="str">
        <f>'retrieve WebNLG ZK random'!C34</f>
        <v>101_Helena|apoapsis|441092000.0 (kilometres)</v>
      </c>
      <c r="D42" s="99">
        <f>'retrieve WebNLG ZK random'!D34</f>
        <v>0.459</v>
      </c>
      <c r="E42" s="99" t="str">
        <f>'retrieve WebNLG ZK random'!E34</f>
        <v>OK</v>
      </c>
      <c r="F42" s="99" t="str">
        <f>'retrieve WebNLG ZK random'!F34</f>
        <v>hallucination</v>
      </c>
      <c r="G42" s="99" t="str">
        <f>'retrieve WebNLG ZK random'!G34</f>
        <v/>
      </c>
      <c r="H42" s="99" t="str">
        <f>'retrieve WebNLG ZK random'!H34</f>
        <v>x</v>
      </c>
      <c r="I42" s="99" t="str">
        <f>'retrieve WebNLG ZK random'!I34</f>
        <v/>
      </c>
      <c r="J42" s="99" t="str">
        <f>'retrieve WebNLG ZK random'!J34</f>
        <v/>
      </c>
      <c r="K42" s="99" t="str">
        <f>'retrieve WebNLG ZK random'!K34</f>
        <v/>
      </c>
      <c r="L42" s="99" t="str">
        <f>'retrieve WebNLG ZK random'!L34</f>
        <v/>
      </c>
      <c r="M42" s="99" t="str">
        <f>'retrieve WebNLG ZK random'!M34</f>
        <v/>
      </c>
      <c r="N42" s="99" t="str">
        <f>'retrieve WebNLG ZK random'!N34</f>
        <v>x</v>
      </c>
      <c r="O42" s="99" t="str">
        <f>'retrieve WebNLG ZK random'!O34</f>
        <v/>
      </c>
    </row>
    <row r="43">
      <c r="A43" s="99">
        <f>'retrieve WebNLG OD random'!A25</f>
        <v>41</v>
      </c>
      <c r="B43" s="99" t="str">
        <f>'retrieve WebNLG OD random'!B25</f>
        <v>twilight (band) is a black metal aaron turner associatedband/associatedmusicalartist twilight (band) aaron turner associatedband/associatedmusicalartist old man gloom aaron turner instrument electric guitar black metal musicfusiongenre death metal</v>
      </c>
      <c r="C43" s="99" t="str">
        <f>'retrieve WebNLG OD random'!C25</f>
        <v>Twilight_(band)|genre|Black_metal ++ Aaron_Turner|associatedBand/associatedMusicalArtist|Twilight_(band) ++ Aaron_Turner|associatedBand/associatedMusicalArtist|Old_Man_Gloom ++ Aaron_Turner|instrument|Electric_guitar ++ Black_metal|musicFusionGenre|Death_metal</v>
      </c>
      <c r="D43" s="99">
        <f>'retrieve WebNLG OD random'!D25</f>
        <v>0.793</v>
      </c>
      <c r="E43" s="99" t="str">
        <f>'retrieve WebNLG OD random'!E25</f>
        <v>not OK</v>
      </c>
      <c r="F43" s="99" t="str">
        <f>'retrieve WebNLG OD random'!F25</f>
        <v>OK</v>
      </c>
      <c r="G43" s="99" t="str">
        <f>'retrieve WebNLG OD random'!G25</f>
        <v/>
      </c>
      <c r="H43" s="99" t="str">
        <f>'retrieve WebNLG OD random'!H25</f>
        <v>x</v>
      </c>
      <c r="I43" s="99" t="str">
        <f>'retrieve WebNLG OD random'!I25</f>
        <v/>
      </c>
      <c r="J43" s="99" t="str">
        <f>'retrieve WebNLG OD random'!J25</f>
        <v/>
      </c>
      <c r="K43" s="99" t="str">
        <f>'retrieve WebNLG OD random'!K25</f>
        <v/>
      </c>
      <c r="L43" s="99" t="str">
        <f>'retrieve WebNLG OD random'!L25</f>
        <v>x</v>
      </c>
      <c r="M43" s="99" t="str">
        <f>'retrieve WebNLG OD random'!M25</f>
        <v/>
      </c>
      <c r="N43" s="99" t="str">
        <f>'retrieve WebNLG OD random'!N25</f>
        <v/>
      </c>
      <c r="O43" s="99" t="str">
        <f>'retrieve WebNLG OD random'!O25</f>
        <v/>
      </c>
    </row>
    <row r="44">
      <c r="A44" s="99">
        <f>'retrieve WebNLG OD random'!A43</f>
        <v>42</v>
      </c>
      <c r="B44" s="99" t="str">
        <f>'retrieve WebNLG OD random'!B43</f>
        <v>3arena in dublin dublin is part of the republic of ireland.</v>
      </c>
      <c r="C44" s="99" t="str">
        <f>'retrieve WebNLG OD random'!C43</f>
        <v>Dublin|isPartOf|Republic_of_Ireland ++ 3Arena|location|Dublin</v>
      </c>
      <c r="D44" s="99">
        <f>'retrieve WebNLG OD random'!D43</f>
        <v>0.97</v>
      </c>
      <c r="E44" s="99" t="str">
        <f>'retrieve WebNLG OD random'!E43</f>
        <v>not OK</v>
      </c>
      <c r="F44" s="99" t="str">
        <f>'retrieve WebNLG OD random'!F43</f>
        <v>OK</v>
      </c>
      <c r="G44" s="99" t="str">
        <f>'retrieve WebNLG OD random'!G43</f>
        <v/>
      </c>
      <c r="H44" s="99" t="str">
        <f>'retrieve WebNLG OD random'!H43</f>
        <v>x</v>
      </c>
      <c r="I44" s="99" t="str">
        <f>'retrieve WebNLG OD random'!I43</f>
        <v/>
      </c>
      <c r="J44" s="99" t="str">
        <f>'retrieve WebNLG OD random'!J43</f>
        <v/>
      </c>
      <c r="K44" s="99" t="str">
        <f>'retrieve WebNLG OD random'!K43</f>
        <v/>
      </c>
      <c r="L44" s="99" t="str">
        <f>'retrieve WebNLG OD random'!L43</f>
        <v>x</v>
      </c>
      <c r="M44" s="99" t="str">
        <f>'retrieve WebNLG OD random'!M43</f>
        <v/>
      </c>
      <c r="N44" s="99" t="str">
        <f>'retrieve WebNLG OD random'!N43</f>
        <v/>
      </c>
      <c r="O44" s="99" t="str">
        <f>'retrieve WebNLG OD random'!O43</f>
        <v/>
      </c>
    </row>
    <row r="45">
      <c r="A45" s="99">
        <f>'retrieve WebNLG ZK random'!A32</f>
        <v>43</v>
      </c>
      <c r="B45" s="99" t="str">
        <f>'retrieve WebNLG ZK random'!B32</f>
        <v>amsterdam-centrum and eberhard van der laan are part of amsterdam where afc ajax is based.</v>
      </c>
      <c r="C45" s="99" t="str">
        <f>'retrieve WebNLG ZK random'!C32</f>
        <v>AFC_Ajax_(amateurs)|ground|Amsterdam ++ Amsterdam|leader|Eberhard_van_der_Laan ++ Amsterdam|part|Amsterdam-Centrum</v>
      </c>
      <c r="D45" s="99">
        <f>'retrieve WebNLG ZK random'!D32</f>
        <v>0.107</v>
      </c>
      <c r="E45" s="99" t="str">
        <f>'retrieve WebNLG ZK random'!E32</f>
        <v>OK</v>
      </c>
      <c r="F45" s="99" t="str">
        <f>'retrieve WebNLG ZK random'!F32</f>
        <v>omission</v>
      </c>
      <c r="G45" s="99" t="str">
        <f>'retrieve WebNLG ZK random'!G32</f>
        <v>x</v>
      </c>
      <c r="H45" s="99" t="str">
        <f>'retrieve WebNLG ZK random'!H32</f>
        <v/>
      </c>
      <c r="I45" s="99" t="str">
        <f>'retrieve WebNLG ZK random'!I32</f>
        <v/>
      </c>
      <c r="J45" s="99" t="str">
        <f>'retrieve WebNLG ZK random'!J32</f>
        <v/>
      </c>
      <c r="K45" s="99" t="str">
        <f>'retrieve WebNLG ZK random'!K32</f>
        <v/>
      </c>
      <c r="L45" s="99" t="str">
        <f>'retrieve WebNLG ZK random'!L32</f>
        <v/>
      </c>
      <c r="M45" s="99" t="str">
        <f>'retrieve WebNLG ZK random'!M32</f>
        <v>x</v>
      </c>
      <c r="N45" s="99" t="str">
        <f>'retrieve WebNLG ZK random'!N32</f>
        <v/>
      </c>
      <c r="O45" s="99" t="str">
        <f>'retrieve WebNLG ZK random'!O32</f>
        <v/>
      </c>
    </row>
    <row r="46">
      <c r="A46" s="99">
        <f>'retrieve WebNLG OD random'!A24</f>
        <v>44</v>
      </c>
      <c r="B46" s="99" t="str">
        <f>'retrieve WebNLG OD random'!B24</f>
        <v>caterpillar inc. is located in peoria, illinois. aidaluna is owned by aida cruises. caterpillar inc. was founded in united states douglas r. oberhelman is the key person for it.</v>
      </c>
      <c r="C46" s="99" t="str">
        <f>'retrieve WebNLG OD random'!C24</f>
        <v>Caterpillar_Inc.|keyPerson|Douglas_R._Oberhelman ++ Caterpillar_Inc.|foundationPlace|United_States ++ Caterpillar_Inc.|location|Peoria,_Illinois ++ AIDAluna|owner|AIDA_Cruises ++ AIDAluna|powerType|Caterpillar_Inc.</v>
      </c>
      <c r="D46" s="99">
        <f>'retrieve WebNLG OD random'!D24</f>
        <v>0.543</v>
      </c>
      <c r="E46" s="99" t="str">
        <f>'retrieve WebNLG OD random'!E24</f>
        <v>not OK</v>
      </c>
      <c r="F46" s="99" t="str">
        <f>'retrieve WebNLG OD random'!F24</f>
        <v>OK</v>
      </c>
      <c r="G46" s="99" t="str">
        <f>'retrieve WebNLG OD random'!G24</f>
        <v>x</v>
      </c>
      <c r="H46" s="99" t="str">
        <f>'retrieve WebNLG OD random'!H24</f>
        <v/>
      </c>
      <c r="I46" s="99" t="str">
        <f>'retrieve WebNLG OD random'!I24</f>
        <v/>
      </c>
      <c r="J46" s="99" t="str">
        <f>'retrieve WebNLG OD random'!J24</f>
        <v/>
      </c>
      <c r="K46" s="99" t="str">
        <f>'retrieve WebNLG OD random'!K24</f>
        <v/>
      </c>
      <c r="L46" s="99" t="str">
        <f>'retrieve WebNLG OD random'!L24</f>
        <v/>
      </c>
      <c r="M46" s="99" t="str">
        <f>'retrieve WebNLG OD random'!M24</f>
        <v>x</v>
      </c>
      <c r="N46" s="99" t="str">
        <f>'retrieve WebNLG OD random'!N24</f>
        <v/>
      </c>
      <c r="O46" s="99" t="str">
        <f>'retrieve WebNLG OD random'!O24</f>
        <v/>
      </c>
    </row>
    <row r="47">
      <c r="A47" s="99">
        <f>'retrieve WebNLG OD random'!A34</f>
        <v>45</v>
      </c>
      <c r="B47" s="99" t="str">
        <f>'retrieve WebNLG OD random'!B34</f>
        <v>school of business and social sciences at the aarhus university is located in the city of aarhus. school of business and social sciences at the aarhus university in denmark school of business and social sciences at the aarhus university was established in 1928.</v>
      </c>
      <c r="C47" s="99" t="str">
        <f>'retrieve WebNLG OD random'!C34</f>
        <v>School of Business and Social Sciences at the Aarhus University|city|Aarhus ++ School of Business and Social Sciences at the Aarhus University|country|Denmark ++ School of Business and Social Sciences at the Aarhus University|established|1928</v>
      </c>
      <c r="D47" s="99">
        <f>'retrieve WebNLG OD random'!D34</f>
        <v>0.934</v>
      </c>
      <c r="E47" s="99" t="str">
        <f>'retrieve WebNLG OD random'!E34</f>
        <v>not OK</v>
      </c>
      <c r="F47" s="99" t="str">
        <f>'retrieve WebNLG OD random'!F34</f>
        <v>OK</v>
      </c>
      <c r="G47" s="99" t="str">
        <f>'retrieve WebNLG OD random'!G34</f>
        <v/>
      </c>
      <c r="H47" s="99" t="str">
        <f>'retrieve WebNLG OD random'!H34</f>
        <v>x</v>
      </c>
      <c r="I47" s="99" t="str">
        <f>'retrieve WebNLG OD random'!I34</f>
        <v/>
      </c>
      <c r="J47" s="99" t="str">
        <f>'retrieve WebNLG OD random'!J34</f>
        <v/>
      </c>
      <c r="K47" s="99" t="str">
        <f>'retrieve WebNLG OD random'!K34</f>
        <v/>
      </c>
      <c r="L47" s="99" t="str">
        <f>'retrieve WebNLG OD random'!L34</f>
        <v>x</v>
      </c>
      <c r="M47" s="99" t="str">
        <f>'retrieve WebNLG OD random'!M34</f>
        <v/>
      </c>
      <c r="N47" s="99" t="str">
        <f>'retrieve WebNLG OD random'!N34</f>
        <v/>
      </c>
      <c r="O47" s="99" t="str">
        <f>'retrieve WebNLG OD random'!O34</f>
        <v/>
      </c>
    </row>
    <row r="48">
      <c r="A48" s="99">
        <f>'retrieve WebNLG ZK random'!A47</f>
        <v>46</v>
      </c>
      <c r="B48" s="99" t="str">
        <f>'retrieve WebNLG ZK random'!B47</f>
        <v>the baku turkish martyr 's memorial is located in baku, the capital of azerbaijan, lead by prime minister artur rasizade.</v>
      </c>
      <c r="C48" s="99" t="str">
        <f>'retrieve WebNLG ZK random'!C47</f>
        <v>Azerbaijan|capital|Baku ++ Azerbaijan|leaderTitle|Prime_Minister_of_Azerbaijan ++ Baku_Turkish_Martyrs'_Memorial|location|Azerbaijan ++ Azerbaijan|leaderName|Artur_Rasizade</v>
      </c>
      <c r="D48" s="99">
        <f>'retrieve WebNLG ZK random'!D47</f>
        <v>0.414</v>
      </c>
      <c r="E48" s="99" t="str">
        <f>'retrieve WebNLG ZK random'!E47</f>
        <v>OK</v>
      </c>
      <c r="F48" s="99" t="str">
        <f>'retrieve WebNLG ZK random'!F47</f>
        <v>omission</v>
      </c>
      <c r="G48" s="99" t="str">
        <f>'retrieve WebNLG ZK random'!G47</f>
        <v>x</v>
      </c>
      <c r="H48" s="99" t="str">
        <f>'retrieve WebNLG ZK random'!H47</f>
        <v/>
      </c>
      <c r="I48" s="99" t="str">
        <f>'retrieve WebNLG ZK random'!I47</f>
        <v/>
      </c>
      <c r="J48" s="99" t="str">
        <f>'retrieve WebNLG ZK random'!J47</f>
        <v>x</v>
      </c>
      <c r="K48" s="99" t="str">
        <f>'retrieve WebNLG ZK random'!K47</f>
        <v/>
      </c>
      <c r="L48" s="99" t="str">
        <f>'retrieve WebNLG ZK random'!L47</f>
        <v/>
      </c>
      <c r="M48" s="99" t="str">
        <f>'retrieve WebNLG ZK random'!M47</f>
        <v/>
      </c>
      <c r="N48" s="99" t="str">
        <f>'retrieve WebNLG ZK random'!N47</f>
        <v/>
      </c>
      <c r="O48" s="99" t="str">
        <f>'retrieve WebNLG ZK random'!O47</f>
        <v/>
      </c>
    </row>
    <row r="49">
      <c r="A49" s="99">
        <f>'retrieve WebNLG OD random'!A19</f>
        <v>47</v>
      </c>
      <c r="B49" s="99" t="str">
        <f>'retrieve WebNLG OD random'!B19</f>
        <v>a loyal character dancer is published by soho press, located in united states. here is written in english, which is also spoken in great britain. native americans is one of native americans ethnic groups in here.</v>
      </c>
      <c r="C49" s="99" t="str">
        <f>'retrieve WebNLG OD random'!C19</f>
        <v>English_language|spokenIn|Great_Britain ++ A_Loyal_Character_Dancer|publisher|Soho_Press ++ A_Loyal_Character_Dancer|country|United_States ++ United_States|ethnicGroup|Native_Americans_in_the_United_States ++ United_States|language|English_language</v>
      </c>
      <c r="D49" s="99">
        <f>'retrieve WebNLG OD random'!D19</f>
        <v>0.885</v>
      </c>
      <c r="E49" s="99" t="str">
        <f>'retrieve WebNLG OD random'!E19</f>
        <v>not OK</v>
      </c>
      <c r="F49" s="99" t="str">
        <f>'retrieve WebNLG OD random'!F19</f>
        <v>OK</v>
      </c>
      <c r="G49" s="99" t="str">
        <f>'retrieve WebNLG OD random'!G19</f>
        <v/>
      </c>
      <c r="H49" s="99" t="str">
        <f>'retrieve WebNLG OD random'!H19</f>
        <v>x</v>
      </c>
      <c r="I49" s="99" t="str">
        <f>'retrieve WebNLG OD random'!I19</f>
        <v/>
      </c>
      <c r="J49" s="99" t="str">
        <f>'retrieve WebNLG OD random'!J19</f>
        <v/>
      </c>
      <c r="K49" s="99" t="str">
        <f>'retrieve WebNLG OD random'!K19</f>
        <v/>
      </c>
      <c r="L49" s="99" t="str">
        <f>'retrieve WebNLG OD random'!L19</f>
        <v>x</v>
      </c>
      <c r="M49" s="99" t="str">
        <f>'retrieve WebNLG OD random'!M19</f>
        <v/>
      </c>
      <c r="N49" s="99" t="str">
        <f>'retrieve WebNLG OD random'!N19</f>
        <v/>
      </c>
      <c r="O49" s="99" t="str">
        <f>'retrieve WebNLG OD random'!O19</f>
        <v/>
      </c>
    </row>
    <row r="50">
      <c r="A50" s="99">
        <f>'retrieve WebNLG ZK random'!A40</f>
        <v>48</v>
      </c>
      <c r="B50" s="99" t="str">
        <f>'retrieve WebNLG ZK random'!B40</f>
        <v>aenir is in english.</v>
      </c>
      <c r="C50" s="99" t="str">
        <f>'retrieve WebNLG ZK random'!C40</f>
        <v>Aenir|language|English_language</v>
      </c>
      <c r="D50" s="99">
        <f>'retrieve WebNLG ZK random'!D40</f>
        <v>0.8</v>
      </c>
      <c r="E50" s="99" t="str">
        <f>'retrieve WebNLG ZK random'!E40</f>
        <v>not OK</v>
      </c>
      <c r="F50" s="99" t="str">
        <f>'retrieve WebNLG ZK random'!F40</f>
        <v>OK</v>
      </c>
      <c r="G50" s="99" t="str">
        <f>'retrieve WebNLG ZK random'!G40</f>
        <v/>
      </c>
      <c r="H50" s="99" t="str">
        <f>'retrieve WebNLG ZK random'!H40</f>
        <v>x</v>
      </c>
      <c r="I50" s="99" t="str">
        <f>'retrieve WebNLG ZK random'!I40</f>
        <v/>
      </c>
      <c r="J50" s="99" t="str">
        <f>'retrieve WebNLG ZK random'!J40</f>
        <v/>
      </c>
      <c r="K50" s="99" t="str">
        <f>'retrieve WebNLG ZK random'!K40</f>
        <v/>
      </c>
      <c r="L50" s="99" t="str">
        <f>'retrieve WebNLG ZK random'!L40</f>
        <v>x</v>
      </c>
      <c r="M50" s="99" t="str">
        <f>'retrieve WebNLG ZK random'!M40</f>
        <v/>
      </c>
      <c r="N50" s="99" t="str">
        <f>'retrieve WebNLG ZK random'!N40</f>
        <v/>
      </c>
      <c r="O50" s="99" t="str">
        <f>'retrieve WebNLG ZK random'!O40</f>
        <v/>
      </c>
    </row>
    <row r="51">
      <c r="A51" s="99">
        <f>'retrieve WebNLG OD random'!A16</f>
        <v>49</v>
      </c>
      <c r="B51" s="99" t="str">
        <f>'retrieve WebNLG OD random'!B16</f>
        <v>fc dinamo batumi was at levan khomeriki and manages aleksandre guruli.</v>
      </c>
      <c r="C51" s="99" t="str">
        <f>'retrieve WebNLG OD random'!C16</f>
        <v>FC_Dinamo_Batumi|manager|Levan_Khomeriki ++ Aleksandre_Guruli|club|FC_Dinamo_Batumi</v>
      </c>
      <c r="D51" s="99">
        <f>'retrieve WebNLG OD random'!D16</f>
        <v>0.718</v>
      </c>
      <c r="E51" s="99" t="str">
        <f>'retrieve WebNLG OD random'!E16</f>
        <v>not OK</v>
      </c>
      <c r="F51" s="99" t="str">
        <f>'retrieve WebNLG OD random'!F16</f>
        <v>OK</v>
      </c>
      <c r="G51" s="99" t="str">
        <f>'retrieve WebNLG OD random'!G16</f>
        <v>x</v>
      </c>
      <c r="H51" s="99" t="str">
        <f>'retrieve WebNLG OD random'!H16</f>
        <v/>
      </c>
      <c r="I51" s="99" t="str">
        <f>'retrieve WebNLG OD random'!I16</f>
        <v/>
      </c>
      <c r="J51" s="99" t="str">
        <f>'retrieve WebNLG OD random'!J16</f>
        <v/>
      </c>
      <c r="K51" s="99" t="str">
        <f>'retrieve WebNLG OD random'!K16</f>
        <v/>
      </c>
      <c r="L51" s="99" t="str">
        <f>'retrieve WebNLG OD random'!L16</f>
        <v/>
      </c>
      <c r="M51" s="99" t="str">
        <f>'retrieve WebNLG OD random'!M16</f>
        <v>x</v>
      </c>
      <c r="N51" s="99" t="str">
        <f>'retrieve WebNLG OD random'!N16</f>
        <v/>
      </c>
      <c r="O51" s="99" t="str">
        <f>'retrieve WebNLG OD random'!O16</f>
        <v/>
      </c>
    </row>
    <row r="52">
      <c r="A52" s="99">
        <f>'retrieve WebNLG ZK random'!A10</f>
        <v>50</v>
      </c>
      <c r="B52" s="99" t="str">
        <f>'retrieve WebNLG ZK random'!B10</f>
        <v>the comic character blockbuster , aka mark desmond , was created by gardner fox and carmine infantino .</v>
      </c>
      <c r="C52" s="99" t="str">
        <f>'retrieve WebNLG ZK random'!C10</f>
        <v>Blockbuster_(comicsCharacter)|creator|Gardner_Fox ++ Blockbuster_(comicsCharacter)|alternativeName|"Mark Desmond" ++ Blockbuster_(comicsCharacter)|creator|Carmine_Infantino</v>
      </c>
      <c r="D52" s="99">
        <f>'retrieve WebNLG ZK random'!D10</f>
        <v>0.317</v>
      </c>
      <c r="E52" s="99" t="str">
        <f>'retrieve WebNLG ZK random'!E10</f>
        <v>OK</v>
      </c>
      <c r="F52" s="99" t="str">
        <f>'retrieve WebNLG ZK random'!F10</f>
        <v>omission</v>
      </c>
      <c r="G52" s="99" t="str">
        <f>'retrieve WebNLG ZK random'!G10</f>
        <v/>
      </c>
      <c r="H52" s="99" t="str">
        <f>'retrieve WebNLG ZK random'!H10</f>
        <v>x</v>
      </c>
      <c r="I52" s="99" t="str">
        <f>'retrieve WebNLG ZK random'!I10</f>
        <v/>
      </c>
      <c r="J52" s="99" t="str">
        <f>'retrieve WebNLG ZK random'!J10</f>
        <v/>
      </c>
      <c r="K52" s="99" t="str">
        <f>'retrieve WebNLG ZK random'!K10</f>
        <v/>
      </c>
      <c r="L52" s="99" t="str">
        <f>'retrieve WebNLG ZK random'!L10</f>
        <v/>
      </c>
      <c r="M52" s="99" t="str">
        <f>'retrieve WebNLG ZK random'!M10</f>
        <v>x</v>
      </c>
      <c r="N52" s="99" t="str">
        <f>'retrieve WebNLG ZK random'!N10</f>
        <v/>
      </c>
      <c r="O52" s="99" t="str">
        <f>'retrieve WebNLG ZK random'!O10</f>
        <v/>
      </c>
    </row>
    <row r="53">
      <c r="A53" s="99">
        <f>'retrieve WebNLG ZK random'!A30</f>
        <v>51</v>
      </c>
      <c r="B53" s="99" t="str">
        <f>'retrieve WebNLG ZK random'!B30</f>
        <v>albert jennings fountain was born in new york city and died in new mexico territory. albert jennings fountain was born in staten island.</v>
      </c>
      <c r="C53" s="99" t="str">
        <f>'retrieve WebNLG ZK random'!C30</f>
        <v>Albert_Jennings_Fountain|deathPlace|New_Mexico_Territory ++ Albert_Jennings_Fountain|birthPlace|New_York_City ++ Albert_Jennings_Fountain|birthPlace|Staten_Island</v>
      </c>
      <c r="D53" s="99">
        <f>'retrieve WebNLG ZK random'!D30</f>
        <v>0.166</v>
      </c>
      <c r="E53" s="99" t="str">
        <f>'retrieve WebNLG ZK random'!E30</f>
        <v>OK</v>
      </c>
      <c r="F53" s="99" t="str">
        <f>'retrieve WebNLG ZK random'!F30</f>
        <v>hallucination</v>
      </c>
      <c r="G53" s="99" t="str">
        <f>'retrieve WebNLG ZK random'!G30</f>
        <v/>
      </c>
      <c r="H53" s="99" t="str">
        <f>'retrieve WebNLG ZK random'!H30</f>
        <v>x</v>
      </c>
      <c r="I53" s="99" t="str">
        <f>'retrieve WebNLG ZK random'!I30</f>
        <v/>
      </c>
      <c r="J53" s="99" t="str">
        <f>'retrieve WebNLG ZK random'!J30</f>
        <v/>
      </c>
      <c r="K53" s="99" t="str">
        <f>'retrieve WebNLG ZK random'!K30</f>
        <v/>
      </c>
      <c r="L53" s="99" t="str">
        <f>'retrieve WebNLG ZK random'!L30</f>
        <v/>
      </c>
      <c r="M53" s="99" t="str">
        <f>'retrieve WebNLG ZK random'!M30</f>
        <v>x</v>
      </c>
      <c r="N53" s="99" t="str">
        <f>'retrieve WebNLG ZK random'!N30</f>
        <v/>
      </c>
      <c r="O53" s="99" t="str">
        <f>'retrieve WebNLG ZK random'!O30</f>
        <v/>
      </c>
    </row>
    <row r="54">
      <c r="A54" s="99">
        <f>'retrieve WebNLG OD random'!A9</f>
        <v>52</v>
      </c>
      <c r="B54" s="99" t="str">
        <f>'retrieve WebNLG OD random'!B9</f>
        <v>gus poyet is in the real zaragoza club and previously played for chelsea fc . he now manages aek athens who have their home ground at the olympic stadium ( athens ) at marousi .</v>
      </c>
      <c r="C54" s="99" t="str">
        <f>'retrieve WebNLG OD random'!C9</f>
        <v>AEK_Athens_F.C.|manager|Gus_Poyet ++ Gus_Poyet|club|Real_Zaragoza ++ Olympic_Stadium_(Athens)|location|Marousi ++ AEK_Athens_F.C.|ground|Olympic_Stadium_(Athens) ++ Gus_Poyet|club|Chelsea_F.C.</v>
      </c>
      <c r="D54" s="99">
        <f>'retrieve WebNLG OD random'!D9</f>
        <v>0.018</v>
      </c>
      <c r="E54" s="99" t="str">
        <f>'retrieve WebNLG OD random'!E9</f>
        <v>OK</v>
      </c>
      <c r="F54" s="99" t="str">
        <f>'retrieve WebNLG OD random'!F9</f>
        <v>hallucination</v>
      </c>
      <c r="G54" s="99" t="str">
        <f>'retrieve WebNLG OD random'!G9</f>
        <v/>
      </c>
      <c r="H54" s="99" t="str">
        <f>'retrieve WebNLG OD random'!H9</f>
        <v>x</v>
      </c>
      <c r="I54" s="99" t="str">
        <f>'retrieve WebNLG OD random'!I9</f>
        <v/>
      </c>
      <c r="J54" s="99" t="str">
        <f>'retrieve WebNLG OD random'!J9</f>
        <v/>
      </c>
      <c r="K54" s="99" t="str">
        <f>'retrieve WebNLG OD random'!K9</f>
        <v/>
      </c>
      <c r="L54" s="99" t="str">
        <f>'retrieve WebNLG OD random'!L9</f>
        <v/>
      </c>
      <c r="M54" s="99" t="str">
        <f>'retrieve WebNLG OD random'!M9</f>
        <v>x</v>
      </c>
      <c r="N54" s="99" t="str">
        <f>'retrieve WebNLG OD random'!N9</f>
        <v/>
      </c>
      <c r="O54" s="99" t="str">
        <f>'retrieve WebNLG OD random'!O9</f>
        <v/>
      </c>
    </row>
    <row r="55">
      <c r="A55" s="99">
        <f>'retrieve WebNLG ZK random'!A12</f>
        <v>53</v>
      </c>
      <c r="B55" s="99" t="str">
        <f>'retrieve WebNLG ZK random'!B12</f>
        <v>akita museum of art is located in akita, akita, japan, at the following addres : 142 nakadori. akita museum of art are three floors at akita prefecture.</v>
      </c>
      <c r="C55" s="99" t="str">
        <f>'retrieve WebNLG ZK random'!C12</f>
        <v>Akita_Museum_of_Art|country|Japan ++ Akita_Museum_of_Art|floorCount|3 ++ Akita_Museum_of_Art|location|Akita,_Akita ++ Akita_Museum_of_Art|location|Akita_Prefecture ++ Akita_Museum_of_Art|address|"1-4-2 Nakadori"</v>
      </c>
      <c r="D55" s="99">
        <f>'retrieve WebNLG ZK random'!D12</f>
        <v>0.013</v>
      </c>
      <c r="E55" s="99" t="str">
        <f>'retrieve WebNLG ZK random'!E12</f>
        <v>OK</v>
      </c>
      <c r="F55" s="99" t="str">
        <f>'retrieve WebNLG ZK random'!F12</f>
        <v>omission</v>
      </c>
      <c r="G55" s="99" t="str">
        <f>'retrieve WebNLG ZK random'!G12</f>
        <v/>
      </c>
      <c r="H55" s="99" t="str">
        <f>'retrieve WebNLG ZK random'!H12</f>
        <v>x</v>
      </c>
      <c r="I55" s="99" t="str">
        <f>'retrieve WebNLG ZK random'!I12</f>
        <v/>
      </c>
      <c r="J55" s="99" t="str">
        <f>'retrieve WebNLG ZK random'!J12</f>
        <v/>
      </c>
      <c r="K55" s="99" t="str">
        <f>'retrieve WebNLG ZK random'!K12</f>
        <v/>
      </c>
      <c r="L55" s="99" t="str">
        <f>'retrieve WebNLG ZK random'!L12</f>
        <v/>
      </c>
      <c r="M55" s="99" t="str">
        <f>'retrieve WebNLG ZK random'!M12</f>
        <v/>
      </c>
      <c r="N55" s="99" t="str">
        <f>'retrieve WebNLG ZK random'!N12</f>
        <v>x</v>
      </c>
      <c r="O55" s="99" t="str">
        <f>'retrieve WebNLG ZK random'!O12</f>
        <v/>
      </c>
    </row>
    <row r="56">
      <c r="A56" s="99">
        <f>'retrieve WebNLG ZK random'!A50</f>
        <v>54</v>
      </c>
      <c r="B56" s="99" t="str">
        <f>'retrieve WebNLG ZK random'!B50</f>
        <v>american journal of mathematics, the academic discipline mathematics</v>
      </c>
      <c r="C56" s="99" t="str">
        <f>'retrieve WebNLG ZK random'!C50</f>
        <v>American_Journal_of_Mathematics|academicDiscipline|Mathematics</v>
      </c>
      <c r="D56" s="99">
        <f>'retrieve WebNLG ZK random'!D50</f>
        <v>0.977</v>
      </c>
      <c r="E56" s="99" t="str">
        <f>'retrieve WebNLG ZK random'!E50</f>
        <v>not OK</v>
      </c>
      <c r="F56" s="99" t="str">
        <f>'retrieve WebNLG ZK random'!F50</f>
        <v>OK</v>
      </c>
      <c r="G56" s="99" t="str">
        <f>'retrieve WebNLG ZK random'!G50</f>
        <v>x</v>
      </c>
      <c r="H56" s="99" t="str">
        <f>'retrieve WebNLG ZK random'!H50</f>
        <v/>
      </c>
      <c r="I56" s="99" t="str">
        <f>'retrieve WebNLG ZK random'!I50</f>
        <v/>
      </c>
      <c r="J56" s="99" t="str">
        <f>'retrieve WebNLG ZK random'!J50</f>
        <v>x</v>
      </c>
      <c r="K56" s="99" t="str">
        <f>'retrieve WebNLG ZK random'!K50</f>
        <v/>
      </c>
      <c r="L56" s="99" t="str">
        <f>'retrieve WebNLG ZK random'!L50</f>
        <v/>
      </c>
      <c r="M56" s="99" t="str">
        <f>'retrieve WebNLG ZK random'!M50</f>
        <v/>
      </c>
      <c r="N56" s="99" t="str">
        <f>'retrieve WebNLG ZK random'!N50</f>
        <v/>
      </c>
      <c r="O56" s="99" t="str">
        <f>'retrieve WebNLG ZK random'!O50</f>
        <v/>
      </c>
    </row>
    <row r="57">
      <c r="A57" s="99">
        <f>'retrieve WebNLG ZK random'!A26</f>
        <v>55</v>
      </c>
      <c r="B57" s="99" t="str">
        <f>'retrieve WebNLG ZK random'!B26</f>
        <v>john van den brom, manager of az alkmaar, plays for jong ajax john van den brom plays for istanbulspor a.s.</v>
      </c>
      <c r="C57" s="99" t="str">
        <f>'retrieve WebNLG ZK random'!C26</f>
        <v>AZ_Alkmaar|manager|John_van_den_Brom ++ John_van_den_Brom|club|Jong_Ajax ++ John_van_den_Brom|club|İstanbulspor_A.Ş.</v>
      </c>
      <c r="D57" s="99">
        <f>'retrieve WebNLG ZK random'!D26</f>
        <v>0.692</v>
      </c>
      <c r="E57" s="99" t="str">
        <f>'retrieve WebNLG ZK random'!E26</f>
        <v>not OK</v>
      </c>
      <c r="F57" s="99" t="str">
        <f>'retrieve WebNLG ZK random'!F26</f>
        <v>OK</v>
      </c>
      <c r="G57" s="99" t="str">
        <f>'retrieve WebNLG ZK random'!G26</f>
        <v>x</v>
      </c>
      <c r="H57" s="99" t="str">
        <f>'retrieve WebNLG ZK random'!H26</f>
        <v/>
      </c>
      <c r="I57" s="99" t="str">
        <f>'retrieve WebNLG ZK random'!I26</f>
        <v/>
      </c>
      <c r="J57" s="99" t="str">
        <f>'retrieve WebNLG ZK random'!J26</f>
        <v>x</v>
      </c>
      <c r="K57" s="99" t="str">
        <f>'retrieve WebNLG ZK random'!K26</f>
        <v/>
      </c>
      <c r="L57" s="99" t="str">
        <f>'retrieve WebNLG ZK random'!L26</f>
        <v/>
      </c>
      <c r="M57" s="99" t="str">
        <f>'retrieve WebNLG ZK random'!M26</f>
        <v/>
      </c>
      <c r="N57" s="99" t="str">
        <f>'retrieve WebNLG ZK random'!N26</f>
        <v/>
      </c>
      <c r="O57" s="99" t="str">
        <f>'retrieve WebNLG ZK random'!O26</f>
        <v/>
      </c>
    </row>
    <row r="58">
      <c r="A58" s="99">
        <f>'retrieve WebNLG OD random'!A7</f>
        <v>56</v>
      </c>
      <c r="B58" s="99" t="str">
        <f>'retrieve WebNLG OD random'!B7</f>
        <v>capital is austin. andrews county airport is located in texas. english is spoken in texas.</v>
      </c>
      <c r="C58" s="99" t="str">
        <f>'retrieve WebNLG OD random'!C7</f>
        <v>Andrews_County_Airport|location|Texas ++ Texas|capital|Austin,_Texas ++ Texas|language|English_language</v>
      </c>
      <c r="D58" s="99">
        <f>'retrieve WebNLG OD random'!D7</f>
        <v>0.945</v>
      </c>
      <c r="E58" s="99" t="str">
        <f>'retrieve WebNLG OD random'!E7</f>
        <v>not OK</v>
      </c>
      <c r="F58" s="99" t="str">
        <f>'retrieve WebNLG OD random'!F7</f>
        <v>OK</v>
      </c>
      <c r="G58" s="99" t="str">
        <f>'retrieve WebNLG OD random'!G7</f>
        <v/>
      </c>
      <c r="H58" s="99" t="str">
        <f>'retrieve WebNLG OD random'!H7</f>
        <v>x</v>
      </c>
      <c r="I58" s="99" t="str">
        <f>'retrieve WebNLG OD random'!I7</f>
        <v/>
      </c>
      <c r="J58" s="99" t="str">
        <f>'retrieve WebNLG OD random'!J7</f>
        <v/>
      </c>
      <c r="K58" s="99" t="str">
        <f>'retrieve WebNLG OD random'!K7</f>
        <v/>
      </c>
      <c r="L58" s="99" t="str">
        <f>'retrieve WebNLG OD random'!L7</f>
        <v>x</v>
      </c>
      <c r="M58" s="99" t="str">
        <f>'retrieve WebNLG OD random'!M7</f>
        <v/>
      </c>
      <c r="N58" s="99" t="str">
        <f>'retrieve WebNLG OD random'!N7</f>
        <v/>
      </c>
      <c r="O58" s="99" t="str">
        <f>'retrieve WebNLG OD random'!O7</f>
        <v/>
      </c>
    </row>
    <row r="59">
      <c r="A59" s="99">
        <f>'retrieve WebNLG OD random'!A45</f>
        <v>57</v>
      </c>
      <c r="B59" s="99" t="str">
        <f>'retrieve WebNLG OD random'!B45</f>
        <v>the chair of (29075) 1950 da is carl a. wirtanen.</v>
      </c>
      <c r="C59" s="99" t="str">
        <f>'retrieve WebNLG OD random'!C45</f>
        <v>(29075)_1950_DA|discoverer|Carl_A._Wirtanen</v>
      </c>
      <c r="D59" s="99">
        <f>'retrieve WebNLG OD random'!D45</f>
        <v>0.448</v>
      </c>
      <c r="E59" s="99" t="str">
        <f>'retrieve WebNLG OD random'!E45</f>
        <v>not OK</v>
      </c>
      <c r="F59" s="99" t="str">
        <f>'retrieve WebNLG OD random'!F45</f>
        <v>OK</v>
      </c>
      <c r="G59" s="99" t="str">
        <f>'retrieve WebNLG OD random'!G45</f>
        <v>x</v>
      </c>
      <c r="H59" s="99" t="str">
        <f>'retrieve WebNLG OD random'!H45</f>
        <v/>
      </c>
      <c r="I59" s="99" t="str">
        <f>'retrieve WebNLG OD random'!I45</f>
        <v/>
      </c>
      <c r="J59" s="99" t="str">
        <f>'retrieve WebNLG OD random'!J45</f>
        <v/>
      </c>
      <c r="K59" s="99" t="str">
        <f>'retrieve WebNLG OD random'!K45</f>
        <v/>
      </c>
      <c r="L59" s="99" t="str">
        <f>'retrieve WebNLG OD random'!L45</f>
        <v/>
      </c>
      <c r="M59" s="99" t="str">
        <f>'retrieve WebNLG OD random'!M45</f>
        <v>x</v>
      </c>
      <c r="N59" s="99" t="str">
        <f>'retrieve WebNLG OD random'!N45</f>
        <v/>
      </c>
      <c r="O59" s="99" t="str">
        <f>'retrieve WebNLG OD random'!O45</f>
        <v/>
      </c>
    </row>
    <row r="60">
      <c r="A60" s="99">
        <f>'retrieve WebNLG ZK random'!A16</f>
        <v>58</v>
      </c>
      <c r="B60" s="99" t="str">
        <f>'retrieve WebNLG ZK random'!B16</f>
        <v>ajoblanco is a spanish dish that originates andalusia , where the leader is susana diaz . felipe vi is the leader of spain , where the people that live there are called spaniards .</v>
      </c>
      <c r="C60" s="99" t="str">
        <f>'retrieve WebNLG ZK random'!C16</f>
        <v>Spain|leaderName|Felipe_VI_of_Spain ++ Ajoblanco|region|Andalusia ++ Andalusia|leaderName|Susana_Díaz ++ Ajoblanco|country|Spain ++ Spain|demonym|Spaniards</v>
      </c>
      <c r="D60" s="99">
        <f>'retrieve WebNLG ZK random'!D16</f>
        <v>0.524</v>
      </c>
      <c r="E60" s="99" t="str">
        <f>'retrieve WebNLG ZK random'!E16</f>
        <v>not OK</v>
      </c>
      <c r="F60" s="99" t="str">
        <f>'retrieve WebNLG ZK random'!F16</f>
        <v>OK</v>
      </c>
      <c r="G60" s="99" t="str">
        <f>'retrieve WebNLG ZK random'!G16</f>
        <v/>
      </c>
      <c r="H60" s="99" t="str">
        <f>'retrieve WebNLG ZK random'!H16</f>
        <v/>
      </c>
      <c r="I60" s="99" t="str">
        <f>'retrieve WebNLG ZK random'!I16</f>
        <v/>
      </c>
      <c r="J60" s="99" t="str">
        <f>'retrieve WebNLG ZK random'!J16</f>
        <v/>
      </c>
      <c r="K60" s="99" t="str">
        <f>'retrieve WebNLG ZK random'!K16</f>
        <v/>
      </c>
      <c r="L60" s="99" t="str">
        <f>'retrieve WebNLG ZK random'!L16</f>
        <v/>
      </c>
      <c r="M60" s="99" t="str">
        <f>'retrieve WebNLG ZK random'!M16</f>
        <v/>
      </c>
      <c r="N60" s="99" t="str">
        <f>'retrieve WebNLG ZK random'!N16</f>
        <v/>
      </c>
      <c r="O60" s="99" t="str">
        <f>'retrieve WebNLG ZK random'!O16</f>
        <v/>
      </c>
    </row>
    <row r="61">
      <c r="A61" s="99">
        <f>'retrieve WebNLG OD random'!A42</f>
        <v>59</v>
      </c>
      <c r="B61" s="99" t="str">
        <f>'retrieve WebNLG OD random'!B42</f>
        <v>dublin is part of republic of ireland and 3arena.</v>
      </c>
      <c r="C61" s="99" t="str">
        <f>'retrieve WebNLG OD random'!C42</f>
        <v>Dublin|isPartOf|Republic_of_Ireland ++ 3Arena|location|Dublin</v>
      </c>
      <c r="D61" s="99">
        <f>'retrieve WebNLG OD random'!D42</f>
        <v>0.946</v>
      </c>
      <c r="E61" s="99" t="str">
        <f>'retrieve WebNLG OD random'!E42</f>
        <v>not OK</v>
      </c>
      <c r="F61" s="99" t="str">
        <f>'retrieve WebNLG OD random'!F42</f>
        <v>OK</v>
      </c>
      <c r="G61" s="99" t="str">
        <f>'retrieve WebNLG OD random'!G42</f>
        <v>x</v>
      </c>
      <c r="H61" s="99" t="str">
        <f>'retrieve WebNLG OD random'!H42</f>
        <v/>
      </c>
      <c r="I61" s="99" t="str">
        <f>'retrieve WebNLG OD random'!I42</f>
        <v/>
      </c>
      <c r="J61" s="99" t="str">
        <f>'retrieve WebNLG OD random'!J42</f>
        <v/>
      </c>
      <c r="K61" s="99" t="str">
        <f>'retrieve WebNLG OD random'!K42</f>
        <v/>
      </c>
      <c r="L61" s="99" t="str">
        <f>'retrieve WebNLG OD random'!L42</f>
        <v/>
      </c>
      <c r="M61" s="99" t="str">
        <f>'retrieve WebNLG OD random'!M42</f>
        <v>x</v>
      </c>
      <c r="N61" s="99" t="str">
        <f>'retrieve WebNLG OD random'!N42</f>
        <v/>
      </c>
      <c r="O61" s="99" t="str">
        <f>'retrieve WebNLG OD random'!O42</f>
        <v/>
      </c>
    </row>
    <row r="62">
      <c r="A62" s="99">
        <f>'retrieve WebNLG OD random'!A5</f>
        <v>60</v>
      </c>
      <c r="B62" s="99" t="str">
        <f>'retrieve WebNLG OD random'!B5</f>
        <v>the usaf was involved in the 1986 bombing of libya .</v>
      </c>
      <c r="C62" s="99" t="str">
        <f>'retrieve WebNLG OD random'!C5</f>
        <v>United_States_Air_Force|battles|1986_United_States_bombing_of_Libya</v>
      </c>
      <c r="D62" s="99">
        <f>'retrieve WebNLG OD random'!D5</f>
        <v>0.794</v>
      </c>
      <c r="E62" s="99" t="str">
        <f>'retrieve WebNLG OD random'!E5</f>
        <v>not OK</v>
      </c>
      <c r="F62" s="99" t="str">
        <f>'retrieve WebNLG OD random'!F5</f>
        <v>OK</v>
      </c>
      <c r="G62" s="99" t="str">
        <f>'retrieve WebNLG OD random'!G5</f>
        <v/>
      </c>
      <c r="H62" s="99" t="str">
        <f>'retrieve WebNLG OD random'!H5</f>
        <v>x</v>
      </c>
      <c r="I62" s="99" t="str">
        <f>'retrieve WebNLG OD random'!I5</f>
        <v/>
      </c>
      <c r="J62" s="99" t="str">
        <f>'retrieve WebNLG OD random'!J5</f>
        <v/>
      </c>
      <c r="K62" s="99" t="str">
        <f>'retrieve WebNLG OD random'!K5</f>
        <v/>
      </c>
      <c r="L62" s="99" t="str">
        <f>'retrieve WebNLG OD random'!L5</f>
        <v>x</v>
      </c>
      <c r="M62" s="99" t="str">
        <f>'retrieve WebNLG OD random'!M5</f>
        <v/>
      </c>
      <c r="N62" s="99" t="str">
        <f>'retrieve WebNLG OD random'!N5</f>
        <v/>
      </c>
      <c r="O62" s="99" t="str">
        <f>'retrieve WebNLG OD random'!O5</f>
        <v/>
      </c>
    </row>
    <row r="63">
      <c r="A63" s="99">
        <f>'retrieve WebNLG ZK random'!A39</f>
        <v>61</v>
      </c>
      <c r="B63" s="99" t="str">
        <f>'retrieve WebNLG ZK random'!B39</f>
        <v>athens international airport serves athens in greece. alexis tsipras and prokopis pavlopoulos are leaders in greece where the people there are called greek.</v>
      </c>
      <c r="C63" s="99" t="str">
        <f>'retrieve WebNLG ZK random'!C39</f>
        <v>Athens_International_Airport|cityServed|Athens ++ Athens|country|Greece ++ Greece|leaderName|Alexis_Tsipras ++ Greece|language|Greek_language ++ Greece|leaderName|Prokopis_Pavlopoulos</v>
      </c>
      <c r="D63" s="99">
        <f>'retrieve WebNLG ZK random'!D39</f>
        <v>0.307</v>
      </c>
      <c r="E63" s="99" t="str">
        <f>'retrieve WebNLG ZK random'!E39</f>
        <v>OK</v>
      </c>
      <c r="F63" s="99" t="str">
        <f>'retrieve WebNLG ZK random'!F39</f>
        <v>hallucination+omission</v>
      </c>
      <c r="G63" s="99" t="str">
        <f>'retrieve WebNLG ZK random'!G39</f>
        <v/>
      </c>
      <c r="H63" s="99" t="str">
        <f>'retrieve WebNLG ZK random'!H39</f>
        <v/>
      </c>
      <c r="I63" s="99" t="str">
        <f>'retrieve WebNLG ZK random'!I39</f>
        <v>x</v>
      </c>
      <c r="J63" s="99" t="str">
        <f>'retrieve WebNLG ZK random'!J39</f>
        <v/>
      </c>
      <c r="K63" s="99" t="str">
        <f>'retrieve WebNLG ZK random'!K39</f>
        <v>x</v>
      </c>
      <c r="L63" s="99" t="str">
        <f>'retrieve WebNLG ZK random'!L39</f>
        <v>x</v>
      </c>
      <c r="M63" s="99" t="str">
        <f>'retrieve WebNLG ZK random'!M39</f>
        <v/>
      </c>
      <c r="N63" s="99" t="str">
        <f>'retrieve WebNLG ZK random'!N39</f>
        <v/>
      </c>
      <c r="O63" s="99" t="str">
        <f>'retrieve WebNLG ZK random'!O39</f>
        <v/>
      </c>
    </row>
    <row r="64">
      <c r="A64" s="99">
        <f>'retrieve WebNLG ZK random'!A24</f>
        <v>62</v>
      </c>
      <c r="B64" s="99" t="str">
        <f>'retrieve WebNLG ZK random'!B24</f>
        <v>. english is spoken in the united states and great britain. the capital of the united states is washington, d.c. a severed wasp is from the united states where the native americans are an ethnic group.</v>
      </c>
      <c r="C64" s="99" t="str">
        <f>'retrieve WebNLG ZK random'!C24</f>
        <v>English_language|spokenIn|Great_Britain ++ United_States|language|English_language ++ United_States|capital|Washington,_D.C. ++ A_Severed_Wasp|country|United_States ++ United_States|ethnicGroup|Native_Americans_in_the_United_States</v>
      </c>
      <c r="D64" s="99">
        <f>'retrieve WebNLG ZK random'!D24</f>
        <v>0.921</v>
      </c>
      <c r="E64" s="99" t="str">
        <f>'retrieve WebNLG ZK random'!E24</f>
        <v>not OK</v>
      </c>
      <c r="F64" s="99" t="str">
        <f>'retrieve WebNLG ZK random'!F24</f>
        <v>OK</v>
      </c>
      <c r="G64" s="99" t="str">
        <f>'retrieve WebNLG ZK random'!G24</f>
        <v/>
      </c>
      <c r="H64" s="99" t="str">
        <f>'retrieve WebNLG ZK random'!H24</f>
        <v/>
      </c>
      <c r="I64" s="99" t="str">
        <f>'retrieve WebNLG ZK random'!I24</f>
        <v>x</v>
      </c>
      <c r="J64" s="99" t="str">
        <f>'retrieve WebNLG ZK random'!J24</f>
        <v/>
      </c>
      <c r="K64" s="99" t="str">
        <f>'retrieve WebNLG ZK random'!K24</f>
        <v/>
      </c>
      <c r="L64" s="99" t="str">
        <f>'retrieve WebNLG ZK random'!L24</f>
        <v/>
      </c>
      <c r="M64" s="99" t="str">
        <f>'retrieve WebNLG ZK random'!M24</f>
        <v/>
      </c>
      <c r="N64" s="99" t="str">
        <f>'retrieve WebNLG ZK random'!N24</f>
        <v/>
      </c>
      <c r="O64" s="99" t="str">
        <f>'retrieve WebNLG ZK random'!O24</f>
        <v>hallucination: "located in baku"</v>
      </c>
    </row>
    <row r="65">
      <c r="A65" s="99">
        <f>'retrieve WebNLG ZK random'!A8</f>
        <v>63</v>
      </c>
      <c r="B65" s="99" t="str">
        <f>'retrieve WebNLG ZK random'!B8</f>
        <v>a severed wasp ( from the united states ) is written in english , which is the language spoken in great britain .</v>
      </c>
      <c r="C65" s="99" t="str">
        <f>'retrieve WebNLG ZK random'!C8</f>
        <v>A_Severed_Wasp|language|English_language ++ English_language|spokenIn|Great_Britain ++ A_Severed_Wasp|country|United_States</v>
      </c>
      <c r="D65" s="99">
        <f>'retrieve WebNLG ZK random'!D8</f>
        <v>0.413</v>
      </c>
      <c r="E65" s="99" t="str">
        <f>'retrieve WebNLG ZK random'!E8</f>
        <v>OK</v>
      </c>
      <c r="F65" s="99" t="str">
        <f>'retrieve WebNLG ZK random'!F8</f>
        <v>hallucination</v>
      </c>
      <c r="G65" s="99" t="str">
        <f>'retrieve WebNLG ZK random'!G8</f>
        <v/>
      </c>
      <c r="H65" s="99" t="str">
        <f>'retrieve WebNLG ZK random'!H8</f>
        <v>x</v>
      </c>
      <c r="I65" s="99" t="str">
        <f>'retrieve WebNLG ZK random'!I8</f>
        <v/>
      </c>
      <c r="J65" s="99" t="str">
        <f>'retrieve WebNLG ZK random'!J8</f>
        <v/>
      </c>
      <c r="K65" s="99" t="str">
        <f>'retrieve WebNLG ZK random'!K8</f>
        <v/>
      </c>
      <c r="L65" s="99" t="str">
        <f>'retrieve WebNLG ZK random'!L8</f>
        <v/>
      </c>
      <c r="M65" s="99" t="str">
        <f>'retrieve WebNLG ZK random'!M8</f>
        <v/>
      </c>
      <c r="N65" s="99" t="str">
        <f>'retrieve WebNLG ZK random'!N8</f>
        <v>x</v>
      </c>
      <c r="O65" s="99" t="str">
        <f>'retrieve WebNLG ZK random'!O8</f>
        <v/>
      </c>
    </row>
    <row r="66">
      <c r="A66" s="99">
        <f>'retrieve WebNLG ZK random'!A42</f>
        <v>64</v>
      </c>
      <c r="B66" s="99" t="str">
        <f>'retrieve WebNLG ZK random'!B42</f>
        <v>atlantic city, new jersey is published in united states, the capital of which is washington dc</v>
      </c>
      <c r="C66" s="99" t="str">
        <f>'retrieve WebNLG ZK random'!C42</f>
        <v>Atlantic_City,_New_Jersey|country|United_States ++ United_States|capital|Washington,_D.C.</v>
      </c>
      <c r="D66" s="99">
        <f>'retrieve WebNLG ZK random'!D42</f>
        <v>0.824</v>
      </c>
      <c r="E66" s="99" t="str">
        <f>'retrieve WebNLG ZK random'!E42</f>
        <v>not OK</v>
      </c>
      <c r="F66" s="99" t="str">
        <f>'retrieve WebNLG ZK random'!F42</f>
        <v>OK</v>
      </c>
      <c r="G66" s="99" t="str">
        <f>'retrieve WebNLG ZK random'!G42</f>
        <v/>
      </c>
      <c r="H66" s="99" t="str">
        <f>'retrieve WebNLG ZK random'!H42</f>
        <v/>
      </c>
      <c r="I66" s="99" t="str">
        <f>'retrieve WebNLG ZK random'!I42</f>
        <v/>
      </c>
      <c r="J66" s="99" t="str">
        <f>'retrieve WebNLG ZK random'!J42</f>
        <v/>
      </c>
      <c r="K66" s="99" t="str">
        <f>'retrieve WebNLG ZK random'!K42</f>
        <v/>
      </c>
      <c r="L66" s="99" t="str">
        <f>'retrieve WebNLG ZK random'!L42</f>
        <v/>
      </c>
      <c r="M66" s="99" t="str">
        <f>'retrieve WebNLG ZK random'!M42</f>
        <v/>
      </c>
      <c r="N66" s="99" t="str">
        <f>'retrieve WebNLG ZK random'!N42</f>
        <v/>
      </c>
      <c r="O66" s="99" t="str">
        <f>'retrieve WebNLG ZK random'!O42</f>
        <v/>
      </c>
    </row>
    <row r="67">
      <c r="A67" s="99">
        <f>'retrieve WebNLG ZK random'!A9</f>
        <v>65</v>
      </c>
      <c r="B67" s="99" t="str">
        <f>'retrieve WebNLG ZK random'!B9</f>
        <v>marriott international is the tenant of ac hotel bella sky and is located in copenhagen .</v>
      </c>
      <c r="C67" s="99" t="str">
        <f>'retrieve WebNLG ZK random'!C9</f>
        <v>AC_Hotel_Bella_Sky_Copenhagen|tenant|Marriott_International ++ AC_Hotel_Bella_Sky_Copenhagen|location|Copenhagen</v>
      </c>
      <c r="D67" s="99">
        <f>'retrieve WebNLG ZK random'!D9</f>
        <v>0.003</v>
      </c>
      <c r="E67" s="99" t="str">
        <f>'retrieve WebNLG ZK random'!E9</f>
        <v>OK</v>
      </c>
      <c r="F67" s="99" t="str">
        <f>'retrieve WebNLG ZK random'!F9</f>
        <v>hallucination+omission</v>
      </c>
      <c r="G67" s="99" t="str">
        <f>'retrieve WebNLG ZK random'!G9</f>
        <v/>
      </c>
      <c r="H67" s="99" t="str">
        <f>'retrieve WebNLG ZK random'!H9</f>
        <v>x</v>
      </c>
      <c r="I67" s="99" t="str">
        <f>'retrieve WebNLG ZK random'!I9</f>
        <v/>
      </c>
      <c r="J67" s="99" t="str">
        <f>'retrieve WebNLG ZK random'!J9</f>
        <v/>
      </c>
      <c r="K67" s="99" t="str">
        <f>'retrieve WebNLG ZK random'!K9</f>
        <v/>
      </c>
      <c r="L67" s="99" t="str">
        <f>'retrieve WebNLG ZK random'!L9</f>
        <v/>
      </c>
      <c r="M67" s="99" t="str">
        <f>'retrieve WebNLG ZK random'!M9</f>
        <v/>
      </c>
      <c r="N67" s="99" t="str">
        <f>'retrieve WebNLG ZK random'!N9</f>
        <v>x</v>
      </c>
      <c r="O67" s="99" t="str">
        <f>'retrieve WebNLG ZK random'!O9</f>
        <v/>
      </c>
    </row>
    <row r="68">
      <c r="A68" s="99">
        <f>'retrieve WebNLG ZK random'!A13</f>
        <v>66</v>
      </c>
      <c r="B68" s="99" t="str">
        <f>'retrieve WebNLG ZK random'!B13</f>
        <v>binignit is dessert which contains sago. cookies is dessert.</v>
      </c>
      <c r="C68" s="99" t="str">
        <f>'retrieve WebNLG ZK random'!C13</f>
        <v>Binignit|ingredient|Sago ++ Binignit|course|Dessert ++ Dessert|dishVariation|Cookie</v>
      </c>
      <c r="D68" s="99">
        <f>'retrieve WebNLG ZK random'!D13</f>
        <v>0.271</v>
      </c>
      <c r="E68" s="99" t="str">
        <f>'retrieve WebNLG ZK random'!E13</f>
        <v>OK</v>
      </c>
      <c r="F68" s="99" t="str">
        <f>'retrieve WebNLG ZK random'!F13</f>
        <v>omission</v>
      </c>
      <c r="G68" s="99" t="str">
        <f>'retrieve WebNLG ZK random'!G13</f>
        <v>x</v>
      </c>
      <c r="H68" s="99" t="str">
        <f>'retrieve WebNLG ZK random'!H13</f>
        <v/>
      </c>
      <c r="I68" s="99" t="str">
        <f>'retrieve WebNLG ZK random'!I13</f>
        <v/>
      </c>
      <c r="J68" s="99" t="str">
        <f>'retrieve WebNLG ZK random'!J13</f>
        <v/>
      </c>
      <c r="K68" s="99" t="str">
        <f>'retrieve WebNLG ZK random'!K13</f>
        <v/>
      </c>
      <c r="L68" s="99" t="str">
        <f>'retrieve WebNLG ZK random'!L13</f>
        <v/>
      </c>
      <c r="M68" s="99" t="str">
        <f>'retrieve WebNLG ZK random'!M13</f>
        <v/>
      </c>
      <c r="N68" s="99" t="str">
        <f>'retrieve WebNLG ZK random'!N13</f>
        <v>x</v>
      </c>
      <c r="O68" s="99" t="str">
        <f>'retrieve WebNLG ZK random'!O13</f>
        <v/>
      </c>
    </row>
    <row r="69">
      <c r="A69" s="99">
        <f>'retrieve WebNLG ZK random'!A35</f>
        <v>67</v>
      </c>
      <c r="B69" s="99" t="str">
        <f>'retrieve WebNLG ZK random'!B35</f>
        <v>akita museum of art is located in akita, akita, akita prefecture, japan. the brazilians are an ethnic group in japan.</v>
      </c>
      <c r="C69" s="99" t="str">
        <f>'retrieve WebNLG ZK random'!C35</f>
        <v>Akita_Museum_of_Art|country|Japan ++ Akita_Museum_of_Art|location|Akita,_Akita ++ Akita,_Akita|isPartOf|Akita_Prefecture ++ Japan|ethnicGroup|Brazilians_in_Japan</v>
      </c>
      <c r="D69" s="99">
        <f>'retrieve WebNLG ZK random'!D35</f>
        <v>0.908</v>
      </c>
      <c r="E69" s="99" t="str">
        <f>'retrieve WebNLG ZK random'!E35</f>
        <v>not OK</v>
      </c>
      <c r="F69" s="99" t="str">
        <f>'retrieve WebNLG ZK random'!F35</f>
        <v>OK</v>
      </c>
      <c r="G69" s="99" t="str">
        <f>'retrieve WebNLG ZK random'!G35</f>
        <v/>
      </c>
      <c r="H69" s="99" t="str">
        <f>'retrieve WebNLG ZK random'!H35</f>
        <v>x</v>
      </c>
      <c r="I69" s="99" t="str">
        <f>'retrieve WebNLG ZK random'!I35</f>
        <v/>
      </c>
      <c r="J69" s="99" t="str">
        <f>'retrieve WebNLG ZK random'!J35</f>
        <v/>
      </c>
      <c r="K69" s="99" t="str">
        <f>'retrieve WebNLG ZK random'!K35</f>
        <v/>
      </c>
      <c r="L69" s="99" t="str">
        <f>'retrieve WebNLG ZK random'!L35</f>
        <v/>
      </c>
      <c r="M69" s="99" t="str">
        <f>'retrieve WebNLG ZK random'!M35</f>
        <v/>
      </c>
      <c r="N69" s="99" t="str">
        <f>'retrieve WebNLG ZK random'!N35</f>
        <v>x</v>
      </c>
      <c r="O69" s="99" t="str">
        <f>'retrieve WebNLG ZK random'!O35</f>
        <v/>
      </c>
    </row>
    <row r="70">
      <c r="A70" s="99">
        <f>'retrieve WebNLG ZK random'!A31</f>
        <v>68</v>
      </c>
      <c r="B70" s="99" t="str">
        <f>'retrieve WebNLG ZK random'!B31</f>
        <v>new york city is in new netherland.</v>
      </c>
      <c r="C70" s="99" t="str">
        <f>'retrieve WebNLG ZK random'!C31</f>
        <v>New_York_City|isPartOf|New_Netherland</v>
      </c>
      <c r="D70" s="99">
        <f>'retrieve WebNLG ZK random'!D31</f>
        <v>0.91</v>
      </c>
      <c r="E70" s="99" t="str">
        <f>'retrieve WebNLG ZK random'!E31</f>
        <v>not OK</v>
      </c>
      <c r="F70" s="99" t="str">
        <f>'retrieve WebNLG ZK random'!F31</f>
        <v>OK</v>
      </c>
      <c r="G70" s="99" t="str">
        <f>'retrieve WebNLG ZK random'!G31</f>
        <v/>
      </c>
      <c r="H70" s="99" t="str">
        <f>'retrieve WebNLG ZK random'!H31</f>
        <v/>
      </c>
      <c r="I70" s="99" t="str">
        <f>'retrieve WebNLG ZK random'!I31</f>
        <v>x</v>
      </c>
      <c r="J70" s="99" t="str">
        <f>'retrieve WebNLG ZK random'!J31</f>
        <v/>
      </c>
      <c r="K70" s="99" t="str">
        <f>'retrieve WebNLG ZK random'!K31</f>
        <v/>
      </c>
      <c r="L70" s="99" t="str">
        <f>'retrieve WebNLG ZK random'!L31</f>
        <v>x</v>
      </c>
      <c r="M70" s="99" t="str">
        <f>'retrieve WebNLG ZK random'!M31</f>
        <v/>
      </c>
      <c r="N70" s="99" t="str">
        <f>'retrieve WebNLG ZK random'!N31</f>
        <v/>
      </c>
      <c r="O70" s="99" t="str">
        <f>'retrieve WebNLG ZK random'!O31</f>
        <v/>
      </c>
    </row>
    <row r="71">
      <c r="A71" s="99">
        <f>'retrieve WebNLG ZK random'!A14</f>
        <v>69</v>
      </c>
      <c r="B71" s="99" t="str">
        <f>'retrieve WebNLG ZK random'!B14</f>
        <v>gardner fox created the character blockbuster, which is also known as mark desmond. carmine infantino created it.</v>
      </c>
      <c r="C71" s="99" t="str">
        <f>'retrieve WebNLG ZK random'!C14</f>
        <v>Blockbuster_(comicsCharacter)|creator|Gardner_Fox ++ Blockbuster_(comicsCharacter)|alternativeName|"Mark Desmond" ++ Blockbuster_(comicsCharacter)|creator|Carmine_Infantino</v>
      </c>
      <c r="D71" s="99">
        <f>'retrieve WebNLG ZK random'!D14</f>
        <v>0.468</v>
      </c>
      <c r="E71" s="99" t="str">
        <f>'retrieve WebNLG ZK random'!E14</f>
        <v>OK</v>
      </c>
      <c r="F71" s="99" t="str">
        <f>'retrieve WebNLG ZK random'!F14</f>
        <v>hallucination</v>
      </c>
      <c r="G71" s="99" t="str">
        <f>'retrieve WebNLG ZK random'!G14</f>
        <v>x</v>
      </c>
      <c r="H71" s="99" t="str">
        <f>'retrieve WebNLG ZK random'!H14</f>
        <v/>
      </c>
      <c r="I71" s="99" t="str">
        <f>'retrieve WebNLG ZK random'!I14</f>
        <v/>
      </c>
      <c r="J71" s="99" t="str">
        <f>'retrieve WebNLG ZK random'!J14</f>
        <v>x</v>
      </c>
      <c r="K71" s="99" t="str">
        <f>'retrieve WebNLG ZK random'!K14</f>
        <v/>
      </c>
      <c r="L71" s="99" t="str">
        <f>'retrieve WebNLG ZK random'!L14</f>
        <v/>
      </c>
      <c r="M71" s="99" t="str">
        <f>'retrieve WebNLG ZK random'!M14</f>
        <v/>
      </c>
      <c r="N71" s="99" t="str">
        <f>'retrieve WebNLG ZK random'!N14</f>
        <v/>
      </c>
      <c r="O71" s="99" t="str">
        <f>'retrieve WebNLG ZK random'!O14</f>
        <v/>
      </c>
    </row>
    <row r="72">
      <c r="A72" s="99">
        <f>'retrieve WebNLG ZK random'!A20</f>
        <v>70</v>
      </c>
      <c r="B72" s="99" t="str">
        <f>'retrieve WebNLG ZK random'!B20</f>
        <v>the languages spoken in philippines are philippine spanish and arabic. batchoy is eaten there and philippines ethnic groups are zamboangans and chinese filipino.</v>
      </c>
      <c r="C72" s="99" t="str">
        <f>'retrieve WebNLG ZK random'!C20</f>
        <v>Philippines|language|Arabic ++ Philippines|ethnicGroup|Zamboangans ++ Philippines|language|Philippine_Spanish ++ Batchoy|country|Philippines ++ Philippines|ethnicGroup|Chinese_Filipino</v>
      </c>
      <c r="D72" s="99">
        <f>'retrieve WebNLG ZK random'!D20</f>
        <v>0.222</v>
      </c>
      <c r="E72" s="99" t="str">
        <f>'retrieve WebNLG ZK random'!E20</f>
        <v>OK</v>
      </c>
      <c r="F72" s="99" t="str">
        <f>'retrieve WebNLG ZK random'!F20</f>
        <v>hallucination</v>
      </c>
      <c r="G72" s="99" t="str">
        <f>'retrieve WebNLG ZK random'!G20</f>
        <v/>
      </c>
      <c r="H72" s="99" t="str">
        <f>'retrieve WebNLG ZK random'!H20</f>
        <v/>
      </c>
      <c r="I72" s="99" t="str">
        <f>'retrieve WebNLG ZK random'!I20</f>
        <v>x</v>
      </c>
      <c r="J72" s="99" t="str">
        <f>'retrieve WebNLG ZK random'!J20</f>
        <v/>
      </c>
      <c r="K72" s="99" t="str">
        <f>'retrieve WebNLG ZK random'!K20</f>
        <v/>
      </c>
      <c r="L72" s="99" t="str">
        <f>'retrieve WebNLG ZK random'!L20</f>
        <v>x</v>
      </c>
      <c r="M72" s="99" t="str">
        <f>'retrieve WebNLG ZK random'!M20</f>
        <v/>
      </c>
      <c r="N72" s="99" t="str">
        <f>'retrieve WebNLG ZK random'!N20</f>
        <v/>
      </c>
      <c r="O72" s="99" t="str">
        <f>'retrieve WebNLG ZK random'!O20</f>
        <v/>
      </c>
    </row>
    <row r="73">
      <c r="A73" s="99">
        <f>'retrieve WebNLG OD random'!A28</f>
        <v>71</v>
      </c>
      <c r="B73" s="99" t="str">
        <f>'retrieve WebNLG OD random'!B28</f>
        <v>bhajji has different names including : bhaji or bajji. bhajji is karnataka and uses gram flour. it is gram flour and vegetables and can be found in india.</v>
      </c>
      <c r="C73" s="99" t="str">
        <f>'retrieve WebNLG OD random'!C28</f>
        <v>Bhajji|country|India ++ Bhajji|region|Karnataka ++ Bhajji|mainIngredients|"Gram flour, vegetables" ++ Bhajji|alternativeName|"Bhaji, bajji" ++ Bhajji|ingredient|Gram_flour</v>
      </c>
      <c r="D73" s="99">
        <f>'retrieve WebNLG OD random'!D28</f>
        <v>0.928</v>
      </c>
      <c r="E73" s="99" t="str">
        <f>'retrieve WebNLG OD random'!E28</f>
        <v>not OK</v>
      </c>
      <c r="F73" s="99" t="str">
        <f>'retrieve WebNLG OD random'!F28</f>
        <v>OK</v>
      </c>
      <c r="G73" s="99" t="str">
        <f>'retrieve WebNLG OD random'!G28</f>
        <v/>
      </c>
      <c r="H73" s="99" t="str">
        <f>'retrieve WebNLG OD random'!H28</f>
        <v>x</v>
      </c>
      <c r="I73" s="99" t="str">
        <f>'retrieve WebNLG OD random'!I28</f>
        <v/>
      </c>
      <c r="J73" s="99" t="str">
        <f>'retrieve WebNLG OD random'!J28</f>
        <v/>
      </c>
      <c r="K73" s="99" t="str">
        <f>'retrieve WebNLG OD random'!K28</f>
        <v/>
      </c>
      <c r="L73" s="99" t="str">
        <f>'retrieve WebNLG OD random'!L28</f>
        <v>x</v>
      </c>
      <c r="M73" s="99" t="str">
        <f>'retrieve WebNLG OD random'!M28</f>
        <v/>
      </c>
      <c r="N73" s="99" t="str">
        <f>'retrieve WebNLG OD random'!N28</f>
        <v/>
      </c>
      <c r="O73" s="99" t="str">
        <f>'retrieve WebNLG OD random'!O28</f>
        <v/>
      </c>
    </row>
    <row r="74">
      <c r="A74" s="99">
        <f>'retrieve WebNLG ZK random'!A37</f>
        <v>72</v>
      </c>
      <c r="B74" s="99" t="str">
        <f>'retrieve WebNLG ZK random'!B37</f>
        <v>abdulsalami abubakar, who graduated from technical institute (kaduna), was born in minna.</v>
      </c>
      <c r="C74" s="99" t="str">
        <f>'retrieve WebNLG ZK random'!C37</f>
        <v>Abdulsalami_Abubakar|birthPlace|Minna ++ Abdulsalami_Abubakar|almaMater|Technical_Institute,_Kaduna</v>
      </c>
      <c r="D74" s="99">
        <f>'retrieve WebNLG ZK random'!D37</f>
        <v>0.012</v>
      </c>
      <c r="E74" s="99" t="str">
        <f>'retrieve WebNLG ZK random'!E37</f>
        <v>OK</v>
      </c>
      <c r="F74" s="99" t="str">
        <f>'retrieve WebNLG ZK random'!F37</f>
        <v>hallucination</v>
      </c>
      <c r="G74" s="99" t="str">
        <f>'retrieve WebNLG ZK random'!G37</f>
        <v/>
      </c>
      <c r="H74" s="99" t="str">
        <f>'retrieve WebNLG ZK random'!H37</f>
        <v>x</v>
      </c>
      <c r="I74" s="99" t="str">
        <f>'retrieve WebNLG ZK random'!I37</f>
        <v/>
      </c>
      <c r="J74" s="99" t="str">
        <f>'retrieve WebNLG ZK random'!J37</f>
        <v/>
      </c>
      <c r="K74" s="99" t="str">
        <f>'retrieve WebNLG ZK random'!K37</f>
        <v/>
      </c>
      <c r="L74" s="99" t="str">
        <f>'retrieve WebNLG ZK random'!L37</f>
        <v/>
      </c>
      <c r="M74" s="99" t="str">
        <f>'retrieve WebNLG ZK random'!M37</f>
        <v/>
      </c>
      <c r="N74" s="99" t="str">
        <f>'retrieve WebNLG ZK random'!N37</f>
        <v>x</v>
      </c>
      <c r="O74" s="99" t="str">
        <f>'retrieve WebNLG ZK random'!O37</f>
        <v/>
      </c>
    </row>
    <row r="75">
      <c r="A75" s="99">
        <f>'retrieve WebNLG OD random'!A17</f>
        <v>73</v>
      </c>
      <c r="B75" s="99" t="str">
        <f>'retrieve WebNLG OD random'!B17</f>
        <v>british people live in the united kingdom.</v>
      </c>
      <c r="C75" s="99" t="str">
        <f>'retrieve WebNLG OD random'!C17</f>
        <v>United_Kingdom|demonym|British_people</v>
      </c>
      <c r="D75" s="99">
        <f>'retrieve WebNLG OD random'!D17</f>
        <v>0.637</v>
      </c>
      <c r="E75" s="99" t="str">
        <f>'retrieve WebNLG OD random'!E17</f>
        <v>not OK</v>
      </c>
      <c r="F75" s="99" t="str">
        <f>'retrieve WebNLG OD random'!F17</f>
        <v>OK</v>
      </c>
      <c r="G75" s="99" t="str">
        <f>'retrieve WebNLG OD random'!G17</f>
        <v/>
      </c>
      <c r="H75" s="99" t="str">
        <f>'retrieve WebNLG OD random'!H17</f>
        <v>x</v>
      </c>
      <c r="I75" s="99" t="str">
        <f>'retrieve WebNLG OD random'!I17</f>
        <v/>
      </c>
      <c r="J75" s="99" t="str">
        <f>'retrieve WebNLG OD random'!J17</f>
        <v/>
      </c>
      <c r="K75" s="99" t="str">
        <f>'retrieve WebNLG OD random'!K17</f>
        <v/>
      </c>
      <c r="L75" s="99" t="str">
        <f>'retrieve WebNLG OD random'!L17</f>
        <v>x</v>
      </c>
      <c r="M75" s="99" t="str">
        <f>'retrieve WebNLG OD random'!M17</f>
        <v/>
      </c>
      <c r="N75" s="99" t="str">
        <f>'retrieve WebNLG OD random'!N17</f>
        <v/>
      </c>
      <c r="O75" s="99" t="str">
        <f>'retrieve WebNLG OD random'!O17</f>
        <v/>
      </c>
    </row>
    <row r="76">
      <c r="A76" s="99">
        <f>'retrieve WebNLG ZK random'!A23</f>
        <v>74</v>
      </c>
      <c r="B76" s="99" t="str">
        <f>'retrieve WebNLG ZK random'!B23</f>
        <v>aleksandra kovač (new zealand) can be found in the country of rhythm and blues, which is lead by k2 and kristina kovač.</v>
      </c>
      <c r="C76" s="99" t="str">
        <f>'retrieve WebNLG ZK random'!C23</f>
        <v>Aleksandra_Kovač|genre|Rhythm_and_blues ++ Aleksandra_Kovač|associatedBand/associatedMusicalArtist|K2_(Kovač_sisters_duo) ++ Aleksandra_Kovač|associatedBand/associatedMusicalArtist|Kristina_Kovač</v>
      </c>
      <c r="D76" s="99">
        <f>'retrieve WebNLG ZK random'!D23</f>
        <v>0.553</v>
      </c>
      <c r="E76" s="99" t="str">
        <f>'retrieve WebNLG ZK random'!E23</f>
        <v>not OK</v>
      </c>
      <c r="F76" s="99" t="str">
        <f>'retrieve WebNLG ZK random'!F23</f>
        <v>OK</v>
      </c>
      <c r="G76" s="99" t="str">
        <f>'retrieve WebNLG ZK random'!G23</f>
        <v/>
      </c>
      <c r="H76" s="99" t="str">
        <f>'retrieve WebNLG ZK random'!H23</f>
        <v/>
      </c>
      <c r="I76" s="99" t="str">
        <f>'retrieve WebNLG ZK random'!I23</f>
        <v/>
      </c>
      <c r="J76" s="99" t="str">
        <f>'retrieve WebNLG ZK random'!J23</f>
        <v/>
      </c>
      <c r="K76" s="99" t="str">
        <f>'retrieve WebNLG ZK random'!K23</f>
        <v/>
      </c>
      <c r="L76" s="99" t="str">
        <f>'retrieve WebNLG ZK random'!L23</f>
        <v/>
      </c>
      <c r="M76" s="99" t="str">
        <f>'retrieve WebNLG ZK random'!M23</f>
        <v/>
      </c>
      <c r="N76" s="99" t="str">
        <f>'retrieve WebNLG ZK random'!N23</f>
        <v/>
      </c>
      <c r="O76" s="99" t="str">
        <f>'retrieve WebNLG ZK random'!O23</f>
        <v/>
      </c>
    </row>
    <row r="77">
      <c r="A77" s="99">
        <f>'retrieve WebNLG ZK random'!A15</f>
        <v>75</v>
      </c>
      <c r="B77" s="99" t="str">
        <f>'retrieve WebNLG ZK random'!B15</f>
        <v>tomato is an ingredient of amatriciana sauce which is a member of the solanaceae family. tomato is a fruit of solanales.</v>
      </c>
      <c r="C77" s="99" t="str">
        <f>'retrieve WebNLG ZK random'!C15</f>
        <v>Tomato|family|Solanaceae ++ Amatriciana_sauce|ingredient|Tomato ++ Tomato|order|Solanales</v>
      </c>
      <c r="D77" s="99">
        <f>'retrieve WebNLG ZK random'!D15</f>
        <v>0.825</v>
      </c>
      <c r="E77" s="99" t="str">
        <f>'retrieve WebNLG ZK random'!E15</f>
        <v>not OK</v>
      </c>
      <c r="F77" s="99" t="str">
        <f>'retrieve WebNLG ZK random'!F15</f>
        <v>OK</v>
      </c>
      <c r="G77" s="99" t="str">
        <f>'retrieve WebNLG ZK random'!G15</f>
        <v/>
      </c>
      <c r="H77" s="99" t="str">
        <f>'retrieve WebNLG ZK random'!H15</f>
        <v>x</v>
      </c>
      <c r="I77" s="99" t="str">
        <f>'retrieve WebNLG ZK random'!I15</f>
        <v/>
      </c>
      <c r="J77" s="99" t="str">
        <f>'retrieve WebNLG ZK random'!J15</f>
        <v/>
      </c>
      <c r="K77" s="99" t="str">
        <f>'retrieve WebNLG ZK random'!K15</f>
        <v/>
      </c>
      <c r="L77" s="99" t="str">
        <f>'retrieve WebNLG ZK random'!L15</f>
        <v/>
      </c>
      <c r="M77" s="99" t="str">
        <f>'retrieve WebNLG ZK random'!M15</f>
        <v/>
      </c>
      <c r="N77" s="99" t="str">
        <f>'retrieve WebNLG ZK random'!N15</f>
        <v>x</v>
      </c>
      <c r="O77" s="99" t="str">
        <f>'retrieve WebNLG ZK random'!O15</f>
        <v/>
      </c>
    </row>
    <row r="78">
      <c r="A78" s="99">
        <f>'retrieve WebNLG OD random'!A39</f>
        <v>76</v>
      </c>
      <c r="B78" s="99" t="str">
        <f>'retrieve WebNLG OD random'!B39</f>
        <v>john van den brom has been manager of az alkmaar and is part of the club netherlands national football team club. he is also attached to the club netherlands national football team.</v>
      </c>
      <c r="C78" s="99" t="str">
        <f>'retrieve WebNLG OD random'!C39</f>
        <v>AZ_Alkmaar|manager|John_van_den_Brom ++ John_van_den_Brom|club|Vitesse_Arnhem ++ John_van_den_Brom|club|AFC_Ajax ++ John_van_den_Brom|club|Netherlands_national_football_team</v>
      </c>
      <c r="D78" s="99">
        <f>'retrieve WebNLG OD random'!D39</f>
        <v>0.006</v>
      </c>
      <c r="E78" s="99" t="str">
        <f>'retrieve WebNLG OD random'!E39</f>
        <v>OK</v>
      </c>
      <c r="F78" s="99" t="str">
        <f>'retrieve WebNLG OD random'!F39</f>
        <v>omission</v>
      </c>
      <c r="G78" s="99" t="str">
        <f>'retrieve WebNLG OD random'!G39</f>
        <v/>
      </c>
      <c r="H78" s="99" t="str">
        <f>'retrieve WebNLG OD random'!H39</f>
        <v>x</v>
      </c>
      <c r="I78" s="99" t="str">
        <f>'retrieve WebNLG OD random'!I39</f>
        <v/>
      </c>
      <c r="J78" s="99" t="str">
        <f>'retrieve WebNLG OD random'!J39</f>
        <v/>
      </c>
      <c r="K78" s="99" t="str">
        <f>'retrieve WebNLG OD random'!K39</f>
        <v/>
      </c>
      <c r="L78" s="99" t="str">
        <f>'retrieve WebNLG OD random'!L39</f>
        <v/>
      </c>
      <c r="M78" s="99" t="str">
        <f>'retrieve WebNLG OD random'!M39</f>
        <v>x</v>
      </c>
      <c r="N78" s="99" t="str">
        <f>'retrieve WebNLG OD random'!N39</f>
        <v/>
      </c>
      <c r="O78" s="99" t="str">
        <f>'retrieve WebNLG OD random'!O39</f>
        <v/>
      </c>
    </row>
    <row r="79">
      <c r="A79" s="99">
        <f>'retrieve WebNLG ZK random'!A41</f>
        <v>77</v>
      </c>
      <c r="B79" s="99" t="str">
        <f>'retrieve WebNLG ZK random'!B41</f>
        <v>baku turkish martyrs ' memorial is located in azerbaijan, which has artur rasizade as prime minister. baku is the capital of azerbaijan.</v>
      </c>
      <c r="C79" s="99" t="str">
        <f>'retrieve WebNLG ZK random'!C41</f>
        <v>Azerbaijan|capital|Baku ++ Azerbaijan|leaderTitle|Prime_Minister_of_Azerbaijan ++ Baku_Turkish_Martyrs'_Memorial|location|Azerbaijan ++ Azerbaijan|leaderName|Artur_Rasizade</v>
      </c>
      <c r="D79" s="99">
        <f>'retrieve WebNLG ZK random'!D41</f>
        <v>0.475</v>
      </c>
      <c r="E79" s="99" t="str">
        <f>'retrieve WebNLG ZK random'!E41</f>
        <v>OK</v>
      </c>
      <c r="F79" s="99" t="str">
        <f>'retrieve WebNLG ZK random'!F41</f>
        <v>omission</v>
      </c>
      <c r="G79" s="99" t="str">
        <f>'retrieve WebNLG ZK random'!G41</f>
        <v/>
      </c>
      <c r="H79" s="99" t="str">
        <f>'retrieve WebNLG ZK random'!H41</f>
        <v/>
      </c>
      <c r="I79" s="99" t="str">
        <f>'retrieve WebNLG ZK random'!I41</f>
        <v/>
      </c>
      <c r="J79" s="99" t="str">
        <f>'retrieve WebNLG ZK random'!J41</f>
        <v/>
      </c>
      <c r="K79" s="99" t="str">
        <f>'retrieve WebNLG ZK random'!K41</f>
        <v/>
      </c>
      <c r="L79" s="99" t="str">
        <f>'retrieve WebNLG ZK random'!L41</f>
        <v/>
      </c>
      <c r="M79" s="99" t="str">
        <f>'retrieve WebNLG ZK random'!M41</f>
        <v/>
      </c>
      <c r="N79" s="99" t="str">
        <f>'retrieve WebNLG ZK random'!N41</f>
        <v/>
      </c>
      <c r="O79" s="99" t="str">
        <f>'retrieve WebNLG ZK random'!O41</f>
        <v/>
      </c>
    </row>
    <row r="80">
      <c r="A80" s="99">
        <f>'retrieve WebNLG OD random'!A3</f>
        <v>78</v>
      </c>
      <c r="B80" s="99" t="str">
        <f>'retrieve WebNLG OD random'!B3</f>
        <v>gubbio is from umbria.</v>
      </c>
      <c r="C80" s="99" t="str">
        <f>'retrieve WebNLG OD random'!C3</f>
        <v>Gubbio|region|Umbria</v>
      </c>
      <c r="D80" s="99">
        <f>'retrieve WebNLG OD random'!D3</f>
        <v>0.948</v>
      </c>
      <c r="E80" s="99" t="str">
        <f>'retrieve WebNLG OD random'!E3</f>
        <v>not OK</v>
      </c>
      <c r="F80" s="99" t="str">
        <f>'retrieve WebNLG OD random'!F3</f>
        <v>OK</v>
      </c>
      <c r="G80" s="99" t="str">
        <f>'retrieve WebNLG OD random'!G3</f>
        <v/>
      </c>
      <c r="H80" s="99" t="str">
        <f>'retrieve WebNLG OD random'!H3</f>
        <v/>
      </c>
      <c r="I80" s="99" t="str">
        <f>'retrieve WebNLG OD random'!I3</f>
        <v>x</v>
      </c>
      <c r="J80" s="99" t="str">
        <f>'retrieve WebNLG OD random'!J3</f>
        <v/>
      </c>
      <c r="K80" s="99" t="str">
        <f>'retrieve WebNLG OD random'!K3</f>
        <v/>
      </c>
      <c r="L80" s="99" t="str">
        <f>'retrieve WebNLG OD random'!L3</f>
        <v/>
      </c>
      <c r="M80" s="99" t="str">
        <f>'retrieve WebNLG OD random'!M3</f>
        <v/>
      </c>
      <c r="N80" s="99" t="str">
        <f>'retrieve WebNLG OD random'!N3</f>
        <v/>
      </c>
      <c r="O80" s="99" t="str">
        <f>'retrieve WebNLG OD random'!O3</f>
        <v>edge case: verbalized as "is from" but Gubbio is a city, so it's misleading</v>
      </c>
    </row>
    <row r="81">
      <c r="A81" s="99">
        <f>'retrieve WebNLG OD random'!A36</f>
        <v>79</v>
      </c>
      <c r="B81" s="99" t="str">
        <f>'retrieve WebNLG OD random'!B36</f>
        <v>auburn is part of pierce county, washington. auburn, washington is in united states auburn is part of king county, washington. auburn, washington has a population density of 914.8 inhabitants per square kilometre. auburn, washington has a total area of 77.41 (square kilometres)</v>
      </c>
      <c r="C81" s="99" t="str">
        <f>'retrieve WebNLG OD random'!C36</f>
        <v>Auburn,_Washington|isPartOf|Pierce_County,_Washington ++ Auburn,_Washington|country|United_States ++ Auburn,_Washington|isPartOf|King_County,_Washington ++ Auburn,_Washington|populationDensity|914.8 (inhabitants per square kilometre) ++ Auburn,_Washington|areaTotal|77.41 (square kilometres)</v>
      </c>
      <c r="D81" s="99">
        <f>'retrieve WebNLG OD random'!D36</f>
        <v>0.425</v>
      </c>
      <c r="E81" s="99" t="str">
        <f>'retrieve WebNLG OD random'!E36</f>
        <v>OK</v>
      </c>
      <c r="F81" s="99" t="str">
        <f>'retrieve WebNLG OD random'!F36</f>
        <v>omission</v>
      </c>
      <c r="G81" s="99" t="str">
        <f>'retrieve WebNLG OD random'!G36</f>
        <v>x</v>
      </c>
      <c r="H81" s="99" t="str">
        <f>'retrieve WebNLG OD random'!H36</f>
        <v/>
      </c>
      <c r="I81" s="99" t="str">
        <f>'retrieve WebNLG OD random'!I36</f>
        <v/>
      </c>
      <c r="J81" s="99" t="str">
        <f>'retrieve WebNLG OD random'!J36</f>
        <v>x</v>
      </c>
      <c r="K81" s="99" t="str">
        <f>'retrieve WebNLG OD random'!K36</f>
        <v/>
      </c>
      <c r="L81" s="99" t="str">
        <f>'retrieve WebNLG OD random'!L36</f>
        <v/>
      </c>
      <c r="M81" s="99" t="str">
        <f>'retrieve WebNLG OD random'!M36</f>
        <v/>
      </c>
      <c r="N81" s="99" t="str">
        <f>'retrieve WebNLG OD random'!N36</f>
        <v/>
      </c>
      <c r="O81" s="99" t="str">
        <f>'retrieve WebNLG OD random'!O36</f>
        <v/>
      </c>
    </row>
    <row r="82">
      <c r="A82" s="99">
        <f>'retrieve WebNLG ZK random'!A38</f>
        <v>80</v>
      </c>
      <c r="B82" s="99" t="str">
        <f>'retrieve WebNLG ZK random'!B38</f>
        <v>carl a. wirtanen discovered (29075) 1950 da.</v>
      </c>
      <c r="C82" s="99" t="str">
        <f>'retrieve WebNLG ZK random'!C38</f>
        <v>(29075)_1950_DA|discoverer|Carl_A._Wirtanen</v>
      </c>
      <c r="D82" s="99">
        <f>'retrieve WebNLG ZK random'!D38</f>
        <v>0.982</v>
      </c>
      <c r="E82" s="99" t="str">
        <f>'retrieve WebNLG ZK random'!E38</f>
        <v>not OK</v>
      </c>
      <c r="F82" s="99" t="str">
        <f>'retrieve WebNLG ZK random'!F38</f>
        <v>OK</v>
      </c>
      <c r="G82" s="99" t="str">
        <f>'retrieve WebNLG ZK random'!G38</f>
        <v>x</v>
      </c>
      <c r="H82" s="99" t="str">
        <f>'retrieve WebNLG ZK random'!H38</f>
        <v/>
      </c>
      <c r="I82" s="99" t="str">
        <f>'retrieve WebNLG ZK random'!I38</f>
        <v/>
      </c>
      <c r="J82" s="99" t="str">
        <f>'retrieve WebNLG ZK random'!J38</f>
        <v/>
      </c>
      <c r="K82" s="99" t="str">
        <f>'retrieve WebNLG ZK random'!K38</f>
        <v/>
      </c>
      <c r="L82" s="99" t="str">
        <f>'retrieve WebNLG ZK random'!L38</f>
        <v/>
      </c>
      <c r="M82" s="99" t="str">
        <f>'retrieve WebNLG ZK random'!M38</f>
        <v/>
      </c>
      <c r="N82" s="99" t="str">
        <f>'retrieve WebNLG ZK random'!N38</f>
        <v>x</v>
      </c>
      <c r="O82" s="99" t="str">
        <f>'retrieve WebNLG ZK random'!O38</f>
        <v/>
      </c>
    </row>
    <row r="83">
      <c r="A83" s="99">
        <f>'retrieve WebNLG OD random'!A38</f>
        <v>81</v>
      </c>
      <c r="B83" s="99" t="str">
        <f>'retrieve WebNLG OD random'!B38</f>
        <v>. the ingredients include kway teow, beef tender loin, gula melaka, sliced, dried black beans, garlic, dark soy sauce, lengkuas, oyster sauce, soya sauce, chilli and sesame oil beef kway teow is made in singapore and indonesia.</v>
      </c>
      <c r="C83" s="99" t="str">
        <f>'retrieve WebNLG OD random'!C38</f>
        <v>Beef_kway_teow|mainIngredients|"Kway teow, beef tender loin, gula Melaka, sliced, dried black beans, garlic, dark soy sauce, lengkuas, oyster sauce, soya sauce, chilli and sesame oil" ++ Beef_kway_teow|country|"Singapore and Indonesia"</v>
      </c>
      <c r="D83" s="99">
        <f>'retrieve WebNLG OD random'!D38</f>
        <v>0.915</v>
      </c>
      <c r="E83" s="99" t="str">
        <f>'retrieve WebNLG OD random'!E38</f>
        <v>not OK</v>
      </c>
      <c r="F83" s="99" t="str">
        <f>'retrieve WebNLG OD random'!F38</f>
        <v>OK</v>
      </c>
      <c r="G83" s="99" t="str">
        <f>'retrieve WebNLG OD random'!G38</f>
        <v/>
      </c>
      <c r="H83" s="99" t="str">
        <f>'retrieve WebNLG OD random'!H38</f>
        <v>x</v>
      </c>
      <c r="I83" s="99" t="str">
        <f>'retrieve WebNLG OD random'!I38</f>
        <v/>
      </c>
      <c r="J83" s="99" t="str">
        <f>'retrieve WebNLG OD random'!J38</f>
        <v/>
      </c>
      <c r="K83" s="99" t="str">
        <f>'retrieve WebNLG OD random'!K38</f>
        <v/>
      </c>
      <c r="L83" s="99" t="str">
        <f>'retrieve WebNLG OD random'!L38</f>
        <v>x</v>
      </c>
      <c r="M83" s="99" t="str">
        <f>'retrieve WebNLG OD random'!M38</f>
        <v/>
      </c>
      <c r="N83" s="99" t="str">
        <f>'retrieve WebNLG OD random'!N38</f>
        <v/>
      </c>
      <c r="O83" s="99" t="str">
        <f>'retrieve WebNLG OD random'!O38</f>
        <v/>
      </c>
    </row>
    <row r="84">
      <c r="A84" s="99">
        <f>'retrieve WebNLG OD random'!A20</f>
        <v>82</v>
      </c>
      <c r="B84" s="99" t="str">
        <f>'retrieve WebNLG OD random'!B20</f>
        <v>mason school of business is located in alan b miller hall in united states. alan b. miller opened in 30th march 2007.</v>
      </c>
      <c r="C84" s="99" t="str">
        <f>'retrieve WebNLG OD random'!C20</f>
        <v>Alan_B._Miller_Hall|buildingStartDate|"30 March 2007" ++ Mason_School_of_Business|country|United_States ++ Alan_B._Miller_Hall|currentTenants|Mason_School_of_Business</v>
      </c>
      <c r="D84" s="99">
        <f>'retrieve WebNLG OD random'!D20</f>
        <v>0.227</v>
      </c>
      <c r="E84" s="99" t="str">
        <f>'retrieve WebNLG OD random'!E20</f>
        <v>OK</v>
      </c>
      <c r="F84" s="99" t="str">
        <f>'retrieve WebNLG OD random'!F20</f>
        <v>omission</v>
      </c>
      <c r="G84" s="99" t="str">
        <f>'retrieve WebNLG OD random'!G20</f>
        <v/>
      </c>
      <c r="H84" s="99" t="str">
        <f>'retrieve WebNLG OD random'!H20</f>
        <v/>
      </c>
      <c r="I84" s="99" t="str">
        <f>'retrieve WebNLG OD random'!I20</f>
        <v>x</v>
      </c>
      <c r="J84" s="99" t="str">
        <f>'retrieve WebNLG OD random'!J20</f>
        <v/>
      </c>
      <c r="K84" s="99" t="str">
        <f>'retrieve WebNLG OD random'!K20</f>
        <v/>
      </c>
      <c r="L84" s="99" t="str">
        <f>'retrieve WebNLG OD random'!L20</f>
        <v/>
      </c>
      <c r="M84" s="99" t="str">
        <f>'retrieve WebNLG OD random'!M20</f>
        <v/>
      </c>
      <c r="N84" s="99" t="str">
        <f>'retrieve WebNLG OD random'!N20</f>
        <v/>
      </c>
      <c r="O84" s="99" t="str">
        <f>'retrieve WebNLG OD random'!O20</f>
        <v>edge case: mentions "Alan B. Miler opened" but doesn't include "Hall"</v>
      </c>
    </row>
    <row r="85">
      <c r="A85" s="99">
        <f>'retrieve WebNLG ZK random'!A1</f>
        <v>83</v>
      </c>
      <c r="B85" s="99" t="str">
        <f>'retrieve WebNLG ZK random'!B1</f>
        <v>asterix was created by rené goscinny and albert uderzo, the former being a french national.</v>
      </c>
      <c r="C85" s="99" t="str">
        <f>'retrieve WebNLG ZK random'!C1</f>
        <v>Asterix_(comicsCharacter)|creator|René_Goscinny ++ René_Goscinny|nationality|French_people ++ Asterix_(comicsCharacter)|creator|Albert_Uderzo</v>
      </c>
      <c r="D85" s="99">
        <f>'retrieve WebNLG ZK random'!D1</f>
        <v>0.167</v>
      </c>
      <c r="E85" s="99" t="str">
        <f>'retrieve WebNLG ZK random'!E1</f>
        <v>not OK</v>
      </c>
      <c r="F85" s="99" t="str">
        <f>'retrieve WebNLG ZK random'!F1</f>
        <v>omission</v>
      </c>
      <c r="G85" s="99" t="str">
        <f>'retrieve WebNLG ZK random'!G1</f>
        <v>x</v>
      </c>
      <c r="H85" s="99" t="str">
        <f>'retrieve WebNLG ZK random'!H1</f>
        <v/>
      </c>
      <c r="I85" s="99" t="str">
        <f>'retrieve WebNLG ZK random'!I1</f>
        <v/>
      </c>
      <c r="J85" s="99" t="str">
        <f>'retrieve WebNLG ZK random'!J1</f>
        <v/>
      </c>
      <c r="K85" s="99" t="str">
        <f>'retrieve WebNLG ZK random'!K1</f>
        <v/>
      </c>
      <c r="L85" s="99" t="str">
        <f>'retrieve WebNLG ZK random'!L1</f>
        <v/>
      </c>
      <c r="M85" s="99" t="str">
        <f>'retrieve WebNLG ZK random'!M1</f>
        <v/>
      </c>
      <c r="N85" s="99" t="str">
        <f>'retrieve WebNLG ZK random'!N1</f>
        <v>x</v>
      </c>
      <c r="O85" s="99" t="str">
        <f>'retrieve WebNLG ZK random'!O1</f>
        <v/>
      </c>
    </row>
    <row r="86">
      <c r="A86" s="99">
        <f>'retrieve WebNLG ZK random'!A29</f>
        <v>84</v>
      </c>
      <c r="B86" s="99" t="str">
        <f>'retrieve WebNLG ZK random'!B29</f>
        <v>107 camilla discoverer n. r. pogson n. r. pogson was born in nottingham n. r. pogson, england</v>
      </c>
      <c r="C86" s="99" t="str">
        <f>'retrieve WebNLG ZK random'!C29</f>
        <v>107_Camilla|discoverer|N._R._Pogson ++ N._R._Pogson|birthPlace|Nottingham ++ N._R._Pogson|nationality|England</v>
      </c>
      <c r="D86" s="99">
        <f>'retrieve WebNLG ZK random'!D29</f>
        <v>0.911</v>
      </c>
      <c r="E86" s="99" t="str">
        <f>'retrieve WebNLG ZK random'!E29</f>
        <v>not OK</v>
      </c>
      <c r="F86" s="99" t="str">
        <f>'retrieve WebNLG ZK random'!F29</f>
        <v>OK</v>
      </c>
      <c r="G86" s="99" t="str">
        <f>'retrieve WebNLG ZK random'!G29</f>
        <v>x</v>
      </c>
      <c r="H86" s="99" t="str">
        <f>'retrieve WebNLG ZK random'!H29</f>
        <v/>
      </c>
      <c r="I86" s="99" t="str">
        <f>'retrieve WebNLG ZK random'!I29</f>
        <v/>
      </c>
      <c r="J86" s="99" t="str">
        <f>'retrieve WebNLG ZK random'!J29</f>
        <v/>
      </c>
      <c r="K86" s="99" t="str">
        <f>'retrieve WebNLG ZK random'!K29</f>
        <v/>
      </c>
      <c r="L86" s="99" t="str">
        <f>'retrieve WebNLG ZK random'!L29</f>
        <v/>
      </c>
      <c r="M86" s="99" t="str">
        <f>'retrieve WebNLG ZK random'!M29</f>
        <v>x</v>
      </c>
      <c r="N86" s="99" t="str">
        <f>'retrieve WebNLG ZK random'!N29</f>
        <v/>
      </c>
      <c r="O86" s="99" t="str">
        <f>'retrieve WebNLG ZK random'!O29</f>
        <v/>
      </c>
    </row>
    <row r="87">
      <c r="A87" s="99">
        <f>'retrieve WebNLG OD random'!A27</f>
        <v>85</v>
      </c>
      <c r="B87" s="99" t="str">
        <f>'retrieve WebNLG OD random'!B27</f>
        <v>the school of business and social sciences at the aarhus university is located in the city of aarhus which has a magistrate government. it is affiliated with the european university association which has its headquarters in brussels. aarhus has mols to its northeast and mols is to the northeast of aarhus.</v>
      </c>
      <c r="C87" s="99" t="str">
        <f>'retrieve WebNLG OD random'!C27</f>
        <v>School of Business and Social Sciences at the Aarhus University|city|Aarhus ++ European_University_Association|headquarters|Brussels ++ Aarhus|has to its northeast|Mols ++ School of Business and Social Sciences at the Aarhus University|affiliation|European_University_Association ++ Aarhus|governmentType|Magistrate</v>
      </c>
      <c r="D87" s="99">
        <f>'retrieve WebNLG OD random'!D27</f>
        <v>0.841</v>
      </c>
      <c r="E87" s="99" t="str">
        <f>'retrieve WebNLG OD random'!E27</f>
        <v>not OK</v>
      </c>
      <c r="F87" s="99" t="str">
        <f>'retrieve WebNLG OD random'!F27</f>
        <v>OK</v>
      </c>
      <c r="G87" s="99" t="str">
        <f>'retrieve WebNLG OD random'!G27</f>
        <v/>
      </c>
      <c r="H87" s="99" t="str">
        <f>'retrieve WebNLG OD random'!H27</f>
        <v>x</v>
      </c>
      <c r="I87" s="99" t="str">
        <f>'retrieve WebNLG OD random'!I27</f>
        <v/>
      </c>
      <c r="J87" s="99" t="str">
        <f>'retrieve WebNLG OD random'!J27</f>
        <v/>
      </c>
      <c r="K87" s="99" t="str">
        <f>'retrieve WebNLG OD random'!K27</f>
        <v/>
      </c>
      <c r="L87" s="99" t="str">
        <f>'retrieve WebNLG OD random'!L27</f>
        <v>x</v>
      </c>
      <c r="M87" s="99" t="str">
        <f>'retrieve WebNLG OD random'!M27</f>
        <v/>
      </c>
      <c r="N87" s="99" t="str">
        <f>'retrieve WebNLG OD random'!N27</f>
        <v/>
      </c>
      <c r="O87" s="99" t="str">
        <f>'retrieve WebNLG OD random'!O27</f>
        <v/>
      </c>
    </row>
    <row r="88">
      <c r="A88" s="99">
        <f>'retrieve WebNLG ZK random'!A36</f>
        <v>86</v>
      </c>
      <c r="B88" s="99" t="str">
        <f>'retrieve WebNLG ZK random'!B36</f>
        <v>the inhabitants of the united states are known as americans and the language spoken is english. the country is inhabited by americans and the population is known as americans. the country is the location of angola, indiana which is part of steuben county, in indiana.</v>
      </c>
      <c r="C88" s="99" t="str">
        <f>'retrieve WebNLG ZK random'!C36</f>
        <v>United_States|language|English_language ++ Angola,_Indiana|isPartOf|Steuben_County,_Indiana ++ United_States|demonym|Americans ++ Angola,_Indiana|country|United_States ++ United_States|ethnicGroup|Asian_Americans</v>
      </c>
      <c r="D88" s="99">
        <f>'retrieve WebNLG ZK random'!D36</f>
        <v>0.579</v>
      </c>
      <c r="E88" s="99" t="str">
        <f>'retrieve WebNLG ZK random'!E36</f>
        <v>not OK</v>
      </c>
      <c r="F88" s="99" t="str">
        <f>'retrieve WebNLG ZK random'!F36</f>
        <v>OK</v>
      </c>
      <c r="G88" s="99" t="str">
        <f>'retrieve WebNLG ZK random'!G36</f>
        <v/>
      </c>
      <c r="H88" s="99" t="str">
        <f>'retrieve WebNLG ZK random'!H36</f>
        <v/>
      </c>
      <c r="I88" s="99" t="str">
        <f>'retrieve WebNLG ZK random'!I36</f>
        <v>x</v>
      </c>
      <c r="J88" s="99" t="str">
        <f>'retrieve WebNLG ZK random'!J36</f>
        <v/>
      </c>
      <c r="K88" s="99" t="str">
        <f>'retrieve WebNLG ZK random'!K36</f>
        <v>x</v>
      </c>
      <c r="L88" s="99" t="str">
        <f>'retrieve WebNLG ZK random'!L36</f>
        <v/>
      </c>
      <c r="M88" s="99" t="str">
        <f>'retrieve WebNLG ZK random'!M36</f>
        <v/>
      </c>
      <c r="N88" s="99" t="str">
        <f>'retrieve WebNLG ZK random'!N36</f>
        <v/>
      </c>
      <c r="O88" s="99" t="str">
        <f>'retrieve WebNLG ZK random'!O36</f>
        <v/>
      </c>
    </row>
    <row r="89">
      <c r="A89" s="99">
        <f>'retrieve WebNLG OD random'!A12</f>
        <v>87</v>
      </c>
      <c r="B89" s="99" t="str">
        <f>'retrieve WebNLG OD random'!B12</f>
        <v>the architect of julia morgan is los angeles herald-examiner.</v>
      </c>
      <c r="C89" s="99" t="str">
        <f>'retrieve WebNLG OD random'!C12</f>
        <v>Julia_Morgan|significantBuilding|Los_Angeles_Herald-Examiner</v>
      </c>
      <c r="D89" s="99">
        <f>'retrieve WebNLG OD random'!D12</f>
        <v>0.572</v>
      </c>
      <c r="E89" s="99" t="str">
        <f>'retrieve WebNLG OD random'!E12</f>
        <v>not OK</v>
      </c>
      <c r="F89" s="99" t="str">
        <f>'retrieve WebNLG OD random'!F12</f>
        <v>OK</v>
      </c>
      <c r="G89" s="99" t="str">
        <f>'retrieve WebNLG OD random'!G12</f>
        <v>x</v>
      </c>
      <c r="H89" s="99" t="str">
        <f>'retrieve WebNLG OD random'!H12</f>
        <v/>
      </c>
      <c r="I89" s="99" t="str">
        <f>'retrieve WebNLG OD random'!I12</f>
        <v/>
      </c>
      <c r="J89" s="99" t="str">
        <f>'retrieve WebNLG OD random'!J12</f>
        <v/>
      </c>
      <c r="K89" s="99" t="str">
        <f>'retrieve WebNLG OD random'!K12</f>
        <v/>
      </c>
      <c r="L89" s="99" t="str">
        <f>'retrieve WebNLG OD random'!L12</f>
        <v/>
      </c>
      <c r="M89" s="99" t="str">
        <f>'retrieve WebNLG OD random'!M12</f>
        <v>x</v>
      </c>
      <c r="N89" s="99" t="str">
        <f>'retrieve WebNLG OD random'!N12</f>
        <v/>
      </c>
      <c r="O89" s="99" t="str">
        <f>'retrieve WebNLG OD random'!O12</f>
        <v/>
      </c>
    </row>
    <row r="90">
      <c r="A90" s="99">
        <f>'retrieve WebNLG OD random'!A29</f>
        <v>88</v>
      </c>
      <c r="B90" s="99" t="str">
        <f>'retrieve WebNLG OD random'!B29</f>
        <v>al asad airbase is operated by the united states air force and fought in the invasion of grenada. the mcdonnell douglas f-15 eagle is an aircraft fighter in the united states air force.</v>
      </c>
      <c r="C90" s="99" t="str">
        <f>'retrieve WebNLG OD random'!C29</f>
        <v>Al_Asad_Airbase|operatingOrganisation|United_States_Air_Force ++ United_States_Air_Force|battles|Invasion_of_Grenada ++ United_States_Air_Force|aircraftFighter|McDonnell_Douglas_F-15_Eagle</v>
      </c>
      <c r="D90" s="99">
        <f>'retrieve WebNLG OD random'!D29</f>
        <v>0.986</v>
      </c>
      <c r="E90" s="99" t="str">
        <f>'retrieve WebNLG OD random'!E29</f>
        <v>not OK</v>
      </c>
      <c r="F90" s="99" t="str">
        <f>'retrieve WebNLG OD random'!F29</f>
        <v>OK</v>
      </c>
      <c r="G90" s="99" t="str">
        <f>'retrieve WebNLG OD random'!G29</f>
        <v/>
      </c>
      <c r="H90" s="99" t="str">
        <f>'retrieve WebNLG OD random'!H29</f>
        <v>x</v>
      </c>
      <c r="I90" s="99" t="str">
        <f>'retrieve WebNLG OD random'!I29</f>
        <v/>
      </c>
      <c r="J90" s="99" t="str">
        <f>'retrieve WebNLG OD random'!J29</f>
        <v/>
      </c>
      <c r="K90" s="99" t="str">
        <f>'retrieve WebNLG OD random'!K29</f>
        <v/>
      </c>
      <c r="L90" s="99" t="str">
        <f>'retrieve WebNLG OD random'!L29</f>
        <v>x</v>
      </c>
      <c r="M90" s="99" t="str">
        <f>'retrieve WebNLG OD random'!M29</f>
        <v/>
      </c>
      <c r="N90" s="99" t="str">
        <f>'retrieve WebNLG OD random'!N29</f>
        <v/>
      </c>
      <c r="O90" s="99" t="str">
        <f>'retrieve WebNLG OD random'!O29</f>
        <v/>
      </c>
    </row>
    <row r="91">
      <c r="A91" s="99">
        <f>'retrieve WebNLG ZK random'!A33</f>
        <v>89</v>
      </c>
      <c r="B91" s="99" t="str">
        <f>'retrieve WebNLG ZK random'!B33</f>
        <v>adams county, pennsylvania is southwest of carroll county, maryland.</v>
      </c>
      <c r="C91" s="99" t="str">
        <f>'retrieve WebNLG ZK random'!C33</f>
        <v>Adams_County,_Pennsylvania|has to its southeast|Carroll_County,_Maryland</v>
      </c>
      <c r="D91" s="99">
        <f>'retrieve WebNLG ZK random'!D33</f>
        <v>0.559</v>
      </c>
      <c r="E91" s="99" t="str">
        <f>'retrieve WebNLG ZK random'!E33</f>
        <v>not OK</v>
      </c>
      <c r="F91" s="99" t="str">
        <f>'retrieve WebNLG ZK random'!F33</f>
        <v>OK</v>
      </c>
      <c r="G91" s="99" t="str">
        <f>'retrieve WebNLG ZK random'!G33</f>
        <v/>
      </c>
      <c r="H91" s="99" t="str">
        <f>'retrieve WebNLG ZK random'!H33</f>
        <v/>
      </c>
      <c r="I91" s="99" t="str">
        <f>'retrieve WebNLG ZK random'!I33</f>
        <v/>
      </c>
      <c r="J91" s="99" t="str">
        <f>'retrieve WebNLG ZK random'!J33</f>
        <v/>
      </c>
      <c r="K91" s="99" t="str">
        <f>'retrieve WebNLG ZK random'!K33</f>
        <v/>
      </c>
      <c r="L91" s="99" t="str">
        <f>'retrieve WebNLG ZK random'!L33</f>
        <v/>
      </c>
      <c r="M91" s="99" t="str">
        <f>'retrieve WebNLG ZK random'!M33</f>
        <v/>
      </c>
      <c r="N91" s="99" t="str">
        <f>'retrieve WebNLG ZK random'!N33</f>
        <v/>
      </c>
      <c r="O91" s="99" t="str">
        <f>'retrieve WebNLG ZK random'!O33</f>
        <v/>
      </c>
    </row>
    <row r="92">
      <c r="A92" s="99">
        <f>'retrieve WebNLG ZK random'!A22</f>
        <v>90</v>
      </c>
      <c r="B92" s="99" t="str">
        <f>'retrieve WebNLG ZK random'!B22</f>
        <v>the 14th new jersey volunteer infantry monument is near frederick , maryland in the district of the monocacy national battlefield .</v>
      </c>
      <c r="C92" s="99" t="str">
        <f>'retrieve WebNLG ZK random'!C22</f>
        <v>14th_New_Jersey_Volunteer_Infantry_Monument|district|Monocacy_National_Battlefield ++ Monocacy_National_Battlefield|nearestCity|Frederick,_Maryland</v>
      </c>
      <c r="D92" s="99">
        <f>'retrieve WebNLG ZK random'!D22</f>
        <v>0.73</v>
      </c>
      <c r="E92" s="99" t="str">
        <f>'retrieve WebNLG ZK random'!E22</f>
        <v>not OK</v>
      </c>
      <c r="F92" s="99" t="str">
        <f>'retrieve WebNLG ZK random'!F22</f>
        <v>OK</v>
      </c>
      <c r="G92" s="99" t="str">
        <f>'retrieve WebNLG ZK random'!G22</f>
        <v>x</v>
      </c>
      <c r="H92" s="99" t="str">
        <f>'retrieve WebNLG ZK random'!H22</f>
        <v/>
      </c>
      <c r="I92" s="99" t="str">
        <f>'retrieve WebNLG ZK random'!I22</f>
        <v/>
      </c>
      <c r="J92" s="99" t="str">
        <f>'retrieve WebNLG ZK random'!J22</f>
        <v/>
      </c>
      <c r="K92" s="99" t="str">
        <f>'retrieve WebNLG ZK random'!K22</f>
        <v/>
      </c>
      <c r="L92" s="99" t="str">
        <f>'retrieve WebNLG ZK random'!L22</f>
        <v/>
      </c>
      <c r="M92" s="99" t="str">
        <f>'retrieve WebNLG ZK random'!M22</f>
        <v>x</v>
      </c>
      <c r="N92" s="99" t="str">
        <f>'retrieve WebNLG ZK random'!N22</f>
        <v/>
      </c>
      <c r="O92" s="99" t="str">
        <f>'retrieve WebNLG ZK random'!O22</f>
        <v/>
      </c>
    </row>
    <row r="93">
      <c r="A93" s="99">
        <f>'retrieve WebNLG OD random'!A18</f>
        <v>91</v>
      </c>
      <c r="B93" s="99" t="str">
        <f>'retrieve WebNLG OD random'!B18</f>
        <v>to the south of adams county, pennsylvania was carroll county, maryland.</v>
      </c>
      <c r="C93" s="99" t="str">
        <f>'retrieve WebNLG OD random'!C18</f>
        <v>Adams_County,_Pennsylvania|has to its southeast|Carroll_County,_Maryland</v>
      </c>
      <c r="D93" s="99">
        <f>'retrieve WebNLG OD random'!D18</f>
        <v>0.957</v>
      </c>
      <c r="E93" s="99" t="str">
        <f>'retrieve WebNLG OD random'!E18</f>
        <v>not OK</v>
      </c>
      <c r="F93" s="99" t="str">
        <f>'retrieve WebNLG OD random'!F18</f>
        <v>OK</v>
      </c>
      <c r="G93" s="99" t="str">
        <f>'retrieve WebNLG OD random'!G18</f>
        <v>x</v>
      </c>
      <c r="H93" s="99" t="str">
        <f>'retrieve WebNLG OD random'!H18</f>
        <v/>
      </c>
      <c r="I93" s="99" t="str">
        <f>'retrieve WebNLG OD random'!I18</f>
        <v/>
      </c>
      <c r="J93" s="99" t="str">
        <f>'retrieve WebNLG OD random'!J18</f>
        <v>x</v>
      </c>
      <c r="K93" s="99" t="str">
        <f>'retrieve WebNLG OD random'!K18</f>
        <v/>
      </c>
      <c r="L93" s="99" t="str">
        <f>'retrieve WebNLG OD random'!L18</f>
        <v/>
      </c>
      <c r="M93" s="99" t="str">
        <f>'retrieve WebNLG OD random'!M18</f>
        <v/>
      </c>
      <c r="N93" s="99" t="str">
        <f>'retrieve WebNLG OD random'!N18</f>
        <v/>
      </c>
      <c r="O93" s="99" t="str">
        <f>'retrieve WebNLG OD random'!O18</f>
        <v/>
      </c>
    </row>
    <row r="94">
      <c r="A94" s="99">
        <f>'retrieve WebNLG OD random'!A10</f>
        <v>92</v>
      </c>
      <c r="B94" s="99" t="str">
        <f>'retrieve WebNLG OD random'!B10</f>
        <v>azerbaijan 's leader is the prime minister.</v>
      </c>
      <c r="C94" s="99" t="str">
        <f>'retrieve WebNLG OD random'!C10</f>
        <v>Azerbaijan|leaderTitle|Prime_Minister_of_Azerbaijan</v>
      </c>
      <c r="D94" s="99">
        <f>'retrieve WebNLG OD random'!D10</f>
        <v>0.977</v>
      </c>
      <c r="E94" s="99" t="str">
        <f>'retrieve WebNLG OD random'!E10</f>
        <v>not OK</v>
      </c>
      <c r="F94" s="99" t="str">
        <f>'retrieve WebNLG OD random'!F10</f>
        <v>OK</v>
      </c>
      <c r="G94" s="99" t="str">
        <f>'retrieve WebNLG OD random'!G10</f>
        <v/>
      </c>
      <c r="H94" s="99" t="str">
        <f>'retrieve WebNLG OD random'!H10</f>
        <v>x</v>
      </c>
      <c r="I94" s="99" t="str">
        <f>'retrieve WebNLG OD random'!I10</f>
        <v/>
      </c>
      <c r="J94" s="99" t="str">
        <f>'retrieve WebNLG OD random'!J10</f>
        <v/>
      </c>
      <c r="K94" s="99" t="str">
        <f>'retrieve WebNLG OD random'!K10</f>
        <v/>
      </c>
      <c r="L94" s="99" t="str">
        <f>'retrieve WebNLG OD random'!L10</f>
        <v>x</v>
      </c>
      <c r="M94" s="99" t="str">
        <f>'retrieve WebNLG OD random'!M10</f>
        <v/>
      </c>
      <c r="N94" s="99" t="str">
        <f>'retrieve WebNLG OD random'!N10</f>
        <v/>
      </c>
      <c r="O94" s="99" t="str">
        <f>'retrieve WebNLG OD random'!O10</f>
        <v/>
      </c>
    </row>
    <row r="95">
      <c r="A95" s="99">
        <f>'retrieve WebNLG ZK random'!A46</f>
        <v>93</v>
      </c>
      <c r="B95" s="99" t="str">
        <f>'retrieve WebNLG ZK random'!B46</f>
        <v>rolando maran , who has managed ac chievo verona , was born in italy .</v>
      </c>
      <c r="C95" s="99" t="str">
        <f>'retrieve WebNLG ZK random'!C46</f>
        <v>A.C._Chievo_Verona|manager|Rolando_Maran ++ Rolando_Maran|placeOfBirth|Italy</v>
      </c>
      <c r="D95" s="99">
        <f>'retrieve WebNLG ZK random'!D46</f>
        <v>0.955</v>
      </c>
      <c r="E95" s="99" t="str">
        <f>'retrieve WebNLG ZK random'!E46</f>
        <v>not OK</v>
      </c>
      <c r="F95" s="99" t="str">
        <f>'retrieve WebNLG ZK random'!F46</f>
        <v>OK</v>
      </c>
      <c r="G95" s="99" t="str">
        <f>'retrieve WebNLG ZK random'!G46</f>
        <v/>
      </c>
      <c r="H95" s="99" t="str">
        <f>'retrieve WebNLG ZK random'!H46</f>
        <v>x</v>
      </c>
      <c r="I95" s="99" t="str">
        <f>'retrieve WebNLG ZK random'!I46</f>
        <v/>
      </c>
      <c r="J95" s="99" t="str">
        <f>'retrieve WebNLG ZK random'!J46</f>
        <v/>
      </c>
      <c r="K95" s="99" t="str">
        <f>'retrieve WebNLG ZK random'!K46</f>
        <v/>
      </c>
      <c r="L95" s="99" t="str">
        <f>'retrieve WebNLG ZK random'!L46</f>
        <v/>
      </c>
      <c r="M95" s="99" t="str">
        <f>'retrieve WebNLG ZK random'!M46</f>
        <v/>
      </c>
      <c r="N95" s="99" t="str">
        <f>'retrieve WebNLG ZK random'!N46</f>
        <v>x</v>
      </c>
      <c r="O95" s="99" t="str">
        <f>'retrieve WebNLG ZK random'!O46</f>
        <v/>
      </c>
    </row>
    <row r="96">
      <c r="A96" s="99">
        <f>'retrieve WebNLG ZK random'!A45</f>
        <v>94</v>
      </c>
      <c r="B96" s="99" t="str">
        <f>'retrieve WebNLG ZK random'!B45</f>
        <v>associazione calcio lumezzane spa is the nickname of ac lumezzane. lumezzane have 4150 members and play in lega pro/a.</v>
      </c>
      <c r="C96" s="99" t="str">
        <f>'retrieve WebNLG ZK random'!C45</f>
        <v>A.C._Lumezzane|fullname|"Associazione Calcio Lumezzane SpA" ++ A.C._Lumezzane|league|"Lega Pro/A" ++ A.C._Lumezzane|numberOfMembers|4150</v>
      </c>
      <c r="D96" s="99">
        <f>'retrieve WebNLG ZK random'!D45</f>
        <v>0.331</v>
      </c>
      <c r="E96" s="99" t="str">
        <f>'retrieve WebNLG ZK random'!E45</f>
        <v>OK</v>
      </c>
      <c r="F96" s="99" t="str">
        <f>'retrieve WebNLG ZK random'!F45</f>
        <v>omission</v>
      </c>
      <c r="G96" s="99" t="str">
        <f>'retrieve WebNLG ZK random'!G45</f>
        <v/>
      </c>
      <c r="H96" s="99" t="str">
        <f>'retrieve WebNLG ZK random'!H45</f>
        <v/>
      </c>
      <c r="I96" s="99" t="str">
        <f>'retrieve WebNLG ZK random'!I45</f>
        <v>x</v>
      </c>
      <c r="J96" s="99" t="str">
        <f>'retrieve WebNLG ZK random'!J45</f>
        <v/>
      </c>
      <c r="K96" s="99" t="str">
        <f>'retrieve WebNLG ZK random'!K45</f>
        <v/>
      </c>
      <c r="L96" s="99" t="str">
        <f>'retrieve WebNLG ZK random'!L45</f>
        <v>x</v>
      </c>
      <c r="M96" s="99" t="str">
        <f>'retrieve WebNLG ZK random'!M45</f>
        <v/>
      </c>
      <c r="N96" s="99" t="str">
        <f>'retrieve WebNLG ZK random'!N45</f>
        <v/>
      </c>
      <c r="O96" s="99" t="str">
        <f>'retrieve WebNLG ZK random'!O45</f>
        <v/>
      </c>
    </row>
    <row r="97">
      <c r="A97" s="99">
        <f>'retrieve WebNLG OD random'!A46</f>
        <v>95</v>
      </c>
      <c r="B97" s="99" t="str">
        <f>'retrieve WebNLG OD random'!B46</f>
        <v>elliot see is an american who was born in dallas and graduated from the university of texas at austin.</v>
      </c>
      <c r="C97" s="99" t="str">
        <f>'retrieve WebNLG OD random'!C46</f>
        <v>Elliot_See|almaMater|University_of_Texas_at_Austin ++ Elliot_See|birthPlace|Dallas ++ Elliot_See|nationality|United_States</v>
      </c>
      <c r="D97" s="99">
        <f>'retrieve WebNLG OD random'!D46</f>
        <v>0.173</v>
      </c>
      <c r="E97" s="99" t="str">
        <f>'retrieve WebNLG OD random'!E46</f>
        <v>OK</v>
      </c>
      <c r="F97" s="99" t="str">
        <f>'retrieve WebNLG OD random'!F46</f>
        <v>hallucination</v>
      </c>
      <c r="G97" s="99" t="str">
        <f>'retrieve WebNLG OD random'!G46</f>
        <v>x</v>
      </c>
      <c r="H97" s="99" t="str">
        <f>'retrieve WebNLG OD random'!H46</f>
        <v/>
      </c>
      <c r="I97" s="99" t="str">
        <f>'retrieve WebNLG OD random'!I46</f>
        <v/>
      </c>
      <c r="J97" s="99" t="str">
        <f>'retrieve WebNLG OD random'!J46</f>
        <v>x</v>
      </c>
      <c r="K97" s="99" t="str">
        <f>'retrieve WebNLG OD random'!K46</f>
        <v/>
      </c>
      <c r="L97" s="99" t="str">
        <f>'retrieve WebNLG OD random'!L46</f>
        <v/>
      </c>
      <c r="M97" s="99" t="str">
        <f>'retrieve WebNLG OD random'!M46</f>
        <v/>
      </c>
      <c r="N97" s="99" t="str">
        <f>'retrieve WebNLG OD random'!N46</f>
        <v/>
      </c>
      <c r="O97" s="99" t="str">
        <f>'retrieve WebNLG OD random'!O46</f>
        <v/>
      </c>
    </row>
    <row r="98">
      <c r="A98" s="99">
        <f>'retrieve WebNLG ZK random'!A44</f>
        <v>96</v>
      </c>
      <c r="B98" s="99" t="str">
        <f>'retrieve WebNLG ZK random'!B44</f>
        <v>the comic character asterix was created by albert uderzo and rene goscinny, who is french.</v>
      </c>
      <c r="C98" s="99" t="str">
        <f>'retrieve WebNLG ZK random'!C44</f>
        <v>Asterix_(comicsCharacter)|creator|René_Goscinny ++ René_Goscinny|nationality|French_people ++ Asterix_(comicsCharacter)|creator|Albert_Uderzo</v>
      </c>
      <c r="D98" s="99">
        <f>'retrieve WebNLG ZK random'!D44</f>
        <v>0.137</v>
      </c>
      <c r="E98" s="99" t="str">
        <f>'retrieve WebNLG ZK random'!E44</f>
        <v>OK</v>
      </c>
      <c r="F98" s="99" t="str">
        <f>'retrieve WebNLG ZK random'!F44</f>
        <v>omission</v>
      </c>
      <c r="G98" s="99" t="str">
        <f>'retrieve WebNLG ZK random'!G44</f>
        <v/>
      </c>
      <c r="H98" s="99" t="str">
        <f>'retrieve WebNLG ZK random'!H44</f>
        <v>x</v>
      </c>
      <c r="I98" s="99" t="str">
        <f>'retrieve WebNLG ZK random'!I44</f>
        <v/>
      </c>
      <c r="J98" s="99" t="str">
        <f>'retrieve WebNLG ZK random'!J44</f>
        <v/>
      </c>
      <c r="K98" s="99" t="str">
        <f>'retrieve WebNLG ZK random'!K44</f>
        <v/>
      </c>
      <c r="L98" s="99" t="str">
        <f>'retrieve WebNLG ZK random'!L44</f>
        <v>x</v>
      </c>
      <c r="M98" s="99" t="str">
        <f>'retrieve WebNLG ZK random'!M44</f>
        <v/>
      </c>
      <c r="N98" s="99" t="str">
        <f>'retrieve WebNLG ZK random'!N44</f>
        <v/>
      </c>
      <c r="O98" s="99" t="str">
        <f>'retrieve WebNLG ZK random'!O44</f>
        <v/>
      </c>
    </row>
    <row r="99">
      <c r="A99" s="99">
        <f>'retrieve WebNLG ZK random'!A43</f>
        <v>97</v>
      </c>
      <c r="B99" s="99" t="str">
        <f>'retrieve WebNLG ZK random'!B43</f>
        <v>1 decembrie 1918 university is in the state of alba.</v>
      </c>
      <c r="C99" s="99" t="str">
        <f>'retrieve WebNLG ZK random'!C43</f>
        <v>1_Decembrie_1918_University|state|Alba</v>
      </c>
      <c r="D99" s="99">
        <f>'retrieve WebNLG ZK random'!D43</f>
        <v>0.978</v>
      </c>
      <c r="E99" s="99" t="str">
        <f>'retrieve WebNLG ZK random'!E43</f>
        <v>not OK</v>
      </c>
      <c r="F99" s="99" t="str">
        <f>'retrieve WebNLG ZK random'!F43</f>
        <v>OK</v>
      </c>
      <c r="G99" s="99" t="str">
        <f>'retrieve WebNLG ZK random'!G43</f>
        <v>x</v>
      </c>
      <c r="H99" s="99" t="str">
        <f>'retrieve WebNLG ZK random'!H43</f>
        <v/>
      </c>
      <c r="I99" s="99" t="str">
        <f>'retrieve WebNLG ZK random'!I43</f>
        <v/>
      </c>
      <c r="J99" s="99" t="str">
        <f>'retrieve WebNLG ZK random'!J43</f>
        <v/>
      </c>
      <c r="K99" s="99" t="str">
        <f>'retrieve WebNLG ZK random'!K43</f>
        <v/>
      </c>
      <c r="L99" s="99" t="str">
        <f>'retrieve WebNLG ZK random'!L43</f>
        <v/>
      </c>
      <c r="M99" s="99" t="str">
        <f>'retrieve WebNLG ZK random'!M43</f>
        <v/>
      </c>
      <c r="N99" s="99" t="str">
        <f>'retrieve WebNLG ZK random'!N43</f>
        <v>x</v>
      </c>
      <c r="O99" s="99" t="str">
        <f>'retrieve WebNLG ZK random'!O43</f>
        <v/>
      </c>
    </row>
    <row r="100">
      <c r="A100" s="99">
        <f>'retrieve WebNLG OD random'!A32</f>
        <v>98</v>
      </c>
      <c r="B100" s="99" t="str">
        <f>'retrieve WebNLG OD random'!B32</f>
        <v> a severed wasp ' originates from united states, where the language is english. english is spoken in great britain. washington dc is the capital of it. native americans live in here.</v>
      </c>
      <c r="C100" s="99" t="str">
        <f>'retrieve WebNLG OD random'!C32</f>
        <v>English_language|spokenIn|Great_Britain ++ United_States|language|English_language ++ United_States|capital|Washington,_D.C. ++ A_Severed_Wasp|country|United_States ++ United_States|ethnicGroup|Native_Americans_in_the_United_States</v>
      </c>
      <c r="D100" s="99">
        <f>'retrieve WebNLG OD random'!D32</f>
        <v>0.481</v>
      </c>
      <c r="E100" s="99" t="str">
        <f>'retrieve WebNLG OD random'!E32</f>
        <v>OK</v>
      </c>
      <c r="F100" s="99" t="str">
        <f>'retrieve WebNLG OD random'!F32</f>
        <v>omission</v>
      </c>
      <c r="G100" s="99" t="str">
        <f>'retrieve WebNLG OD random'!G32</f>
        <v/>
      </c>
      <c r="H100" s="99" t="str">
        <f>'retrieve WebNLG OD random'!H32</f>
        <v/>
      </c>
      <c r="I100" s="99" t="str">
        <f>'retrieve WebNLG OD random'!I32</f>
        <v>x</v>
      </c>
      <c r="J100" s="99" t="str">
        <f>'retrieve WebNLG OD random'!J32</f>
        <v/>
      </c>
      <c r="K100" s="99" t="str">
        <f>'retrieve WebNLG OD random'!K32</f>
        <v/>
      </c>
      <c r="L100" s="99" t="str">
        <f>'retrieve WebNLG OD random'!L32</f>
        <v>x</v>
      </c>
      <c r="M100" s="99" t="str">
        <f>'retrieve WebNLG OD random'!M32</f>
        <v>x</v>
      </c>
      <c r="N100" s="99" t="str">
        <f>'retrieve WebNLG OD random'!N32</f>
        <v/>
      </c>
      <c r="O100" s="99" t="str">
        <f>'retrieve WebNLG OD random'!O32</f>
        <v>SED is closer, but should be hallucination+omission -- by incorrect pronoun use, the text implies that Washington DC is the capital of Britain &amp; Native Americans live in Britain</v>
      </c>
    </row>
    <row r="101">
      <c r="A101" s="99">
        <f>'retrieve WebNLG ZK random'!A4</f>
        <v>99</v>
      </c>
      <c r="B101" s="99" t="str">
        <f>'retrieve WebNLG ZK random'!B4</f>
        <v>baku is the capital of azerbaijan where the leader is artur rasizade and the capital city is baku. the country is the location of the baku turkish martyrs memorial which is dedicated to the ottoman army soldiers killed in the battle of baku.</v>
      </c>
      <c r="C101" s="99" t="str">
        <f>'retrieve WebNLG ZK random'!C4</f>
        <v>Azerbaijan|capital|Baku ++ Azerbaijan|leaderTitle|Prime_Minister_of_Azerbaijan ++ Baku_Turkish_Martyrs'_Memorial|dedicatedTo|"Ottoman Army soldiers killed in the Battle of Baku" ++ Baku_Turkish_Martyrs'_Memorial|location|Azerbaijan ++ Azerbaijan|leaderName|Artur_Rasizade</v>
      </c>
      <c r="D101" s="99">
        <f>'retrieve WebNLG ZK random'!D4</f>
        <v>0.161</v>
      </c>
      <c r="E101" s="99" t="str">
        <f>'retrieve WebNLG ZK random'!E4</f>
        <v>OK</v>
      </c>
      <c r="F101" s="99" t="str">
        <f>'retrieve WebNLG ZK random'!F4</f>
        <v>omission</v>
      </c>
      <c r="G101" s="99" t="str">
        <f>'retrieve WebNLG ZK random'!G4</f>
        <v>x</v>
      </c>
      <c r="H101" s="99" t="str">
        <f>'retrieve WebNLG ZK random'!H4</f>
        <v/>
      </c>
      <c r="I101" s="99" t="str">
        <f>'retrieve WebNLG ZK random'!I4</f>
        <v/>
      </c>
      <c r="J101" s="99" t="str">
        <f>'retrieve WebNLG ZK random'!J4</f>
        <v/>
      </c>
      <c r="K101" s="99" t="str">
        <f>'retrieve WebNLG ZK random'!K4</f>
        <v>x</v>
      </c>
      <c r="L101" s="99" t="str">
        <f>'retrieve WebNLG ZK random'!L4</f>
        <v/>
      </c>
      <c r="M101" s="99" t="str">
        <f>'retrieve WebNLG ZK random'!M4</f>
        <v/>
      </c>
      <c r="N101" s="99" t="str">
        <f>'retrieve WebNLG ZK random'!N4</f>
        <v/>
      </c>
      <c r="O101" s="99" t="str">
        <f>'retrieve WebNLG ZK random'!O4</f>
        <v/>
      </c>
    </row>
    <row r="102">
      <c r="A102" s="99">
        <f>'retrieve WebNLG ZK random'!A2</f>
        <v>100</v>
      </c>
      <c r="B102" s="99" t="str">
        <f>'retrieve WebNLG ZK random'!B2</f>
        <v>levan khomeriki manages fc dinamo batumi and plays for aleksandre guruli.</v>
      </c>
      <c r="C102" s="99" t="str">
        <f>'retrieve WebNLG ZK random'!C2</f>
        <v>FC_Dinamo_Batumi|manager|Levan_Khomeriki ++ Aleksandre_Guruli|club|FC_Dinamo_Batumi</v>
      </c>
      <c r="D102" s="99">
        <f>'retrieve WebNLG ZK random'!D2</f>
        <v>0.714</v>
      </c>
      <c r="E102" s="99" t="str">
        <f>'retrieve WebNLG ZK random'!E2</f>
        <v>not OK</v>
      </c>
      <c r="F102" s="99" t="str">
        <f>'retrieve WebNLG ZK random'!F2</f>
        <v>OK</v>
      </c>
      <c r="G102" s="99" t="str">
        <f>'retrieve WebNLG ZK random'!G2</f>
        <v>x</v>
      </c>
      <c r="H102" s="99" t="str">
        <f>'retrieve WebNLG ZK random'!H2</f>
        <v/>
      </c>
      <c r="I102" s="99" t="str">
        <f>'retrieve WebNLG ZK random'!I2</f>
        <v/>
      </c>
      <c r="J102" s="99" t="str">
        <f>'retrieve WebNLG ZK random'!J2</f>
        <v>x</v>
      </c>
      <c r="K102" s="99" t="str">
        <f>'retrieve WebNLG ZK random'!K2</f>
        <v/>
      </c>
      <c r="L102" s="99" t="str">
        <f>'retrieve WebNLG ZK random'!L2</f>
        <v/>
      </c>
      <c r="M102" s="99" t="str">
        <f>'retrieve WebNLG ZK random'!M2</f>
        <v/>
      </c>
      <c r="N102" s="99" t="str">
        <f>'retrieve WebNLG ZK random'!N2</f>
        <v/>
      </c>
      <c r="O102" s="99" t="str">
        <f>'retrieve WebNLG ZK random'!O2</f>
        <v/>
      </c>
    </row>
    <row r="103">
      <c r="G103" s="144">
        <f t="shared" ref="G103:N103" si="1">COUNTIF(G3:G102, "x")</f>
        <v>38</v>
      </c>
      <c r="H103" s="144">
        <f t="shared" si="1"/>
        <v>40</v>
      </c>
      <c r="I103" s="144">
        <f t="shared" si="1"/>
        <v>15</v>
      </c>
      <c r="J103" s="144">
        <f t="shared" si="1"/>
        <v>16</v>
      </c>
      <c r="K103" s="144">
        <f t="shared" si="1"/>
        <v>3</v>
      </c>
      <c r="L103" s="144">
        <f t="shared" si="1"/>
        <v>27</v>
      </c>
      <c r="M103" s="144">
        <f t="shared" si="1"/>
        <v>25</v>
      </c>
      <c r="N103" s="144">
        <f t="shared" si="1"/>
        <v>19</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4">
        <f>IFERROR(__xludf.DUMMYFUNCTION("{ QUERY({ 'Copy of AB-WebNLG'!A4:O54 }, ""SELECT * LIMIT 50"",0)}"),34.0)</f>
        <v>34</v>
      </c>
      <c r="B1" s="99" t="str">
        <f>IFERROR(__xludf.DUMMYFUNCTION("""COMPUTED_VALUE"""),"atatürk monument (izmir) is in turkey, the leader of which is the president of turkey. ahmet davutoğlu is the leader of turkey. the capital of turkey is ankara. the largest city in turkey is istanbul.")</f>
        <v>atatürk monument (izmir) is in turkey, the leader of which is the president of turkey. ahmet davutoğlu is the leader of turkey. the capital of turkey is ankara. the largest city in turkey is istanbul.</v>
      </c>
      <c r="C1" s="99" t="str">
        <f>IFERROR(__xludf.DUMMYFUNCTION("""COMPUTED_VALUE"""),"Turkey|leaderTitle|President_of_Turkey ++ Turkey|leader|Ahmet_Davutoğlu ++ Turkey|capital|Ankara ++ Turkey|largestCity|Istanbul ++ Atatürk_Monument_(İzmir)|location|Turkey")</f>
        <v>Turkey|leaderTitle|President_of_Turkey ++ Turkey|leader|Ahmet_Davutoğlu ++ Turkey|capital|Ankara ++ Turkey|largestCity|Istanbul ++ Atatürk_Monument_(İzmir)|location|Turkey</v>
      </c>
      <c r="D1" s="99" t="str">
        <f>IFERROR(__xludf.DUMMYFUNCTION("""COMPUTED_VALUE"""),"0.004")</f>
        <v>0.004</v>
      </c>
      <c r="E1" s="99" t="str">
        <f>IFERROR(__xludf.DUMMYFUNCTION("""COMPUTED_VALUE"""),"OK")</f>
        <v>OK</v>
      </c>
      <c r="F1" s="99" t="str">
        <f>IFERROR(__xludf.DUMMYFUNCTION("""COMPUTED_VALUE"""),"omission")</f>
        <v>omission</v>
      </c>
      <c r="G1" s="99" t="str">
        <f>IFERROR(__xludf.DUMMYFUNCTION("""COMPUTED_VALUE"""),"x")</f>
        <v>x</v>
      </c>
      <c r="H1" s="99"/>
      <c r="I1" s="99"/>
      <c r="J1" s="99"/>
      <c r="K1" s="99" t="str">
        <f>IFERROR(__xludf.DUMMYFUNCTION("""COMPUTED_VALUE"""),"x")</f>
        <v>x</v>
      </c>
      <c r="L1" s="99"/>
      <c r="M1" s="99"/>
      <c r="N1" s="99"/>
      <c r="O1" s="99" t="str">
        <f>IFERROR(__xludf.DUMMYFUNCTION("""COMPUTED_VALUE"""),"NLI wrongly has omission maybe because of verbal dissimilarity")</f>
        <v>NLI wrongly has omission maybe because of verbal dissimilarity</v>
      </c>
    </row>
    <row r="2">
      <c r="A2" s="99">
        <f>IFERROR(__xludf.DUMMYFUNCTION("""COMPUTED_VALUE"""),32.0)</f>
        <v>32</v>
      </c>
      <c r="B2" s="99" t="str">
        <f>IFERROR(__xludf.DUMMYFUNCTION("""COMPUTED_VALUE"""),"alessio romagnoli is affiliated with a.s. roma.")</f>
        <v>alessio romagnoli is affiliated with a.s. roma.</v>
      </c>
      <c r="C2" s="99" t="str">
        <f>IFERROR(__xludf.DUMMYFUNCTION("""COMPUTED_VALUE"""),"Alessio_Romagnoli|youthclub|A.S._Roma")</f>
        <v>Alessio_Romagnoli|youthclub|A.S._Roma</v>
      </c>
      <c r="D2" s="99" t="str">
        <f>IFERROR(__xludf.DUMMYFUNCTION("""COMPUTED_VALUE"""),"0.002")</f>
        <v>0.002</v>
      </c>
      <c r="E2" s="99" t="str">
        <f>IFERROR(__xludf.DUMMYFUNCTION("""COMPUTED_VALUE"""),"OK")</f>
        <v>OK</v>
      </c>
      <c r="F2" s="99" t="str">
        <f>IFERROR(__xludf.DUMMYFUNCTION("""COMPUTED_VALUE"""),"omission")</f>
        <v>omission</v>
      </c>
      <c r="G2" s="99"/>
      <c r="H2" s="99" t="str">
        <f>IFERROR(__xludf.DUMMYFUNCTION("""COMPUTED_VALUE"""),"x")</f>
        <v>x</v>
      </c>
      <c r="I2" s="99"/>
      <c r="J2" s="99"/>
      <c r="K2" s="99"/>
      <c r="L2" s="99"/>
      <c r="M2" s="99" t="str">
        <f>IFERROR(__xludf.DUMMYFUNCTION("""COMPUTED_VALUE"""),"x")</f>
        <v>x</v>
      </c>
      <c r="N2" s="99"/>
      <c r="O2" s="99" t="str">
        <f>IFERROR(__xludf.DUMMYFUNCTION("""COMPUTED_VALUE"""),"gold misses omission (youth club)")</f>
        <v>gold misses omission (youth club)</v>
      </c>
    </row>
    <row r="3">
      <c r="A3" s="99">
        <f>IFERROR(__xludf.DUMMYFUNCTION("""COMPUTED_VALUE"""),78.0)</f>
        <v>78</v>
      </c>
      <c r="B3" s="99" t="str">
        <f>IFERROR(__xludf.DUMMYFUNCTION("""COMPUTED_VALUE"""),"gubbio is from umbria.")</f>
        <v>gubbio is from umbria.</v>
      </c>
      <c r="C3" s="99" t="str">
        <f>IFERROR(__xludf.DUMMYFUNCTION("""COMPUTED_VALUE"""),"Gubbio|region|Umbria")</f>
        <v>Gubbio|region|Umbria</v>
      </c>
      <c r="D3" s="99" t="str">
        <f>IFERROR(__xludf.DUMMYFUNCTION("""COMPUTED_VALUE"""),"0.948")</f>
        <v>0.948</v>
      </c>
      <c r="E3" s="99" t="str">
        <f>IFERROR(__xludf.DUMMYFUNCTION("""COMPUTED_VALUE"""),"not OK")</f>
        <v>not OK</v>
      </c>
      <c r="F3" s="99" t="str">
        <f>IFERROR(__xludf.DUMMYFUNCTION("""COMPUTED_VALUE"""),"OK")</f>
        <v>OK</v>
      </c>
      <c r="G3" s="99" t="str">
        <f>IFERROR(__xludf.DUMMYFUNCTION("""COMPUTED_VALUE"""),"x")</f>
        <v>x</v>
      </c>
      <c r="H3" s="99"/>
      <c r="I3" s="99"/>
      <c r="J3" s="99" t="str">
        <f>IFERROR(__xludf.DUMMYFUNCTION("""COMPUTED_VALUE"""),"x")</f>
        <v>x</v>
      </c>
      <c r="K3" s="99"/>
      <c r="L3" s="99"/>
      <c r="M3" s="99" t="str">
        <f>IFERROR(__xludf.DUMMYFUNCTION("""COMPUTED_VALUE"""),"x")</f>
        <v>x</v>
      </c>
      <c r="N3" s="99"/>
      <c r="O3" s="99" t="str">
        <f>IFERROR(__xludf.DUMMYFUNCTION("""COMPUTED_VALUE"""),"gubbio is from' instead of e.g. 'Gubbio is in'")</f>
        <v>gubbio is from' instead of e.g. 'Gubbio is in'</v>
      </c>
    </row>
    <row r="4">
      <c r="A4" s="99">
        <f>IFERROR(__xludf.DUMMYFUNCTION("""COMPUTED_VALUE"""),24.0)</f>
        <v>24</v>
      </c>
      <c r="B4" s="99" t="str">
        <f>IFERROR(__xludf.DUMMYFUNCTION("""COMPUTED_VALUE"""),"the first club john van den brom played for was jong ajax, he is part of the istanbulspor a.ş club and, manages az alkmaar.")</f>
        <v>the first club john van den brom played for was jong ajax, he is part of the istanbulspor a.ş club and, manages az alkmaar.</v>
      </c>
      <c r="C4" s="99" t="str">
        <f>IFERROR(__xludf.DUMMYFUNCTION("""COMPUTED_VALUE"""),"AZ_Alkmaar|manager|John_van_den_Brom ++ John_van_den_Brom|club|Jong_Ajax ++ John_van_den_Brom|club|İstanbulspor_A.Ş.")</f>
        <v>AZ_Alkmaar|manager|John_van_den_Brom ++ John_van_den_Brom|club|Jong_Ajax ++ John_van_den_Brom|club|İstanbulspor_A.Ş.</v>
      </c>
      <c r="D4" s="99" t="str">
        <f>IFERROR(__xludf.DUMMYFUNCTION("""COMPUTED_VALUE"""),"0.537")</f>
        <v>0.537</v>
      </c>
      <c r="E4" s="99" t="str">
        <f>IFERROR(__xludf.DUMMYFUNCTION("""COMPUTED_VALUE"""),"not OK")</f>
        <v>not OK</v>
      </c>
      <c r="F4" s="99" t="str">
        <f>IFERROR(__xludf.DUMMYFUNCTION("""COMPUTED_VALUE"""),"OK")</f>
        <v>OK</v>
      </c>
      <c r="G4" s="99" t="str">
        <f>IFERROR(__xludf.DUMMYFUNCTION("""COMPUTED_VALUE"""),"x")</f>
        <v>x</v>
      </c>
      <c r="H4" s="99"/>
      <c r="I4" s="99"/>
      <c r="J4" s="99"/>
      <c r="K4" s="99"/>
      <c r="L4" s="99"/>
      <c r="M4" s="99" t="str">
        <f>IFERROR(__xludf.DUMMYFUNCTION("""COMPUTED_VALUE"""),"x")</f>
        <v>x</v>
      </c>
      <c r="N4" s="99"/>
      <c r="O4" s="99" t="str">
        <f>IFERROR(__xludf.DUMMYFUNCTION("""COMPUTED_VALUE"""),"should be hallucination ('the first club')")</f>
        <v>should be hallucination ('the first club')</v>
      </c>
    </row>
    <row r="5">
      <c r="A5" s="99">
        <f>IFERROR(__xludf.DUMMYFUNCTION("""COMPUTED_VALUE"""),60.0)</f>
        <v>60</v>
      </c>
      <c r="B5" s="99" t="str">
        <f>IFERROR(__xludf.DUMMYFUNCTION("""COMPUTED_VALUE"""),"the usaf was involved in the 1986 bombing of libya .")</f>
        <v>the usaf was involved in the 1986 bombing of libya .</v>
      </c>
      <c r="C5" s="99" t="str">
        <f>IFERROR(__xludf.DUMMYFUNCTION("""COMPUTED_VALUE"""),"United_States_Air_Force|battles|1986_United_States_bombing_of_Libya")</f>
        <v>United_States_Air_Force|battles|1986_United_States_bombing_of_Libya</v>
      </c>
      <c r="D5" s="99" t="str">
        <f>IFERROR(__xludf.DUMMYFUNCTION("""COMPUTED_VALUE"""),"0.794")</f>
        <v>0.794</v>
      </c>
      <c r="E5" s="99" t="str">
        <f>IFERROR(__xludf.DUMMYFUNCTION("""COMPUTED_VALUE"""),"not OK")</f>
        <v>not OK</v>
      </c>
      <c r="F5" s="99" t="str">
        <f>IFERROR(__xludf.DUMMYFUNCTION("""COMPUTED_VALUE"""),"OK")</f>
        <v>OK</v>
      </c>
      <c r="G5" s="99"/>
      <c r="H5" s="99" t="str">
        <f>IFERROR(__xludf.DUMMYFUNCTION("""COMPUTED_VALUE"""),"x")</f>
        <v>x</v>
      </c>
      <c r="I5" s="99"/>
      <c r="J5" s="99"/>
      <c r="K5" s="99"/>
      <c r="L5" s="99"/>
      <c r="M5" s="99"/>
      <c r="N5" s="99" t="str">
        <f>IFERROR(__xludf.DUMMYFUNCTION("""COMPUTED_VALUE"""),"x")</f>
        <v>x</v>
      </c>
      <c r="O5" s="99" t="str">
        <f>IFERROR(__xludf.DUMMYFUNCTION("""COMPUTED_VALUE"""),"gold wrongly has not ok but unclear why")</f>
        <v>gold wrongly has not ok but unclear why</v>
      </c>
    </row>
    <row r="6">
      <c r="A6" s="99">
        <f>IFERROR(__xludf.DUMMYFUNCTION("""COMPUTED_VALUE"""),31.0)</f>
        <v>31</v>
      </c>
      <c r="B6" s="99" t="str">
        <f>IFERROR(__xludf.DUMMYFUNCTION("""COMPUTED_VALUE"""),"1 decembrie 1918 university is known as uab and is located in alba.")</f>
        <v>1 decembrie 1918 university is known as uab and is located in alba.</v>
      </c>
      <c r="C6" s="99" t="str">
        <f>IFERROR(__xludf.DUMMYFUNCTION("""COMPUTED_VALUE"""),"1_Decembrie_1918_University|nickname|Uab ++ 1_Decembrie_1918_University|state|Alba")</f>
        <v>1_Decembrie_1918_University|nickname|Uab ++ 1_Decembrie_1918_University|state|Alba</v>
      </c>
      <c r="D6" s="99" t="str">
        <f>IFERROR(__xludf.DUMMYFUNCTION("""COMPUTED_VALUE"""),"0.969")</f>
        <v>0.969</v>
      </c>
      <c r="E6" s="99" t="str">
        <f>IFERROR(__xludf.DUMMYFUNCTION("""COMPUTED_VALUE"""),"not OK")</f>
        <v>not OK</v>
      </c>
      <c r="F6" s="99" t="str">
        <f>IFERROR(__xludf.DUMMYFUNCTION("""COMPUTED_VALUE"""),"OK")</f>
        <v>OK</v>
      </c>
      <c r="G6" s="99"/>
      <c r="H6" s="99" t="str">
        <f>IFERROR(__xludf.DUMMYFUNCTION("""COMPUTED_VALUE"""),"x")</f>
        <v>x</v>
      </c>
      <c r="I6" s="99"/>
      <c r="J6" s="99"/>
      <c r="K6" s="99"/>
      <c r="L6" s="99" t="str">
        <f>IFERROR(__xludf.DUMMYFUNCTION("""COMPUTED_VALUE"""),"x")</f>
        <v>x</v>
      </c>
      <c r="M6" s="99"/>
      <c r="N6" s="99" t="str">
        <f>IFERROR(__xludf.DUMMYFUNCTION("""COMPUTED_VALUE"""),"x")</f>
        <v>x</v>
      </c>
      <c r="O6" s="99" t="str">
        <f>IFERROR(__xludf.DUMMYFUNCTION("""COMPUTED_VALUE"""),"gold not ok but unclear why")</f>
        <v>gold not ok but unclear why</v>
      </c>
    </row>
    <row r="7">
      <c r="A7" s="99">
        <f>IFERROR(__xludf.DUMMYFUNCTION("""COMPUTED_VALUE"""),56.0)</f>
        <v>56</v>
      </c>
      <c r="B7" s="99" t="str">
        <f>IFERROR(__xludf.DUMMYFUNCTION("""COMPUTED_VALUE"""),"capital is austin. andrews county airport is located in texas. english is spoken in texas.")</f>
        <v>capital is austin. andrews county airport is located in texas. english is spoken in texas.</v>
      </c>
      <c r="C7" s="99" t="str">
        <f>IFERROR(__xludf.DUMMYFUNCTION("""COMPUTED_VALUE"""),"Andrews_County_Airport|location|Texas ++ Texas|capital|Austin,_Texas ++ Texas|language|English_language")</f>
        <v>Andrews_County_Airport|location|Texas ++ Texas|capital|Austin,_Texas ++ Texas|language|English_language</v>
      </c>
      <c r="D7" s="99" t="str">
        <f>IFERROR(__xludf.DUMMYFUNCTION("""COMPUTED_VALUE"""),"0.945")</f>
        <v>0.945</v>
      </c>
      <c r="E7" s="99" t="str">
        <f>IFERROR(__xludf.DUMMYFUNCTION("""COMPUTED_VALUE"""),"not OK")</f>
        <v>not OK</v>
      </c>
      <c r="F7" s="99" t="str">
        <f>IFERROR(__xludf.DUMMYFUNCTION("""COMPUTED_VALUE"""),"OK")</f>
        <v>OK</v>
      </c>
      <c r="G7" s="99" t="str">
        <f>IFERROR(__xludf.DUMMYFUNCTION("""COMPUTED_VALUE"""),"x")</f>
        <v>x</v>
      </c>
      <c r="H7" s="99"/>
      <c r="I7" s="99"/>
      <c r="J7" s="99"/>
      <c r="K7" s="99"/>
      <c r="L7" s="99"/>
      <c r="M7" s="99" t="str">
        <f>IFERROR(__xludf.DUMMYFUNCTION("""COMPUTED_VALUE"""),"x")</f>
        <v>x</v>
      </c>
      <c r="N7" s="99"/>
      <c r="O7" s="99" t="str">
        <f>IFERROR(__xludf.DUMMYFUNCTION("""COMPUTED_VALUE"""),"of Texas' missing after capital")</f>
        <v>of Texas' missing after capital</v>
      </c>
    </row>
    <row r="8">
      <c r="A8" s="99">
        <f>IFERROR(__xludf.DUMMYFUNCTION("""COMPUTED_VALUE"""),15.0)</f>
        <v>15</v>
      </c>
      <c r="B8" s="99" t="str">
        <f>IFERROR(__xludf.DUMMYFUNCTION("""COMPUTED_VALUE"""),"all india council for technical education is located in mumbai. acharya institute of technology was given the Technical Campus status by it. acharya institute offers sports including tennis. the location is the governing body of tennis.")</f>
        <v>all india council for technical education is located in mumbai. acharya institute of technology was given the Technical Campus status by it. acharya institute offers sports including tennis. the location is the governing body of tennis.</v>
      </c>
      <c r="C8" s="99" t="str">
        <f>IFERROR(__xludf.DUMMYFUNCTION("""COMPUTED_VALUE"""),"Acharya_Institute_of_Technology|was given the 'Technical Campus' status by|All_India_Council_for_Technical_Education ++ All_India_Council_for_Technical_Education|location|Mumbai ++ Acharya_Institute_of_Technology|sportsOffered|Tennis ++ Tennis|sportsGover"&amp;"ningBody|International_Tennis_Federation")</f>
        <v>Acharya_Institute_of_Technology|was given the 'Technical Campus' status by|All_India_Council_for_Technical_Education ++ All_India_Council_for_Technical_Education|location|Mumbai ++ Acharya_Institute_of_Technology|sportsOffered|Tennis ++ Tennis|sportsGoverningBody|International_Tennis_Federation</v>
      </c>
      <c r="D8" s="99" t="str">
        <f>IFERROR(__xludf.DUMMYFUNCTION("""COMPUTED_VALUE"""),"0.001")</f>
        <v>0.001</v>
      </c>
      <c r="E8" s="99" t="str">
        <f>IFERROR(__xludf.DUMMYFUNCTION("""COMPUTED_VALUE"""),"OK")</f>
        <v>OK</v>
      </c>
      <c r="F8" s="99" t="str">
        <f>IFERROR(__xludf.DUMMYFUNCTION("""COMPUTED_VALUE"""),"omission")</f>
        <v>omission</v>
      </c>
      <c r="G8" s="99"/>
      <c r="H8" s="99" t="str">
        <f>IFERROR(__xludf.DUMMYFUNCTION("""COMPUTED_VALUE"""),"x")</f>
        <v>x</v>
      </c>
      <c r="I8" s="99"/>
      <c r="J8" s="99"/>
      <c r="K8" s="99"/>
      <c r="L8" s="99"/>
      <c r="M8" s="99" t="str">
        <f>IFERROR(__xludf.DUMMYFUNCTION("""COMPUTED_VALUE"""),"x")</f>
        <v>x</v>
      </c>
      <c r="N8" s="99"/>
      <c r="O8" s="99" t="str">
        <f>IFERROR(__xludf.DUMMYFUNCTION("""COMPUTED_VALUE"""),"gold misses omission (International_Tennis_Federation)")</f>
        <v>gold misses omission (International_Tennis_Federation)</v>
      </c>
    </row>
    <row r="9">
      <c r="A9" s="99">
        <f>IFERROR(__xludf.DUMMYFUNCTION("""COMPUTED_VALUE"""),52.0)</f>
        <v>52</v>
      </c>
      <c r="B9" s="99" t="str">
        <f>IFERROR(__xludf.DUMMYFUNCTION("""COMPUTED_VALUE"""),"gus poyet is in the real zaragoza club and previously played for chelsea fc . he now manages aek athens who have their home ground at the olympic stadium ( athens ) at marousi .")</f>
        <v>gus poyet is in the real zaragoza club and previously played for chelsea fc . he now manages aek athens who have their home ground at the olympic stadium ( athens ) at marousi .</v>
      </c>
      <c r="C9" s="99" t="str">
        <f>IFERROR(__xludf.DUMMYFUNCTION("""COMPUTED_VALUE"""),"AEK_Athens_F.C.|manager|Gus_Poyet ++ Gus_Poyet|club|Real_Zaragoza ++ Olympic_Stadium_(Athens)|location|Marousi ++ AEK_Athens_F.C.|ground|Olympic_Stadium_(Athens) ++ Gus_Poyet|club|Chelsea_F.C.")</f>
        <v>AEK_Athens_F.C.|manager|Gus_Poyet ++ Gus_Poyet|club|Real_Zaragoza ++ Olympic_Stadium_(Athens)|location|Marousi ++ AEK_Athens_F.C.|ground|Olympic_Stadium_(Athens) ++ Gus_Poyet|club|Chelsea_F.C.</v>
      </c>
      <c r="D9" s="99" t="str">
        <f>IFERROR(__xludf.DUMMYFUNCTION("""COMPUTED_VALUE"""),"0.018")</f>
        <v>0.018</v>
      </c>
      <c r="E9" s="99" t="str">
        <f>IFERROR(__xludf.DUMMYFUNCTION("""COMPUTED_VALUE"""),"OK")</f>
        <v>OK</v>
      </c>
      <c r="F9" s="99" t="str">
        <f>IFERROR(__xludf.DUMMYFUNCTION("""COMPUTED_VALUE"""),"hallucination")</f>
        <v>hallucination</v>
      </c>
      <c r="G9" s="99"/>
      <c r="H9" s="99" t="str">
        <f>IFERROR(__xludf.DUMMYFUNCTION("""COMPUTED_VALUE"""),"x")</f>
        <v>x</v>
      </c>
      <c r="I9" s="99"/>
      <c r="J9" s="99"/>
      <c r="K9" s="99"/>
      <c r="L9" s="99"/>
      <c r="M9" s="99" t="str">
        <f>IFERROR(__xludf.DUMMYFUNCTION("""COMPUTED_VALUE"""),"x")</f>
        <v>x</v>
      </c>
      <c r="N9" s="99"/>
      <c r="O9" s="99" t="str">
        <f>IFERROR(__xludf.DUMMYFUNCTION("""COMPUTED_VALUE"""),"hallucination is correct ('previously', 'now')")</f>
        <v>hallucination is correct ('previously', 'now')</v>
      </c>
    </row>
    <row r="10">
      <c r="A10" s="99">
        <f>IFERROR(__xludf.DUMMYFUNCTION("""COMPUTED_VALUE"""),92.0)</f>
        <v>92</v>
      </c>
      <c r="B10" s="99" t="str">
        <f>IFERROR(__xludf.DUMMYFUNCTION("""COMPUTED_VALUE"""),"azerbaijan 's leader is the prime minister.")</f>
        <v>azerbaijan 's leader is the prime minister.</v>
      </c>
      <c r="C10" s="99" t="str">
        <f>IFERROR(__xludf.DUMMYFUNCTION("""COMPUTED_VALUE"""),"Azerbaijan|leaderTitle|Prime_Minister_of_Azerbaijan")</f>
        <v>Azerbaijan|leaderTitle|Prime_Minister_of_Azerbaijan</v>
      </c>
      <c r="D10" s="99" t="str">
        <f>IFERROR(__xludf.DUMMYFUNCTION("""COMPUTED_VALUE"""),"0.977")</f>
        <v>0.977</v>
      </c>
      <c r="E10" s="99" t="str">
        <f>IFERROR(__xludf.DUMMYFUNCTION("""COMPUTED_VALUE"""),"not OK")</f>
        <v>not OK</v>
      </c>
      <c r="F10" s="99" t="str">
        <f>IFERROR(__xludf.DUMMYFUNCTION("""COMPUTED_VALUE"""),"OK")</f>
        <v>OK</v>
      </c>
      <c r="G10" s="99"/>
      <c r="H10" s="99" t="str">
        <f>IFERROR(__xludf.DUMMYFUNCTION("""COMPUTED_VALUE"""),"x")</f>
        <v>x</v>
      </c>
      <c r="I10" s="99"/>
      <c r="J10" s="99"/>
      <c r="K10" s="99"/>
      <c r="L10" s="99"/>
      <c r="M10" s="99"/>
      <c r="N10" s="99" t="str">
        <f>IFERROR(__xludf.DUMMYFUNCTION("""COMPUTED_VALUE"""),"x")</f>
        <v>x</v>
      </c>
      <c r="O10" s="99" t="str">
        <f>IFERROR(__xludf.DUMMYFUNCTION("""COMPUTED_VALUE"""),"gold has not Ok maybe because Title isn't explicity realised")</f>
        <v>gold has not Ok maybe because Title isn't explicity realised</v>
      </c>
    </row>
    <row r="11">
      <c r="A11" s="99">
        <f>IFERROR(__xludf.DUMMYFUNCTION("""COMPUTED_VALUE"""),36.0)</f>
        <v>36</v>
      </c>
      <c r="B11" s="99" t="str">
        <f>IFERROR(__xludf.DUMMYFUNCTION("""COMPUTED_VALUE"""),"auburn is in united states it is part of pierce county, washington. auburn, washington has a total area of 77.41 (square kilometres). auburn, washington has a population density of 914.8 inhabitants per square kilometre. it is part of king county, washing"&amp;"ton.")</f>
        <v>auburn is in united states it is part of pierce county, washington. auburn, washington has a total area of 77.41 (square kilometres). auburn, washington has a population density of 914.8 inhabitants per square kilometre. it is part of king county, washington.</v>
      </c>
      <c r="C11" s="99" t="str">
        <f>IFERROR(__xludf.DUMMYFUNCTION("""COMPUTED_VALUE"""),"Auburn,_Washington|isPartOf|Pierce_County,_Washington ++ Auburn,_Washington|country|United_States ++ Auburn,_Washington|isPartOf|King_County,_Washington ++ Auburn,_Washington|populationDensity|914.8 (inhabitants per square kilometre) ++ Auburn,_Washington"&amp;"|areaTotal|77.41 (square kilometres)")</f>
        <v>Auburn,_Washington|isPartOf|Pierce_County,_Washington ++ Auburn,_Washington|country|United_States ++ Auburn,_Washington|isPartOf|King_County,_Washington ++ Auburn,_Washington|populationDensity|914.8 (inhabitants per square kilometre) ++ Auburn,_Washington|areaTotal|77.41 (square kilometres)</v>
      </c>
      <c r="D11" s="99" t="str">
        <f>IFERROR(__xludf.DUMMYFUNCTION("""COMPUTED_VALUE"""),"0.408")</f>
        <v>0.408</v>
      </c>
      <c r="E11" s="99" t="str">
        <f>IFERROR(__xludf.DUMMYFUNCTION("""COMPUTED_VALUE"""),"OK")</f>
        <v>OK</v>
      </c>
      <c r="F11" s="99" t="str">
        <f>IFERROR(__xludf.DUMMYFUNCTION("""COMPUTED_VALUE"""),"omission")</f>
        <v>omission</v>
      </c>
      <c r="G11" s="99" t="str">
        <f>IFERROR(__xludf.DUMMYFUNCTION("""COMPUTED_VALUE"""),"x")</f>
        <v>x</v>
      </c>
      <c r="H11" s="99"/>
      <c r="I11" s="99"/>
      <c r="J11" s="99"/>
      <c r="K11" s="99" t="str">
        <f>IFERROR(__xludf.DUMMYFUNCTION("""COMPUTED_VALUE"""),"x")</f>
        <v>x</v>
      </c>
      <c r="L11" s="99"/>
      <c r="M11" s="99"/>
      <c r="N11" s="99"/>
      <c r="O11" s="99" t="str">
        <f>IFERROR(__xludf.DUMMYFUNCTION("""COMPUTED_VALUE"""),"NLI wrongly has omission maybe because of verbal dissimilarity")</f>
        <v>NLI wrongly has omission maybe because of verbal dissimilarity</v>
      </c>
    </row>
    <row r="12">
      <c r="A12" s="99">
        <f>IFERROR(__xludf.DUMMYFUNCTION("""COMPUTED_VALUE"""),87.0)</f>
        <v>87</v>
      </c>
      <c r="B12" s="99" t="str">
        <f>IFERROR(__xludf.DUMMYFUNCTION("""COMPUTED_VALUE"""),"the architect of julia morgan is los angeles herald-examiner.")</f>
        <v>the architect of julia morgan is los angeles herald-examiner.</v>
      </c>
      <c r="C12" s="99" t="str">
        <f>IFERROR(__xludf.DUMMYFUNCTION("""COMPUTED_VALUE"""),"Julia_Morgan|significantBuilding|Los_Angeles_Herald-Examiner")</f>
        <v>Julia_Morgan|significantBuilding|Los_Angeles_Herald-Examiner</v>
      </c>
      <c r="D12" s="99" t="str">
        <f>IFERROR(__xludf.DUMMYFUNCTION("""COMPUTED_VALUE"""),"0.572")</f>
        <v>0.572</v>
      </c>
      <c r="E12" s="99" t="str">
        <f>IFERROR(__xludf.DUMMYFUNCTION("""COMPUTED_VALUE"""),"not OK")</f>
        <v>not OK</v>
      </c>
      <c r="F12" s="99" t="str">
        <f>IFERROR(__xludf.DUMMYFUNCTION("""COMPUTED_VALUE"""),"OK")</f>
        <v>OK</v>
      </c>
      <c r="G12" s="99" t="str">
        <f>IFERROR(__xludf.DUMMYFUNCTION("""COMPUTED_VALUE"""),"x")</f>
        <v>x</v>
      </c>
      <c r="H12" s="99"/>
      <c r="I12" s="99"/>
      <c r="J12" s="99"/>
      <c r="K12" s="99"/>
      <c r="L12" s="99"/>
      <c r="M12" s="99" t="str">
        <f>IFERROR(__xludf.DUMMYFUNCTION("""COMPUTED_VALUE"""),"x")</f>
        <v>x</v>
      </c>
      <c r="N12" s="99"/>
      <c r="O12" s="99" t="str">
        <f>IFERROR(__xludf.DUMMYFUNCTION("""COMPUTED_VALUE"""),"subject and object are there but link is missing")</f>
        <v>subject and object are there but link is missing</v>
      </c>
    </row>
    <row r="13">
      <c r="A13" s="99">
        <f>IFERROR(__xludf.DUMMYFUNCTION("""COMPUTED_VALUE"""),9.0)</f>
        <v>9</v>
      </c>
      <c r="B13" s="99" t="str">
        <f>IFERROR(__xludf.DUMMYFUNCTION("""COMPUTED_VALUE"""),"shumai is a variation of batagor.")</f>
        <v>shumai is a variation of batagor.</v>
      </c>
      <c r="C13" s="99" t="str">
        <f>IFERROR(__xludf.DUMMYFUNCTION("""COMPUTED_VALUE"""),"Batagor|dishVariation|Shumai")</f>
        <v>Batagor|dishVariation|Shumai</v>
      </c>
      <c r="D13" s="99" t="str">
        <f>IFERROR(__xludf.DUMMYFUNCTION("""COMPUTED_VALUE"""),"0.524")</f>
        <v>0.524</v>
      </c>
      <c r="E13" s="99" t="str">
        <f>IFERROR(__xludf.DUMMYFUNCTION("""COMPUTED_VALUE"""),"not OK")</f>
        <v>not OK</v>
      </c>
      <c r="F13" s="99" t="str">
        <f>IFERROR(__xludf.DUMMYFUNCTION("""COMPUTED_VALUE"""),"OK")</f>
        <v>OK</v>
      </c>
      <c r="G13" s="99"/>
      <c r="H13" s="99" t="str">
        <f>IFERROR(__xludf.DUMMYFUNCTION("""COMPUTED_VALUE"""),"x")</f>
        <v>x</v>
      </c>
      <c r="I13" s="99"/>
      <c r="J13" s="99"/>
      <c r="K13" s="99"/>
      <c r="L13" s="99"/>
      <c r="M13" s="99"/>
      <c r="N13" s="99" t="str">
        <f>IFERROR(__xludf.DUMMYFUNCTION("""COMPUTED_VALUE"""),"x")</f>
        <v>x</v>
      </c>
      <c r="O13" s="99" t="str">
        <f>IFERROR(__xludf.DUMMYFUNCTION("""COMPUTED_VALUE"""),"gold maybe not ok because 'dish' is missing")</f>
        <v>gold maybe not ok because 'dish' is missing</v>
      </c>
    </row>
    <row r="14">
      <c r="A14" s="99">
        <f>IFERROR(__xludf.DUMMYFUNCTION("""COMPUTED_VALUE"""),7.0)</f>
        <v>7</v>
      </c>
      <c r="B14" s="99" t="str">
        <f>IFERROR(__xludf.DUMMYFUNCTION("""COMPUTED_VALUE"""),"aenir is written in english language.")</f>
        <v>aenir is written in english language.</v>
      </c>
      <c r="C14" s="99" t="str">
        <f>IFERROR(__xludf.DUMMYFUNCTION("""COMPUTED_VALUE"""),"Aenir|language|English_language")</f>
        <v>Aenir|language|English_language</v>
      </c>
      <c r="D14" s="99" t="str">
        <f>IFERROR(__xludf.DUMMYFUNCTION("""COMPUTED_VALUE"""),"0.099")</f>
        <v>0.099</v>
      </c>
      <c r="E14" s="99" t="str">
        <f>IFERROR(__xludf.DUMMYFUNCTION("""COMPUTED_VALUE"""),"OK")</f>
        <v>OK</v>
      </c>
      <c r="F14" s="99" t="str">
        <f>IFERROR(__xludf.DUMMYFUNCTION("""COMPUTED_VALUE"""),"hallucination")</f>
        <v>hallucination</v>
      </c>
      <c r="G14" s="99" t="str">
        <f>IFERROR(__xludf.DUMMYFUNCTION("""COMPUTED_VALUE"""),"x")</f>
        <v>x</v>
      </c>
      <c r="H14" s="99"/>
      <c r="I14" s="99"/>
      <c r="J14" s="99"/>
      <c r="K14" s="99"/>
      <c r="L14" s="99" t="str">
        <f>IFERROR(__xludf.DUMMYFUNCTION("""COMPUTED_VALUE"""),"x")</f>
        <v>x</v>
      </c>
      <c r="M14" s="99"/>
      <c r="N14" s="99"/>
      <c r="O14" s="99" t="str">
        <f>IFERROR(__xludf.DUMMYFUNCTION("""COMPUTED_VALUE"""),"NLI wrongly has hallucination maybe because of 'written'")</f>
        <v>NLI wrongly has hallucination maybe because of 'written'</v>
      </c>
    </row>
    <row r="15">
      <c r="A15" s="99">
        <f>IFERROR(__xludf.DUMMYFUNCTION("""COMPUTED_VALUE"""),14.0)</f>
        <v>14</v>
      </c>
      <c r="B15" s="99" t="str">
        <f>IFERROR(__xludf.DUMMYFUNCTION("""COMPUTED_VALUE"""),"aleksandra kovac plays pop music for the k2 band . he knows musician , bebi dol .")</f>
        <v>aleksandra kovac plays pop music for the k2 band . he knows musician , bebi dol .</v>
      </c>
      <c r="C15" s="99" t="str">
        <f>IFERROR(__xludf.DUMMYFUNCTION("""COMPUTED_VALUE"""),"Aleksandra_Kovač|associatedBand/associatedMusicalArtist|Bebi_Dol ++ Aleksandra_Kovač|associatedBand/associatedMusicalArtist|K2_(Kovač_sisters_duo) ++ Aleksandra_Kovač|genre|Pop_music")</f>
        <v>Aleksandra_Kovač|associatedBand/associatedMusicalArtist|Bebi_Dol ++ Aleksandra_Kovač|associatedBand/associatedMusicalArtist|K2_(Kovač_sisters_duo) ++ Aleksandra_Kovač|genre|Pop_music</v>
      </c>
      <c r="D15" s="99" t="str">
        <f>IFERROR(__xludf.DUMMYFUNCTION("""COMPUTED_VALUE"""),"0.626")</f>
        <v>0.626</v>
      </c>
      <c r="E15" s="99" t="str">
        <f>IFERROR(__xludf.DUMMYFUNCTION("""COMPUTED_VALUE"""),"not OK")</f>
        <v>not OK</v>
      </c>
      <c r="F15" s="99" t="str">
        <f>IFERROR(__xludf.DUMMYFUNCTION("""COMPUTED_VALUE"""),"OK")</f>
        <v>OK</v>
      </c>
      <c r="G15" s="99" t="str">
        <f>IFERROR(__xludf.DUMMYFUNCTION("""COMPUTED_VALUE"""),"x")</f>
        <v>x</v>
      </c>
      <c r="H15" s="99"/>
      <c r="I15" s="99"/>
      <c r="J15" s="99"/>
      <c r="K15" s="99"/>
      <c r="L15" s="99"/>
      <c r="M15" s="99" t="str">
        <f>IFERROR(__xludf.DUMMYFUNCTION("""COMPUTED_VALUE"""),"x")</f>
        <v>x</v>
      </c>
      <c r="N15" s="99"/>
      <c r="O15" s="99" t="str">
        <f>IFERROR(__xludf.DUMMYFUNCTION("""COMPUTED_VALUE"""),"knows' not ok for associatedBand/associatedMusicalArtist")</f>
        <v>knows' not ok for associatedBand/associatedMusicalArtist</v>
      </c>
    </row>
    <row r="16">
      <c r="A16" s="99">
        <f>IFERROR(__xludf.DUMMYFUNCTION("""COMPUTED_VALUE"""),49.0)</f>
        <v>49</v>
      </c>
      <c r="B16" s="99" t="str">
        <f>IFERROR(__xludf.DUMMYFUNCTION("""COMPUTED_VALUE"""),"fc dinamo batumi was at levan khomeriki and manages aleksandre guruli.")</f>
        <v>fc dinamo batumi was at levan khomeriki and manages aleksandre guruli.</v>
      </c>
      <c r="C16" s="99" t="str">
        <f>IFERROR(__xludf.DUMMYFUNCTION("""COMPUTED_VALUE"""),"FC_Dinamo_Batumi|manager|Levan_Khomeriki ++ Aleksandre_Guruli|club|FC_Dinamo_Batumi")</f>
        <v>FC_Dinamo_Batumi|manager|Levan_Khomeriki ++ Aleksandre_Guruli|club|FC_Dinamo_Batumi</v>
      </c>
      <c r="D16" s="99" t="str">
        <f>IFERROR(__xludf.DUMMYFUNCTION("""COMPUTED_VALUE"""),"0.718")</f>
        <v>0.718</v>
      </c>
      <c r="E16" s="99" t="str">
        <f>IFERROR(__xludf.DUMMYFUNCTION("""COMPUTED_VALUE"""),"not OK")</f>
        <v>not OK</v>
      </c>
      <c r="F16" s="99" t="str">
        <f>IFERROR(__xludf.DUMMYFUNCTION("""COMPUTED_VALUE"""),"OK")</f>
        <v>OK</v>
      </c>
      <c r="G16" s="99" t="str">
        <f>IFERROR(__xludf.DUMMYFUNCTION("""COMPUTED_VALUE"""),"x")</f>
        <v>x</v>
      </c>
      <c r="H16" s="99"/>
      <c r="I16" s="99"/>
      <c r="J16" s="99"/>
      <c r="K16" s="99"/>
      <c r="L16" s="99"/>
      <c r="M16" s="99" t="str">
        <f>IFERROR(__xludf.DUMMYFUNCTION("""COMPUTED_VALUE"""),"x")</f>
        <v>x</v>
      </c>
      <c r="N16" s="99"/>
      <c r="O16" s="99" t="str">
        <f>IFERROR(__xludf.DUMMYFUNCTION("""COMPUTED_VALUE"""),"subject/object swap")</f>
        <v>subject/object swap</v>
      </c>
    </row>
    <row r="17">
      <c r="A17" s="99">
        <f>IFERROR(__xludf.DUMMYFUNCTION("""COMPUTED_VALUE"""),73.0)</f>
        <v>73</v>
      </c>
      <c r="B17" s="99" t="str">
        <f>IFERROR(__xludf.DUMMYFUNCTION("""COMPUTED_VALUE"""),"british people live in the united kingdom.")</f>
        <v>british people live in the united kingdom.</v>
      </c>
      <c r="C17" s="99" t="str">
        <f>IFERROR(__xludf.DUMMYFUNCTION("""COMPUTED_VALUE"""),"United_Kingdom|demonym|British_people")</f>
        <v>United_Kingdom|demonym|British_people</v>
      </c>
      <c r="D17" s="99" t="str">
        <f>IFERROR(__xludf.DUMMYFUNCTION("""COMPUTED_VALUE"""),"0.637")</f>
        <v>0.637</v>
      </c>
      <c r="E17" s="99" t="str">
        <f>IFERROR(__xludf.DUMMYFUNCTION("""COMPUTED_VALUE"""),"not OK")</f>
        <v>not OK</v>
      </c>
      <c r="F17" s="99" t="str">
        <f>IFERROR(__xludf.DUMMYFUNCTION("""COMPUTED_VALUE"""),"OK")</f>
        <v>OK</v>
      </c>
      <c r="G17" s="99"/>
      <c r="H17" s="99" t="str">
        <f>IFERROR(__xludf.DUMMYFUNCTION("""COMPUTED_VALUE"""),"x")</f>
        <v>x</v>
      </c>
      <c r="I17" s="99"/>
      <c r="J17" s="99"/>
      <c r="K17" s="99"/>
      <c r="L17" s="99"/>
      <c r="M17" s="99"/>
      <c r="N17" s="99" t="str">
        <f>IFERROR(__xludf.DUMMYFUNCTION("""COMPUTED_VALUE"""),"x")</f>
        <v>x</v>
      </c>
      <c r="O17" s="99" t="str">
        <f>IFERROR(__xludf.DUMMYFUNCTION("""COMPUTED_VALUE"""),"odd but not exactly wrong")</f>
        <v>odd but not exactly wrong</v>
      </c>
    </row>
    <row r="18">
      <c r="A18" s="99">
        <f>IFERROR(__xludf.DUMMYFUNCTION("""COMPUTED_VALUE"""),91.0)</f>
        <v>91</v>
      </c>
      <c r="B18" s="99" t="str">
        <f>IFERROR(__xludf.DUMMYFUNCTION("""COMPUTED_VALUE"""),"to the south of adams county, pennsylvania was carroll county, maryland.")</f>
        <v>to the south of adams county, pennsylvania was carroll county, maryland.</v>
      </c>
      <c r="C18" s="99" t="str">
        <f>IFERROR(__xludf.DUMMYFUNCTION("""COMPUTED_VALUE"""),"Adams_County,_Pennsylvania|has to its southeast|Carroll_County,_Maryland")</f>
        <v>Adams_County,_Pennsylvania|has to its southeast|Carroll_County,_Maryland</v>
      </c>
      <c r="D18" s="99" t="str">
        <f>IFERROR(__xludf.DUMMYFUNCTION("""COMPUTED_VALUE"""),"0.957")</f>
        <v>0.957</v>
      </c>
      <c r="E18" s="99" t="str">
        <f>IFERROR(__xludf.DUMMYFUNCTION("""COMPUTED_VALUE"""),"not OK")</f>
        <v>not OK</v>
      </c>
      <c r="F18" s="99" t="str">
        <f>IFERROR(__xludf.DUMMYFUNCTION("""COMPUTED_VALUE"""),"OK")</f>
        <v>OK</v>
      </c>
      <c r="G18" s="99" t="str">
        <f>IFERROR(__xludf.DUMMYFUNCTION("""COMPUTED_VALUE"""),"x")</f>
        <v>x</v>
      </c>
      <c r="H18" s="99"/>
      <c r="I18" s="99"/>
      <c r="J18" s="99"/>
      <c r="K18" s="99"/>
      <c r="L18" s="99"/>
      <c r="M18" s="99" t="str">
        <f>IFERROR(__xludf.DUMMYFUNCTION("""COMPUTED_VALUE"""),"x")</f>
        <v>x</v>
      </c>
      <c r="N18" s="99"/>
      <c r="O18" s="99" t="str">
        <f>IFERROR(__xludf.DUMMYFUNCTION("""COMPUTED_VALUE"""),"should be h+o ('south' vs southeast)")</f>
        <v>should be h+o ('south' vs southeast)</v>
      </c>
    </row>
    <row r="19">
      <c r="A19" s="99">
        <f>IFERROR(__xludf.DUMMYFUNCTION("""COMPUTED_VALUE"""),47.0)</f>
        <v>47</v>
      </c>
      <c r="B19" s="99" t="str">
        <f>IFERROR(__xludf.DUMMYFUNCTION("""COMPUTED_VALUE"""),"a loyal character dancer is published by soho press, located in united states. here is written in english, which is also spoken in great britain. native americans is one of native americans ethnic groups in here.")</f>
        <v>a loyal character dancer is published by soho press, located in united states. here is written in english, which is also spoken in great britain. native americans is one of native americans ethnic groups in here.</v>
      </c>
      <c r="C19" s="99" t="str">
        <f>IFERROR(__xludf.DUMMYFUNCTION("""COMPUTED_VALUE"""),"English_language|spokenIn|Great_Britain ++ A_Loyal_Character_Dancer|publisher|Soho_Press ++ A_Loyal_Character_Dancer|country|United_States ++ United_States|ethnicGroup|Native_Americans_in_the_United_States ++ United_States|language|English_language")</f>
        <v>English_language|spokenIn|Great_Britain ++ A_Loyal_Character_Dancer|publisher|Soho_Press ++ A_Loyal_Character_Dancer|country|United_States ++ United_States|ethnicGroup|Native_Americans_in_the_United_States ++ United_States|language|English_language</v>
      </c>
      <c r="D19" s="99" t="str">
        <f>IFERROR(__xludf.DUMMYFUNCTION("""COMPUTED_VALUE"""),"0.885")</f>
        <v>0.885</v>
      </c>
      <c r="E19" s="99" t="str">
        <f>IFERROR(__xludf.DUMMYFUNCTION("""COMPUTED_VALUE"""),"not OK")</f>
        <v>not OK</v>
      </c>
      <c r="F19" s="99" t="str">
        <f>IFERROR(__xludf.DUMMYFUNCTION("""COMPUTED_VALUE"""),"OK")</f>
        <v>OK</v>
      </c>
      <c r="G19" s="99" t="str">
        <f>IFERROR(__xludf.DUMMYFUNCTION("""COMPUTED_VALUE"""),"x")</f>
        <v>x</v>
      </c>
      <c r="H19" s="99"/>
      <c r="I19" s="99"/>
      <c r="J19" s="99"/>
      <c r="K19" s="99"/>
      <c r="L19" s="99"/>
      <c r="M19" s="99" t="str">
        <f>IFERROR(__xludf.DUMMYFUNCTION("""COMPUTED_VALUE"""),"x")</f>
        <v>x</v>
      </c>
      <c r="N19" s="99"/>
      <c r="O19" s="99" t="str">
        <f>IFERROR(__xludf.DUMMYFUNCTION("""COMPUTED_VALUE"""),"NLI wrongly has OK; should be hallucination+omission (U_S|language|E)")</f>
        <v>NLI wrongly has OK; should be hallucination+omission (U_S|language|E)</v>
      </c>
    </row>
    <row r="20">
      <c r="A20" s="99">
        <f>IFERROR(__xludf.DUMMYFUNCTION("""COMPUTED_VALUE"""),82.0)</f>
        <v>82</v>
      </c>
      <c r="B20" s="99" t="str">
        <f>IFERROR(__xludf.DUMMYFUNCTION("""COMPUTED_VALUE"""),"mason school of business is located in alan b miller hall in united states. alan b. miller opened in 30th march 2007.")</f>
        <v>mason school of business is located in alan b miller hall in united states. alan b. miller opened in 30th march 2007.</v>
      </c>
      <c r="C20" s="99" t="str">
        <f>IFERROR(__xludf.DUMMYFUNCTION("""COMPUTED_VALUE"""),"Alan_B._Miller_Hall|buildingStartDate|""30 March 2007"" ++ Mason_School_of_Business|country|United_States ++ Alan_B._Miller_Hall|currentTenants|Mason_School_of_Business")</f>
        <v>Alan_B._Miller_Hall|buildingStartDate|"30 March 2007" ++ Mason_School_of_Business|country|United_States ++ Alan_B._Miller_Hall|currentTenants|Mason_School_of_Business</v>
      </c>
      <c r="D20" s="99" t="str">
        <f>IFERROR(__xludf.DUMMYFUNCTION("""COMPUTED_VALUE"""),"0.227")</f>
        <v>0.227</v>
      </c>
      <c r="E20" s="99" t="str">
        <f>IFERROR(__xludf.DUMMYFUNCTION("""COMPUTED_VALUE"""),"OK")</f>
        <v>OK</v>
      </c>
      <c r="F20" s="99" t="str">
        <f>IFERROR(__xludf.DUMMYFUNCTION("""COMPUTED_VALUE"""),"omission")</f>
        <v>omission</v>
      </c>
      <c r="G20" s="99"/>
      <c r="H20" s="99"/>
      <c r="I20" s="99" t="str">
        <f>IFERROR(__xludf.DUMMYFUNCTION("""COMPUTED_VALUE"""),"x")</f>
        <v>x</v>
      </c>
      <c r="J20" s="99"/>
      <c r="K20" s="99"/>
      <c r="L20" s="99"/>
      <c r="M20" s="99" t="str">
        <f>IFERROR(__xludf.DUMMYFUNCTION("""COMPUTED_VALUE"""),"x")</f>
        <v>x</v>
      </c>
      <c r="N20" s="99"/>
      <c r="O20" s="99" t="str">
        <f>IFERROR(__xludf.DUMMYFUNCTION("""COMPUTED_VALUE"""),"should be hallucination+omission (buildingStartDate vs. 'opened')")</f>
        <v>should be hallucination+omission (buildingStartDate vs. 'opened')</v>
      </c>
    </row>
    <row r="21">
      <c r="A21" s="99">
        <f>IFERROR(__xludf.DUMMYFUNCTION("""COMPUTED_VALUE"""),19.0)</f>
        <v>19</v>
      </c>
      <c r="B21" s="99" t="str">
        <f>IFERROR(__xludf.DUMMYFUNCTION("""COMPUTED_VALUE"""),"the manager of a.c. lumezzane is michele marcolini. a.c. lumezzane 's ground is in italy where pietro grasso is the leader. michele marcolini plays for f.c. bari 1908. michele marcolini plays for vicenza calcio")</f>
        <v>the manager of a.c. lumezzane is michele marcolini. a.c. lumezzane 's ground is in italy where pietro grasso is the leader. michele marcolini plays for f.c. bari 1908. michele marcolini plays for vicenza calcio</v>
      </c>
      <c r="C21" s="99" t="str">
        <f>IFERROR(__xludf.DUMMYFUNCTION("""COMPUTED_VALUE"""),"A.C._Lumezzane|manager|Michele_Marcolini ++ A.C._Lumezzane|ground|Italy ++ Italy|leader|Pietro_Grasso ++ Michele_Marcolini|club|F.C._Bari_1908 ++ Michele_Marcolini|club|Vicenza_Calcio")</f>
        <v>A.C._Lumezzane|manager|Michele_Marcolini ++ A.C._Lumezzane|ground|Italy ++ Italy|leader|Pietro_Grasso ++ Michele_Marcolini|club|F.C._Bari_1908 ++ Michele_Marcolini|club|Vicenza_Calcio</v>
      </c>
      <c r="D21" s="99" t="str">
        <f>IFERROR(__xludf.DUMMYFUNCTION("""COMPUTED_VALUE"""),"0.164")</f>
        <v>0.164</v>
      </c>
      <c r="E21" s="99" t="str">
        <f>IFERROR(__xludf.DUMMYFUNCTION("""COMPUTED_VALUE"""),"OK")</f>
        <v>OK</v>
      </c>
      <c r="F21" s="99" t="str">
        <f>IFERROR(__xludf.DUMMYFUNCTION("""COMPUTED_VALUE"""),"omission")</f>
        <v>omission</v>
      </c>
      <c r="G21" s="99" t="str">
        <f>IFERROR(__xludf.DUMMYFUNCTION("""COMPUTED_VALUE"""),"x")</f>
        <v>x</v>
      </c>
      <c r="H21" s="99"/>
      <c r="I21" s="99"/>
      <c r="J21" s="99"/>
      <c r="K21" s="99" t="str">
        <f>IFERROR(__xludf.DUMMYFUNCTION("""COMPUTED_VALUE"""),"x")</f>
        <v>x</v>
      </c>
      <c r="L21" s="99"/>
      <c r="M21" s="99"/>
      <c r="N21" s="99"/>
      <c r="O21" s="99" t="str">
        <f>IFERROR(__xludf.DUMMYFUNCTION("""COMPUTED_VALUE"""),"NLI wrongly has omission maybe because of 'where...'")</f>
        <v>NLI wrongly has omission maybe because of 'where...'</v>
      </c>
    </row>
    <row r="22">
      <c r="A22" s="99">
        <f>IFERROR(__xludf.DUMMYFUNCTION("""COMPUTED_VALUE"""),17.0)</f>
        <v>17</v>
      </c>
      <c r="B22" s="99" t="str">
        <f>IFERROR(__xludf.DUMMYFUNCTION("""COMPUTED_VALUE"""),"atlantic city, new jersey comes from the united states where the capital is washington, d.c.")</f>
        <v>atlantic city, new jersey comes from the united states where the capital is washington, d.c.</v>
      </c>
      <c r="C22" s="99" t="str">
        <f>IFERROR(__xludf.DUMMYFUNCTION("""COMPUTED_VALUE"""),"Atlantic_City,_New_Jersey|country|United_States ++ United_States|capital|Washington,_D.C.")</f>
        <v>Atlantic_City,_New_Jersey|country|United_States ++ United_States|capital|Washington,_D.C.</v>
      </c>
      <c r="D22" s="99" t="str">
        <f>IFERROR(__xludf.DUMMYFUNCTION("""COMPUTED_VALUE"""),"0.855")</f>
        <v>0.855</v>
      </c>
      <c r="E22" s="99" t="str">
        <f>IFERROR(__xludf.DUMMYFUNCTION("""COMPUTED_VALUE"""),"not OK")</f>
        <v>not OK</v>
      </c>
      <c r="F22" s="99" t="str">
        <f>IFERROR(__xludf.DUMMYFUNCTION("""COMPUTED_VALUE"""),"OK")</f>
        <v>OK</v>
      </c>
      <c r="G22" s="99" t="str">
        <f>IFERROR(__xludf.DUMMYFUNCTION("""COMPUTED_VALUE"""),"x")</f>
        <v>x</v>
      </c>
      <c r="H22" s="99"/>
      <c r="I22" s="99"/>
      <c r="J22" s="99"/>
      <c r="K22" s="99"/>
      <c r="L22" s="99"/>
      <c r="M22" s="99" t="str">
        <f>IFERROR(__xludf.DUMMYFUNCTION("""COMPUTED_VALUE"""),"x")</f>
        <v>x</v>
      </c>
      <c r="N22" s="99"/>
      <c r="O22" s="99" t="str">
        <f>IFERROR(__xludf.DUMMYFUNCTION("""COMPUTED_VALUE"""),"NLI wrongly has OK maybe because it accepts 'comes from' for country")</f>
        <v>NLI wrongly has OK maybe because it accepts 'comes from' for country</v>
      </c>
    </row>
    <row r="23">
      <c r="A23" s="99">
        <f>IFERROR(__xludf.DUMMYFUNCTION("""COMPUTED_VALUE"""),29.0)</f>
        <v>29</v>
      </c>
      <c r="B23" s="99" t="str">
        <f>IFERROR(__xludf.DUMMYFUNCTION("""COMPUTED_VALUE"""),"alfredo zitarrosa, milonga, was created by solo singer.")</f>
        <v>alfredo zitarrosa, milonga, was created by solo singer.</v>
      </c>
      <c r="C23" s="99" t="str">
        <f>IFERROR(__xludf.DUMMYFUNCTION("""COMPUTED_VALUE"""),"Alfredo_Zitarrosa|background|""solo_singer"" ++ Alfredo_Zitarrosa|genre|Milonga_(music)")</f>
        <v>Alfredo_Zitarrosa|background|"solo_singer" ++ Alfredo_Zitarrosa|genre|Milonga_(music)</v>
      </c>
      <c r="D23" s="99" t="str">
        <f>IFERROR(__xludf.DUMMYFUNCTION("""COMPUTED_VALUE"""),"0.906")</f>
        <v>0.906</v>
      </c>
      <c r="E23" s="99" t="str">
        <f>IFERROR(__xludf.DUMMYFUNCTION("""COMPUTED_VALUE"""),"not OK")</f>
        <v>not OK</v>
      </c>
      <c r="F23" s="99" t="str">
        <f>IFERROR(__xludf.DUMMYFUNCTION("""COMPUTED_VALUE"""),"OK")</f>
        <v>OK</v>
      </c>
      <c r="G23" s="99" t="str">
        <f>IFERROR(__xludf.DUMMYFUNCTION("""COMPUTED_VALUE"""),"x")</f>
        <v>x</v>
      </c>
      <c r="H23" s="99"/>
      <c r="I23" s="99"/>
      <c r="J23" s="99"/>
      <c r="K23" s="99"/>
      <c r="L23" s="99"/>
      <c r="M23" s="99" t="str">
        <f>IFERROR(__xludf.DUMMYFUNCTION("""COMPUTED_VALUE"""),"x")</f>
        <v>x</v>
      </c>
      <c r="N23" s="99"/>
      <c r="O23" s="99" t="str">
        <f>IFERROR(__xludf.DUMMYFUNCTION("""COMPUTED_VALUE"""),"should be omission (genre, background)")</f>
        <v>should be omission (genre, background)</v>
      </c>
    </row>
    <row r="24">
      <c r="A24" s="99">
        <f>IFERROR(__xludf.DUMMYFUNCTION("""COMPUTED_VALUE"""),44.0)</f>
        <v>44</v>
      </c>
      <c r="B24" s="99" t="str">
        <f>IFERROR(__xludf.DUMMYFUNCTION("""COMPUTED_VALUE"""),"caterpillar inc. is located in peoria, illinois. aidaluna is owned by aida cruises. caterpillar inc. was founded in united states douglas r. oberhelman is the key person for it.")</f>
        <v>caterpillar inc. is located in peoria, illinois. aidaluna is owned by aida cruises. caterpillar inc. was founded in united states douglas r. oberhelman is the key person for it.</v>
      </c>
      <c r="C24" s="99" t="str">
        <f>IFERROR(__xludf.DUMMYFUNCTION("""COMPUTED_VALUE"""),"Caterpillar_Inc.|keyPerson|Douglas_R._Oberhelman ++ Caterpillar_Inc.|foundationPlace|United_States ++ Caterpillar_Inc.|location|Peoria,_Illinois ++ AIDAluna|owner|AIDA_Cruises ++ AIDAluna|powerType|Caterpillar_Inc.")</f>
        <v>Caterpillar_Inc.|keyPerson|Douglas_R._Oberhelman ++ Caterpillar_Inc.|foundationPlace|United_States ++ Caterpillar_Inc.|location|Peoria,_Illinois ++ AIDAluna|owner|AIDA_Cruises ++ AIDAluna|powerType|Caterpillar_Inc.</v>
      </c>
      <c r="D24" s="99" t="str">
        <f>IFERROR(__xludf.DUMMYFUNCTION("""COMPUTED_VALUE"""),"0.543")</f>
        <v>0.543</v>
      </c>
      <c r="E24" s="99" t="str">
        <f>IFERROR(__xludf.DUMMYFUNCTION("""COMPUTED_VALUE"""),"not OK")</f>
        <v>not OK</v>
      </c>
      <c r="F24" s="99" t="str">
        <f>IFERROR(__xludf.DUMMYFUNCTION("""COMPUTED_VALUE"""),"OK")</f>
        <v>OK</v>
      </c>
      <c r="G24" s="99" t="str">
        <f>IFERROR(__xludf.DUMMYFUNCTION("""COMPUTED_VALUE"""),"x")</f>
        <v>x</v>
      </c>
      <c r="H24" s="99"/>
      <c r="I24" s="99"/>
      <c r="J24" s="99"/>
      <c r="K24" s="99"/>
      <c r="L24" s="99"/>
      <c r="M24" s="99" t="str">
        <f>IFERROR(__xludf.DUMMYFUNCTION("""COMPUTED_VALUE"""),"x")</f>
        <v>x</v>
      </c>
      <c r="N24" s="99"/>
      <c r="O24" s="99" t="str">
        <f>IFERROR(__xludf.DUMMYFUNCTION("""COMPUTED_VALUE"""),"should be omission (powerType)")</f>
        <v>should be omission (powerType)</v>
      </c>
    </row>
    <row r="25">
      <c r="A25" s="99">
        <f>IFERROR(__xludf.DUMMYFUNCTION("""COMPUTED_VALUE"""),41.0)</f>
        <v>41</v>
      </c>
      <c r="B25" s="99" t="str">
        <f>IFERROR(__xludf.DUMMYFUNCTION("""COMPUTED_VALUE"""),"twilight (band) is a black metal aaron turner associatedband/associatedmusicalartist twilight (band) aaron turner associatedband/associatedmusicalartist old man gloom aaron turner instrument electric guitar black metal musicfusiongenre death metal")</f>
        <v>twilight (band) is a black metal aaron turner associatedband/associatedmusicalartist twilight (band) aaron turner associatedband/associatedmusicalartist old man gloom aaron turner instrument electric guitar black metal musicfusiongenre death metal</v>
      </c>
      <c r="C25" s="99" t="str">
        <f>IFERROR(__xludf.DUMMYFUNCTION("""COMPUTED_VALUE"""),"Twilight_(band)|genre|Black_metal ++ Aaron_Turner|associatedBand/associatedMusicalArtist|Twilight_(band) ++ Aaron_Turner|associatedBand/associatedMusicalArtist|Old_Man_Gloom ++ Aaron_Turner|instrument|Electric_guitar ++ Black_metal|musicFusionGenre|Death_"&amp;"metal")</f>
        <v>Twilight_(band)|genre|Black_metal ++ Aaron_Turner|associatedBand/associatedMusicalArtist|Twilight_(band) ++ Aaron_Turner|associatedBand/associatedMusicalArtist|Old_Man_Gloom ++ Aaron_Turner|instrument|Electric_guitar ++ Black_metal|musicFusionGenre|Death_metal</v>
      </c>
      <c r="D25" s="99" t="str">
        <f>IFERROR(__xludf.DUMMYFUNCTION("""COMPUTED_VALUE"""),"0.793")</f>
        <v>0.793</v>
      </c>
      <c r="E25" s="99" t="str">
        <f>IFERROR(__xludf.DUMMYFUNCTION("""COMPUTED_VALUE"""),"not OK")</f>
        <v>not OK</v>
      </c>
      <c r="F25" s="99" t="str">
        <f>IFERROR(__xludf.DUMMYFUNCTION("""COMPUTED_VALUE"""),"OK")</f>
        <v>OK</v>
      </c>
      <c r="G25" s="99" t="str">
        <f>IFERROR(__xludf.DUMMYFUNCTION("""COMPUTED_VALUE"""),"x")</f>
        <v>x</v>
      </c>
      <c r="H25" s="99"/>
      <c r="I25" s="99"/>
      <c r="J25" s="99" t="str">
        <f>IFERROR(__xludf.DUMMYFUNCTION("""COMPUTED_VALUE"""),"x")</f>
        <v>x</v>
      </c>
      <c r="K25" s="99"/>
      <c r="L25" s="99"/>
      <c r="M25" s="99" t="str">
        <f>IFERROR(__xludf.DUMMYFUNCTION("""COMPUTED_VALUE"""),"x")</f>
        <v>x</v>
      </c>
      <c r="N25" s="99"/>
      <c r="O25" s="99" t="str">
        <f>IFERROR(__xludf.DUMMYFUNCTION("""COMPUTED_VALUE"""),"NLI fooled by poor templates? problem is absence of proper realisation")</f>
        <v>NLI fooled by poor templates? problem is absence of proper realisation</v>
      </c>
    </row>
    <row r="26">
      <c r="A26" s="99">
        <f>IFERROR(__xludf.DUMMYFUNCTION("""COMPUTED_VALUE"""),20.0)</f>
        <v>20</v>
      </c>
      <c r="B26" s="99" t="str">
        <f>IFERROR(__xludf.DUMMYFUNCTION("""COMPUTED_VALUE"""),"the english language is spoken in great britain and the united states where native americans are an ethnic group . a loyal character dancer is published in the united states by soho press .")</f>
        <v>the english language is spoken in great britain and the united states where native americans are an ethnic group . a loyal character dancer is published in the united states by soho press .</v>
      </c>
      <c r="C26" s="99" t="str">
        <f>IFERROR(__xludf.DUMMYFUNCTION("""COMPUTED_VALUE"""),"English_language|spokenIn|Great_Britain ++ A_Loyal_Character_Dancer|publisher|Soho_Press ++ A_Loyal_Character_Dancer|country|United_States ++ United_States|ethnicGroup|Native_Americans_in_the_United_States ++ United_States|language|English_language")</f>
        <v>English_language|spokenIn|Great_Britain ++ A_Loyal_Character_Dancer|publisher|Soho_Press ++ A_Loyal_Character_Dancer|country|United_States ++ United_States|ethnicGroup|Native_Americans_in_the_United_States ++ United_States|language|English_language</v>
      </c>
      <c r="D26" s="99" t="str">
        <f>IFERROR(__xludf.DUMMYFUNCTION("""COMPUTED_VALUE"""),"0.810")</f>
        <v>0.810</v>
      </c>
      <c r="E26" s="99" t="str">
        <f>IFERROR(__xludf.DUMMYFUNCTION("""COMPUTED_VALUE"""),"not OK")</f>
        <v>not OK</v>
      </c>
      <c r="F26" s="99" t="str">
        <f>IFERROR(__xludf.DUMMYFUNCTION("""COMPUTED_VALUE"""),"OK")</f>
        <v>OK</v>
      </c>
      <c r="G26" s="99"/>
      <c r="H26" s="99" t="str">
        <f>IFERROR(__xludf.DUMMYFUNCTION("""COMPUTED_VALUE"""),"x")</f>
        <v>x</v>
      </c>
      <c r="I26" s="99"/>
      <c r="J26" s="99"/>
      <c r="K26" s="99"/>
      <c r="L26" s="99"/>
      <c r="M26" s="99"/>
      <c r="N26" s="99" t="str">
        <f>IFERROR(__xludf.DUMMYFUNCTION("""COMPUTED_VALUE"""),"x")</f>
        <v>x</v>
      </c>
      <c r="O26" s="99" t="str">
        <f>IFERROR(__xludf.DUMMYFUNCTION("""COMPUTED_VALUE"""),"gold has not OK maybe because both spokenIn and language are realised by 'spoken in'")</f>
        <v>gold has not OK maybe because both spokenIn and language are realised by 'spoken in'</v>
      </c>
    </row>
    <row r="27">
      <c r="A27" s="99">
        <f>IFERROR(__xludf.DUMMYFUNCTION("""COMPUTED_VALUE"""),85.0)</f>
        <v>85</v>
      </c>
      <c r="B27" s="99" t="str">
        <f>IFERROR(__xludf.DUMMYFUNCTION("""COMPUTED_VALUE"""),"the school of business and social sciences at the aarhus university is located in the city of aarhus which has a magistrate government. it is affiliated with the european university association which has its headquarters in brussels. aarhus has mols to it"&amp;"s northeast and mols is to the northeast of aarhus.")</f>
        <v>the school of business and social sciences at the aarhus university is located in the city of aarhus which has a magistrate government. it is affiliated with the european university association which has its headquarters in brussels. aarhus has mols to its northeast and mols is to the northeast of aarhus.</v>
      </c>
      <c r="C27" s="99" t="str">
        <f>IFERROR(__xludf.DUMMYFUNCTION("""COMPUTED_VALUE"""),"School of Business and Social Sciences at the Aarhus University|city|Aarhus ++ European_University_Association|headquarters|Brussels ++ Aarhus|has to its northeast|Mols ++ School of Business and Social Sciences at the Aarhus University|affiliation|Europea"&amp;"n_University_Association ++ Aarhus|governmentType|Magistrate")</f>
        <v>School of Business and Social Sciences at the Aarhus University|city|Aarhus ++ European_University_Association|headquarters|Brussels ++ Aarhus|has to its northeast|Mols ++ School of Business and Social Sciences at the Aarhus University|affiliation|European_University_Association ++ Aarhus|governmentType|Magistrate</v>
      </c>
      <c r="D27" s="99" t="str">
        <f>IFERROR(__xludf.DUMMYFUNCTION("""COMPUTED_VALUE"""),"0.841")</f>
        <v>0.841</v>
      </c>
      <c r="E27" s="99" t="str">
        <f>IFERROR(__xludf.DUMMYFUNCTION("""COMPUTED_VALUE"""),"not OK")</f>
        <v>not OK</v>
      </c>
      <c r="F27" s="99" t="str">
        <f>IFERROR(__xludf.DUMMYFUNCTION("""COMPUTED_VALUE"""),"OK")</f>
        <v>OK</v>
      </c>
      <c r="G27" s="99" t="str">
        <f>IFERROR(__xludf.DUMMYFUNCTION("""COMPUTED_VALUE"""),"x")</f>
        <v>x</v>
      </c>
      <c r="H27" s="99"/>
      <c r="I27" s="99"/>
      <c r="J27" s="99"/>
      <c r="K27" s="99"/>
      <c r="L27" s="99"/>
      <c r="M27" s="99" t="str">
        <f>IFERROR(__xludf.DUMMYFUNCTION("""COMPUTED_VALUE"""),"x")</f>
        <v>x</v>
      </c>
      <c r="N27" s="99"/>
      <c r="O27" s="99" t="str">
        <f>IFERROR(__xludf.DUMMYFUNCTION("""COMPUTED_VALUE"""),"double realisation of the has to its northeast predicate")</f>
        <v>double realisation of the has to its northeast predicate</v>
      </c>
    </row>
    <row r="28">
      <c r="A28" s="99">
        <f>IFERROR(__xludf.DUMMYFUNCTION("""COMPUTED_VALUE"""),71.0)</f>
        <v>71</v>
      </c>
      <c r="B28" s="99" t="str">
        <f>IFERROR(__xludf.DUMMYFUNCTION("""COMPUTED_VALUE"""),"bhajji has different names including : bhaji or bajji. bhajji is karnataka and uses gram flour. it is gram flour and vegetables and can be found in india.")</f>
        <v>bhajji has different names including : bhaji or bajji. bhajji is karnataka and uses gram flour. it is gram flour and vegetables and can be found in india.</v>
      </c>
      <c r="C28" s="99" t="str">
        <f>IFERROR(__xludf.DUMMYFUNCTION("""COMPUTED_VALUE"""),"Bhajji|country|India ++ Bhajji|region|Karnataka ++ Bhajji|mainIngredients|""Gram flour, vegetables"" ++ Bhajji|alternativeName|""Bhaji, bajji"" ++ Bhajji|ingredient|Gram_flour")</f>
        <v>Bhajji|country|India ++ Bhajji|region|Karnataka ++ Bhajji|mainIngredients|"Gram flour, vegetables" ++ Bhajji|alternativeName|"Bhaji, bajji" ++ Bhajji|ingredient|Gram_flour</v>
      </c>
      <c r="D28" s="99" t="str">
        <f>IFERROR(__xludf.DUMMYFUNCTION("""COMPUTED_VALUE"""),"0.928")</f>
        <v>0.928</v>
      </c>
      <c r="E28" s="99" t="str">
        <f>IFERROR(__xludf.DUMMYFUNCTION("""COMPUTED_VALUE"""),"not OK")</f>
        <v>not OK</v>
      </c>
      <c r="F28" s="99" t="str">
        <f>IFERROR(__xludf.DUMMYFUNCTION("""COMPUTED_VALUE"""),"OK")</f>
        <v>OK</v>
      </c>
      <c r="G28" s="99" t="str">
        <f>IFERROR(__xludf.DUMMYFUNCTION("""COMPUTED_VALUE"""),"x")</f>
        <v>x</v>
      </c>
      <c r="H28" s="99"/>
      <c r="I28" s="99"/>
      <c r="J28" s="99" t="str">
        <f>IFERROR(__xludf.DUMMYFUNCTION("""COMPUTED_VALUE"""),"x")</f>
        <v>x</v>
      </c>
      <c r="K28" s="99"/>
      <c r="L28" s="99" t="str">
        <f>IFERROR(__xludf.DUMMYFUNCTION("""COMPUTED_VALUE"""),"x")</f>
        <v>x</v>
      </c>
      <c r="M28" s="99" t="str">
        <f>IFERROR(__xludf.DUMMYFUNCTION("""COMPUTED_VALUE"""),"x")</f>
        <v>x</v>
      </c>
      <c r="N28" s="99"/>
      <c r="O28" s="99" t="str">
        <f>IFERROR(__xludf.DUMMYFUNCTION("""COMPUTED_VALUE"""),"bhaji is karnataka' instead of e.g. 'bhaji is from Karnataka'")</f>
        <v>bhaji is karnataka' instead of e.g. 'bhaji is from Karnataka'</v>
      </c>
    </row>
    <row r="29">
      <c r="A29" s="99">
        <f>IFERROR(__xludf.DUMMYFUNCTION("""COMPUTED_VALUE"""),88.0)</f>
        <v>88</v>
      </c>
      <c r="B29" s="99" t="str">
        <f>IFERROR(__xludf.DUMMYFUNCTION("""COMPUTED_VALUE"""),"al asad airbase is operated by the united states air force and fought in the invasion of grenada. the mcdonnell douglas f-15 eagle is an aircraft fighter in the united states air force.")</f>
        <v>al asad airbase is operated by the united states air force and fought in the invasion of grenada. the mcdonnell douglas f-15 eagle is an aircraft fighter in the united states air force.</v>
      </c>
      <c r="C29" s="99" t="str">
        <f>IFERROR(__xludf.DUMMYFUNCTION("""COMPUTED_VALUE"""),"Al_Asad_Airbase|operatingOrganisation|United_States_Air_Force ++ United_States_Air_Force|battles|Invasion_of_Grenada ++ United_States_Air_Force|aircraftFighter|McDonnell_Douglas_F-15_Eagle")</f>
        <v>Al_Asad_Airbase|operatingOrganisation|United_States_Air_Force ++ United_States_Air_Force|battles|Invasion_of_Grenada ++ United_States_Air_Force|aircraftFighter|McDonnell_Douglas_F-15_Eagle</v>
      </c>
      <c r="D29" s="99" t="str">
        <f>IFERROR(__xludf.DUMMYFUNCTION("""COMPUTED_VALUE"""),"0.986")</f>
        <v>0.986</v>
      </c>
      <c r="E29" s="99" t="str">
        <f>IFERROR(__xludf.DUMMYFUNCTION("""COMPUTED_VALUE"""),"not OK")</f>
        <v>not OK</v>
      </c>
      <c r="F29" s="99" t="str">
        <f>IFERROR(__xludf.DUMMYFUNCTION("""COMPUTED_VALUE"""),"OK")</f>
        <v>OK</v>
      </c>
      <c r="G29" s="99" t="str">
        <f>IFERROR(__xludf.DUMMYFUNCTION("""COMPUTED_VALUE"""),"x")</f>
        <v>x</v>
      </c>
      <c r="H29" s="99"/>
      <c r="I29" s="99"/>
      <c r="J29" s="99"/>
      <c r="K29" s="99"/>
      <c r="L29" s="99"/>
      <c r="M29" s="99" t="str">
        <f>IFERROR(__xludf.DUMMYFUNCTION("""COMPUTED_VALUE"""),"x")</f>
        <v>x</v>
      </c>
      <c r="N29" s="99"/>
      <c r="O29" s="99" t="str">
        <f>IFERROR(__xludf.DUMMYFUNCTION("""COMPUTED_VALUE"""),"should be h+o - battles predicate partially omitted (subject should be 'US airforce' but is 'al asad airbase')")</f>
        <v>should be h+o - battles predicate partially omitted (subject should be 'US airforce' but is 'al asad airbase')</v>
      </c>
    </row>
    <row r="30">
      <c r="A30" s="99">
        <f>IFERROR(__xludf.DUMMYFUNCTION("""COMPUTED_VALUE"""),37.0)</f>
        <v>37</v>
      </c>
      <c r="B30" s="99" t="str">
        <f>IFERROR(__xludf.DUMMYFUNCTION("""COMPUTED_VALUE"""),"adare manor is located in adare. adare manor is located in county limerick which is part of munster. county limerick is governed by the limerick city and county council.")</f>
        <v>adare manor is located in adare. adare manor is located in county limerick which is part of munster. county limerick is governed by the limerick city and county council.</v>
      </c>
      <c r="C30" s="99" t="str">
        <f>IFERROR(__xludf.DUMMYFUNCTION("""COMPUTED_VALUE"""),"Adare_Manor|location|Adare ++ County_Limerick|isPartOf|Munster ++ Adare_Manor|location|County_Limerick ++ County_Limerick|governmentType|Limerick_City_and_County_Council")</f>
        <v>Adare_Manor|location|Adare ++ County_Limerick|isPartOf|Munster ++ Adare_Manor|location|County_Limerick ++ County_Limerick|governmentType|Limerick_City_and_County_Council</v>
      </c>
      <c r="D30" s="99" t="str">
        <f>IFERROR(__xludf.DUMMYFUNCTION("""COMPUTED_VALUE"""),"0.276")</f>
        <v>0.276</v>
      </c>
      <c r="E30" s="99" t="str">
        <f>IFERROR(__xludf.DUMMYFUNCTION("""COMPUTED_VALUE"""),"OK")</f>
        <v>OK</v>
      </c>
      <c r="F30" s="99" t="str">
        <f>IFERROR(__xludf.DUMMYFUNCTION("""COMPUTED_VALUE"""),"omission")</f>
        <v>omission</v>
      </c>
      <c r="G30" s="99" t="str">
        <f>IFERROR(__xludf.DUMMYFUNCTION("""COMPUTED_VALUE"""),"x")</f>
        <v>x</v>
      </c>
      <c r="H30" s="99"/>
      <c r="I30" s="99"/>
      <c r="J30" s="99"/>
      <c r="K30" s="99" t="str">
        <f>IFERROR(__xludf.DUMMYFUNCTION("""COMPUTED_VALUE"""),"x")</f>
        <v>x</v>
      </c>
      <c r="L30" s="99"/>
      <c r="M30" s="99"/>
      <c r="N30" s="99"/>
      <c r="O30" s="99" t="str">
        <f>IFERROR(__xludf.DUMMYFUNCTION("""COMPUTED_VALUE"""),"NLI wrongly has omission, unclear why")</f>
        <v>NLI wrongly has omission, unclear why</v>
      </c>
    </row>
    <row r="31">
      <c r="A31" s="99">
        <f>IFERROR(__xludf.DUMMYFUNCTION("""COMPUTED_VALUE"""),2.0)</f>
        <v>2</v>
      </c>
      <c r="B31" s="99" t="str">
        <f>IFERROR(__xludf.DUMMYFUNCTION("""COMPUTED_VALUE"""),"the awh engineering college is located in kuttikkattoor, kerala. it was established in 2001 and it has 250 academic staff. kerala has mahe, country to its northwest.")</f>
        <v>the awh engineering college is located in kuttikkattoor, kerala. it was established in 2001 and it has 250 academic staff. kerala has mahe, country to its northwest.</v>
      </c>
      <c r="C31" s="99" t="str">
        <f>IFERROR(__xludf.DUMMYFUNCTION("""COMPUTED_VALUE"""),"AWH_Engineering_College|established|2001 ++ AWH_Engineering_College|academicStaffSize|250 ++ AWH_Engineering_College|state|Kerala ++ Kerala|has to its northwest|Mahé,_India ++ AWH_Engineering_College|city|""Kuttikkattoor""")</f>
        <v>AWH_Engineering_College|established|2001 ++ AWH_Engineering_College|academicStaffSize|250 ++ AWH_Engineering_College|state|Kerala ++ Kerala|has to its northwest|Mahé,_India ++ AWH_Engineering_College|city|"Kuttikkattoor"</v>
      </c>
      <c r="D31" s="99" t="str">
        <f>IFERROR(__xludf.DUMMYFUNCTION("""COMPUTED_VALUE"""),"0.838")</f>
        <v>0.838</v>
      </c>
      <c r="E31" s="99" t="str">
        <f>IFERROR(__xludf.DUMMYFUNCTION("""COMPUTED_VALUE"""),"not OK")</f>
        <v>not OK</v>
      </c>
      <c r="F31" s="99" t="str">
        <f>IFERROR(__xludf.DUMMYFUNCTION("""COMPUTED_VALUE"""),"OK")</f>
        <v>OK</v>
      </c>
      <c r="G31" s="99" t="str">
        <f>IFERROR(__xludf.DUMMYFUNCTION("""COMPUTED_VALUE"""),"x")</f>
        <v>x</v>
      </c>
      <c r="H31" s="99"/>
      <c r="I31" s="99"/>
      <c r="J31" s="99"/>
      <c r="K31" s="99"/>
      <c r="L31" s="99"/>
      <c r="M31" s="99" t="str">
        <f>IFERROR(__xludf.DUMMYFUNCTION("""COMPUTED_VALUE"""),"x")</f>
        <v>x</v>
      </c>
      <c r="N31" s="99"/>
      <c r="O31" s="99" t="str">
        <f>IFERROR(__xludf.DUMMYFUNCTION("""COMPUTED_VALUE"""),"should be omission ('India')")</f>
        <v>should be omission ('India')</v>
      </c>
    </row>
    <row r="32">
      <c r="A32" s="99">
        <f>IFERROR(__xludf.DUMMYFUNCTION("""COMPUTED_VALUE"""),98.0)</f>
        <v>98</v>
      </c>
      <c r="B32" s="99" t="str">
        <f>IFERROR(__xludf.DUMMYFUNCTION("""COMPUTED_VALUE""")," a severed wasp ' originates from united states, where the language is english. english is spoken in great britain. washington dc is the capital of it. native americans live in here.")</f>
        <v> a severed wasp ' originates from united states, where the language is english. english is spoken in great britain. washington dc is the capital of it. native americans live in here.</v>
      </c>
      <c r="C32" s="99" t="str">
        <f>IFERROR(__xludf.DUMMYFUNCTION("""COMPUTED_VALUE"""),"English_language|spokenIn|Great_Britain ++ United_States|language|English_language ++ United_States|capital|Washington,_D.C. ++ A_Severed_Wasp|country|United_States ++ United_States|ethnicGroup|Native_Americans_in_the_United_States")</f>
        <v>English_language|spokenIn|Great_Britain ++ United_States|language|English_language ++ United_States|capital|Washington,_D.C. ++ A_Severed_Wasp|country|United_States ++ United_States|ethnicGroup|Native_Americans_in_the_United_States</v>
      </c>
      <c r="D32" s="99" t="str">
        <f>IFERROR(__xludf.DUMMYFUNCTION("""COMPUTED_VALUE"""),"0.481")</f>
        <v>0.481</v>
      </c>
      <c r="E32" s="99" t="str">
        <f>IFERROR(__xludf.DUMMYFUNCTION("""COMPUTED_VALUE"""),"OK")</f>
        <v>OK</v>
      </c>
      <c r="F32" s="99" t="str">
        <f>IFERROR(__xludf.DUMMYFUNCTION("""COMPUTED_VALUE"""),"omission")</f>
        <v>omission</v>
      </c>
      <c r="G32" s="99" t="str">
        <f>IFERROR(__xludf.DUMMYFUNCTION("""COMPUTED_VALUE"""),"x")</f>
        <v>x</v>
      </c>
      <c r="H32" s="99"/>
      <c r="I32" s="99"/>
      <c r="J32" s="99"/>
      <c r="K32" s="99" t="str">
        <f>IFERROR(__xludf.DUMMYFUNCTION("""COMPUTED_VALUE"""),"x")</f>
        <v>x</v>
      </c>
      <c r="L32" s="99"/>
      <c r="M32" s="99"/>
      <c r="N32" s="99"/>
      <c r="O32" s="99" t="str">
        <f>IFERROR(__xludf.DUMMYFUNCTION("""COMPUTED_VALUE"""),"NLI wrongly has omission maybe because of elided subjects and objects")</f>
        <v>NLI wrongly has omission maybe because of elided subjects and objects</v>
      </c>
    </row>
    <row r="33">
      <c r="A33" s="99">
        <f>IFERROR(__xludf.DUMMYFUNCTION("""COMPUTED_VALUE"""),25.0)</f>
        <v>25</v>
      </c>
      <c r="B33" s="99" t="str">
        <f>IFERROR(__xludf.DUMMYFUNCTION("""COMPUTED_VALUE"""),"binignit is a type of dessert with the ingredient sago , a cookie is also a dessert .")</f>
        <v>binignit is a type of dessert with the ingredient sago , a cookie is also a dessert .</v>
      </c>
      <c r="C33" s="99" t="str">
        <f>IFERROR(__xludf.DUMMYFUNCTION("""COMPUTED_VALUE"""),"Binignit|ingredient|Sago ++ Binignit|course|Dessert ++ Dessert|dishVariation|Cookie")</f>
        <v>Binignit|ingredient|Sago ++ Binignit|course|Dessert ++ Dessert|dishVariation|Cookie</v>
      </c>
      <c r="D33" s="99" t="str">
        <f>IFERROR(__xludf.DUMMYFUNCTION("""COMPUTED_VALUE"""),"0.114")</f>
        <v>0.114</v>
      </c>
      <c r="E33" s="99" t="str">
        <f>IFERROR(__xludf.DUMMYFUNCTION("""COMPUTED_VALUE"""),"OK")</f>
        <v>OK</v>
      </c>
      <c r="F33" s="99" t="str">
        <f>IFERROR(__xludf.DUMMYFUNCTION("""COMPUTED_VALUE"""),"omission")</f>
        <v>omission</v>
      </c>
      <c r="G33" s="99" t="str">
        <f>IFERROR(__xludf.DUMMYFUNCTION("""COMPUTED_VALUE"""),"x")</f>
        <v>x</v>
      </c>
      <c r="H33" s="99"/>
      <c r="I33" s="99"/>
      <c r="J33" s="99"/>
      <c r="K33" s="99"/>
      <c r="L33" s="99"/>
      <c r="M33" s="99"/>
      <c r="N33" s="99"/>
      <c r="O33" s="99" t="str">
        <f>IFERROR(__xludf.DUMMYFUNCTION("""COMPUTED_VALUE"""),"NLI wrongly has omission maybe because it doesn't consider 'is a' a valid realisation of dishVariation; could go either way")</f>
        <v>NLI wrongly has omission maybe because it doesn't consider 'is a' a valid realisation of dishVariation; could go either way</v>
      </c>
    </row>
    <row r="34">
      <c r="A34" s="99">
        <f>IFERROR(__xludf.DUMMYFUNCTION("""COMPUTED_VALUE"""),45.0)</f>
        <v>45</v>
      </c>
      <c r="B34" s="99" t="str">
        <f>IFERROR(__xludf.DUMMYFUNCTION("""COMPUTED_VALUE"""),"school of business and social sciences at the aarhus university is located in the city of aarhus. school of business and social sciences at the aarhus university in denmark school of business and social sciences at the aarhus university was established in"&amp;" 1928.")</f>
        <v>school of business and social sciences at the aarhus university is located in the city of aarhus. school of business and social sciences at the aarhus university in denmark school of business and social sciences at the aarhus university was established in 1928.</v>
      </c>
      <c r="C34" s="99" t="str">
        <f>IFERROR(__xludf.DUMMYFUNCTION("""COMPUTED_VALUE"""),"School of Business and Social Sciences at the Aarhus University|city|Aarhus ++ School of Business and Social Sciences at the Aarhus University|country|Denmark ++ School of Business and Social Sciences at the Aarhus University|established|1928")</f>
        <v>School of Business and Social Sciences at the Aarhus University|city|Aarhus ++ School of Business and Social Sciences at the Aarhus University|country|Denmark ++ School of Business and Social Sciences at the Aarhus University|established|1928</v>
      </c>
      <c r="D34" s="99" t="str">
        <f>IFERROR(__xludf.DUMMYFUNCTION("""COMPUTED_VALUE"""),"0.934")</f>
        <v>0.934</v>
      </c>
      <c r="E34" s="99" t="str">
        <f>IFERROR(__xludf.DUMMYFUNCTION("""COMPUTED_VALUE"""),"not OK")</f>
        <v>not OK</v>
      </c>
      <c r="F34" s="99" t="str">
        <f>IFERROR(__xludf.DUMMYFUNCTION("""COMPUTED_VALUE"""),"OK")</f>
        <v>OK</v>
      </c>
      <c r="G34" s="99"/>
      <c r="H34" s="99" t="str">
        <f>IFERROR(__xludf.DUMMYFUNCTION("""COMPUTED_VALUE"""),"x")</f>
        <v>x</v>
      </c>
      <c r="I34" s="99"/>
      <c r="J34" s="99"/>
      <c r="K34" s="99"/>
      <c r="L34" s="99" t="str">
        <f>IFERROR(__xludf.DUMMYFUNCTION("""COMPUTED_VALUE"""),"x")</f>
        <v>x</v>
      </c>
      <c r="M34" s="99"/>
      <c r="N34" s="99" t="str">
        <f>IFERROR(__xludf.DUMMYFUNCTION("""COMPUTED_VALUE"""),"x")</f>
        <v>x</v>
      </c>
      <c r="O34" s="99" t="str">
        <f>IFERROR(__xludf.DUMMYFUNCTION("""COMPUTED_VALUE"""),"gold maybe fooled by poor grammar/fluency")</f>
        <v>gold maybe fooled by poor grammar/fluency</v>
      </c>
    </row>
    <row r="35">
      <c r="A35" s="99">
        <f>IFERROR(__xludf.DUMMYFUNCTION("""COMPUTED_VALUE"""),6.0)</f>
        <v>6</v>
      </c>
      <c r="B35" s="99" t="str">
        <f>IFERROR(__xludf.DUMMYFUNCTION("""COMPUTED_VALUE"""),"baku is the capital of azerbaijan where the leader is artur rasizade and the capital is baku. the baku turkish martyrs ' memorial is located in azerbaijan.")</f>
        <v>baku is the capital of azerbaijan where the leader is artur rasizade and the capital is baku. the baku turkish martyrs ' memorial is located in azerbaijan.</v>
      </c>
      <c r="C35" s="99" t="str">
        <f>IFERROR(__xludf.DUMMYFUNCTION("""COMPUTED_VALUE"""),"Azerbaijan|capital|Baku ++ Azerbaijan|leaderTitle|Prime_Minister_of_Azerbaijan ++ Baku_Turkish_Martyrs'_Memorial|location|Azerbaijan ++ Azerbaijan|leaderName|Artur_Rasizade")</f>
        <v>Azerbaijan|capital|Baku ++ Azerbaijan|leaderTitle|Prime_Minister_of_Azerbaijan ++ Baku_Turkish_Martyrs'_Memorial|location|Azerbaijan ++ Azerbaijan|leaderName|Artur_Rasizade</v>
      </c>
      <c r="D35" s="99" t="str">
        <f>IFERROR(__xludf.DUMMYFUNCTION("""COMPUTED_VALUE"""),"0.125")</f>
        <v>0.125</v>
      </c>
      <c r="E35" s="99" t="str">
        <f>IFERROR(__xludf.DUMMYFUNCTION("""COMPUTED_VALUE"""),"OK")</f>
        <v>OK</v>
      </c>
      <c r="F35" s="99" t="str">
        <f>IFERROR(__xludf.DUMMYFUNCTION("""COMPUTED_VALUE"""),"omission")</f>
        <v>omission</v>
      </c>
      <c r="G35" s="99"/>
      <c r="H35" s="99" t="str">
        <f>IFERROR(__xludf.DUMMYFUNCTION("""COMPUTED_VALUE"""),"x")</f>
        <v>x</v>
      </c>
      <c r="I35" s="99"/>
      <c r="J35" s="99"/>
      <c r="K35" s="99"/>
      <c r="L35" s="99"/>
      <c r="M35" s="99" t="str">
        <f>IFERROR(__xludf.DUMMYFUNCTION("""COMPUTED_VALUE"""),"x")</f>
        <v>x</v>
      </c>
      <c r="N35" s="99"/>
      <c r="O35" s="99" t="str">
        <f>IFERROR(__xludf.DUMMYFUNCTION("""COMPUTED_VALUE"""),"should be hallucination+omission because leaderTitle is missing and capital is repeated")</f>
        <v>should be hallucination+omission because leaderTitle is missing and capital is repeated</v>
      </c>
    </row>
    <row r="36">
      <c r="A36" s="99">
        <f>IFERROR(__xludf.DUMMYFUNCTION("""COMPUTED_VALUE"""),79.0)</f>
        <v>79</v>
      </c>
      <c r="B36" s="99" t="str">
        <f>IFERROR(__xludf.DUMMYFUNCTION("""COMPUTED_VALUE"""),"auburn is part of pierce county, washington. auburn, washington is in united states auburn is part of king county, washington. auburn, washington has a population density of 914.8 inhabitants per square kilometre. auburn, washington has a total area of 77"&amp;".41 (square kilometres)")</f>
        <v>auburn is part of pierce county, washington. auburn, washington is in united states auburn is part of king county, washington. auburn, washington has a population density of 914.8 inhabitants per square kilometre. auburn, washington has a total area of 77.41 (square kilometres)</v>
      </c>
      <c r="C36" s="99" t="str">
        <f>IFERROR(__xludf.DUMMYFUNCTION("""COMPUTED_VALUE"""),"Auburn,_Washington|isPartOf|Pierce_County,_Washington ++ Auburn,_Washington|country|United_States ++ Auburn,_Washington|isPartOf|King_County,_Washington ++ Auburn,_Washington|populationDensity|914.8 (inhabitants per square kilometre) ++ Auburn,_Washington"&amp;"|areaTotal|77.41 (square kilometres)")</f>
        <v>Auburn,_Washington|isPartOf|Pierce_County,_Washington ++ Auburn,_Washington|country|United_States ++ Auburn,_Washington|isPartOf|King_County,_Washington ++ Auburn,_Washington|populationDensity|914.8 (inhabitants per square kilometre) ++ Auburn,_Washington|areaTotal|77.41 (square kilometres)</v>
      </c>
      <c r="D36" s="99" t="str">
        <f>IFERROR(__xludf.DUMMYFUNCTION("""COMPUTED_VALUE"""),"0.425")</f>
        <v>0.425</v>
      </c>
      <c r="E36" s="99" t="str">
        <f>IFERROR(__xludf.DUMMYFUNCTION("""COMPUTED_VALUE"""),"OK")</f>
        <v>OK</v>
      </c>
      <c r="F36" s="99" t="str">
        <f>IFERROR(__xludf.DUMMYFUNCTION("""COMPUTED_VALUE"""),"omission")</f>
        <v>omission</v>
      </c>
      <c r="G36" s="99" t="str">
        <f>IFERROR(__xludf.DUMMYFUNCTION("""COMPUTED_VALUE"""),"x")</f>
        <v>x</v>
      </c>
      <c r="H36" s="99"/>
      <c r="I36" s="99"/>
      <c r="J36" s="99"/>
      <c r="K36" s="99"/>
      <c r="L36" s="99"/>
      <c r="M36" s="99"/>
      <c r="N36" s="99"/>
      <c r="O36" s="99" t="str">
        <f>IFERROR(__xludf.DUMMYFUNCTION("""COMPUTED_VALUE"""),"NLI wrongly has omission, unclear why")</f>
        <v>NLI wrongly has omission, unclear why</v>
      </c>
    </row>
    <row r="37">
      <c r="A37" s="99">
        <f>IFERROR(__xludf.DUMMYFUNCTION("""COMPUTED_VALUE"""),5.0)</f>
        <v>5</v>
      </c>
      <c r="B37" s="99" t="str">
        <f>IFERROR(__xludf.DUMMYFUNCTION("""COMPUTED_VALUE"""),"the leader of azerbaijan is called the prime minister.")</f>
        <v>the leader of azerbaijan is called the prime minister.</v>
      </c>
      <c r="C37" s="99" t="str">
        <f>IFERROR(__xludf.DUMMYFUNCTION("""COMPUTED_VALUE"""),"Azerbaijan|leaderTitle|Prime_Minister_of_Azerbaijan")</f>
        <v>Azerbaijan|leaderTitle|Prime_Minister_of_Azerbaijan</v>
      </c>
      <c r="D37" s="99" t="str">
        <f>IFERROR(__xludf.DUMMYFUNCTION("""COMPUTED_VALUE"""),"0.973")</f>
        <v>0.973</v>
      </c>
      <c r="E37" s="99" t="str">
        <f>IFERROR(__xludf.DUMMYFUNCTION("""COMPUTED_VALUE"""),"not OK")</f>
        <v>not OK</v>
      </c>
      <c r="F37" s="99" t="str">
        <f>IFERROR(__xludf.DUMMYFUNCTION("""COMPUTED_VALUE"""),"OK")</f>
        <v>OK</v>
      </c>
      <c r="G37" s="99"/>
      <c r="H37" s="99" t="str">
        <f>IFERROR(__xludf.DUMMYFUNCTION("""COMPUTED_VALUE"""),"x")</f>
        <v>x</v>
      </c>
      <c r="I37" s="99"/>
      <c r="J37" s="99"/>
      <c r="K37" s="99"/>
      <c r="L37" s="99"/>
      <c r="M37" s="99"/>
      <c r="N37" s="99" t="str">
        <f>IFERROR(__xludf.DUMMYFUNCTION("""COMPUTED_VALUE"""),"x")</f>
        <v>x</v>
      </c>
      <c r="O37" s="99" t="str">
        <f>IFERROR(__xludf.DUMMYFUNCTION("""COMPUTED_VALUE"""),"gold maybe not ok because 'of Azerbaija' is missing")</f>
        <v>gold maybe not ok because 'of Azerbaija' is missing</v>
      </c>
    </row>
    <row r="38">
      <c r="A38" s="99">
        <f>IFERROR(__xludf.DUMMYFUNCTION("""COMPUTED_VALUE"""),81.0)</f>
        <v>81</v>
      </c>
      <c r="B38" s="99" t="str">
        <f>IFERROR(__xludf.DUMMYFUNCTION("""COMPUTED_VALUE"""),". the ingredients include kway teow, beef tender loin, gula melaka, sliced, dried black beans, garlic, dark soy sauce, lengkuas, oyster sauce, soya sauce, chilli and sesame oil beef kway teow is made in singapore and indonesia.")</f>
        <v>. the ingredients include kway teow, beef tender loin, gula melaka, sliced, dried black beans, garlic, dark soy sauce, lengkuas, oyster sauce, soya sauce, chilli and sesame oil beef kway teow is made in singapore and indonesia.</v>
      </c>
      <c r="C38" s="99" t="str">
        <f>IFERROR(__xludf.DUMMYFUNCTION("""COMPUTED_VALUE"""),"Beef_kway_teow|mainIngredients|""Kway teow, beef tender loin, gula Melaka, sliced, dried black beans, garlic, dark soy sauce, lengkuas, oyster sauce, soya sauce, chilli and sesame oil"" ++ Beef_kway_teow|country|""Singapore and Indonesia""")</f>
        <v>Beef_kway_teow|mainIngredients|"Kway teow, beef tender loin, gula Melaka, sliced, dried black beans, garlic, dark soy sauce, lengkuas, oyster sauce, soya sauce, chilli and sesame oil" ++ Beef_kway_teow|country|"Singapore and Indonesia"</v>
      </c>
      <c r="D38" s="99" t="str">
        <f>IFERROR(__xludf.DUMMYFUNCTION("""COMPUTED_VALUE"""),"0.915")</f>
        <v>0.915</v>
      </c>
      <c r="E38" s="99" t="str">
        <f>IFERROR(__xludf.DUMMYFUNCTION("""COMPUTED_VALUE"""),"not OK")</f>
        <v>not OK</v>
      </c>
      <c r="F38" s="99" t="str">
        <f>IFERROR(__xludf.DUMMYFUNCTION("""COMPUTED_VALUE"""),"OK")</f>
        <v>OK</v>
      </c>
      <c r="G38" s="99"/>
      <c r="H38" s="99" t="str">
        <f>IFERROR(__xludf.DUMMYFUNCTION("""COMPUTED_VALUE"""),"x")</f>
        <v>x</v>
      </c>
      <c r="I38" s="99"/>
      <c r="J38" s="99"/>
      <c r="K38" s="99"/>
      <c r="L38" s="99"/>
      <c r="M38" s="99"/>
      <c r="N38" s="99" t="str">
        <f>IFERROR(__xludf.DUMMYFUNCTION("""COMPUTED_VALUE"""),"x")</f>
        <v>x</v>
      </c>
      <c r="O38" s="99" t="str">
        <f>IFERROR(__xludf.DUMMYFUNCTION("""COMPUTED_VALUE"""),"gold has not Ok maybe because of coherence issues")</f>
        <v>gold has not Ok maybe because of coherence issues</v>
      </c>
    </row>
    <row r="39">
      <c r="A39" s="99">
        <f>IFERROR(__xludf.DUMMYFUNCTION("""COMPUTED_VALUE"""),76.0)</f>
        <v>76</v>
      </c>
      <c r="B39" s="99" t="str">
        <f>IFERROR(__xludf.DUMMYFUNCTION("""COMPUTED_VALUE"""),"john van den brom has been manager of az alkmaar and is part of the club netherlands national football team club. he is also attached to the club netherlands national football team.")</f>
        <v>john van den brom has been manager of az alkmaar and is part of the club netherlands national football team club. he is also attached to the club netherlands national football team.</v>
      </c>
      <c r="C39" s="99" t="str">
        <f>IFERROR(__xludf.DUMMYFUNCTION("""COMPUTED_VALUE"""),"AZ_Alkmaar|manager|John_van_den_Brom ++ John_van_den_Brom|club|Vitesse_Arnhem ++ John_van_den_Brom|club|AFC_Ajax ++ John_van_den_Brom|club|Netherlands_national_football_team")</f>
        <v>AZ_Alkmaar|manager|John_van_den_Brom ++ John_van_den_Brom|club|Vitesse_Arnhem ++ John_van_den_Brom|club|AFC_Ajax ++ John_van_den_Brom|club|Netherlands_national_football_team</v>
      </c>
      <c r="D39" s="99" t="str">
        <f>IFERROR(__xludf.DUMMYFUNCTION("""COMPUTED_VALUE"""),"0.006")</f>
        <v>0.006</v>
      </c>
      <c r="E39" s="99" t="str">
        <f>IFERROR(__xludf.DUMMYFUNCTION("""COMPUTED_VALUE"""),"OK")</f>
        <v>OK</v>
      </c>
      <c r="F39" s="99" t="str">
        <f>IFERROR(__xludf.DUMMYFUNCTION("""COMPUTED_VALUE"""),"omission")</f>
        <v>omission</v>
      </c>
      <c r="G39" s="99"/>
      <c r="H39" s="99"/>
      <c r="I39" s="99" t="str">
        <f>IFERROR(__xludf.DUMMYFUNCTION("""COMPUTED_VALUE"""),"x")</f>
        <v>x</v>
      </c>
      <c r="J39" s="99"/>
      <c r="K39" s="99" t="str">
        <f>IFERROR(__xludf.DUMMYFUNCTION("""COMPUTED_VALUE"""),"x")</f>
        <v>x</v>
      </c>
      <c r="L39" s="99"/>
      <c r="M39" s="99" t="str">
        <f>IFERROR(__xludf.DUMMYFUNCTION("""COMPUTED_VALUE"""),"x")</f>
        <v>x</v>
      </c>
      <c r="N39" s="99"/>
      <c r="O39" s="99" t="str">
        <f>IFERROR(__xludf.DUMMYFUNCTION("""COMPUTED_VALUE"""),"should be hallucination (e.g. repetition of club and Netherlands_national_football_team) + omission (e.g. Vitesse and AFC missing)")</f>
        <v>should be hallucination (e.g. repetition of club and Netherlands_national_football_team) + omission (e.g. Vitesse and AFC missing)</v>
      </c>
    </row>
    <row r="40">
      <c r="A40" s="99">
        <f>IFERROR(__xludf.DUMMYFUNCTION("""COMPUTED_VALUE"""),21.0)</f>
        <v>21</v>
      </c>
      <c r="B40" s="99" t="str">
        <f>IFERROR(__xludf.DUMMYFUNCTION("""COMPUTED_VALUE"""),"110 lydia, the orbital period of which is 1.42603e+08, was last seen in december 31 (2006 (jd2454100.5)).")</f>
        <v>110 lydia, the orbital period of which is 1.42603e+08, was last seen in december 31 (2006 (jd2454100.5)).</v>
      </c>
      <c r="C40" s="99" t="str">
        <f>IFERROR(__xludf.DUMMYFUNCTION("""COMPUTED_VALUE"""),"110_Lydia|epoch|2006-12-31 ++ 110_Lydia|orbitalPeriod|142603000.0")</f>
        <v>110_Lydia|epoch|2006-12-31 ++ 110_Lydia|orbitalPeriod|142603000.0</v>
      </c>
      <c r="D40" s="99" t="str">
        <f>IFERROR(__xludf.DUMMYFUNCTION("""COMPUTED_VALUE"""),"0.004")</f>
        <v>0.004</v>
      </c>
      <c r="E40" s="99" t="str">
        <f>IFERROR(__xludf.DUMMYFUNCTION("""COMPUTED_VALUE"""),"OK")</f>
        <v>OK</v>
      </c>
      <c r="F40" s="99" t="str">
        <f>IFERROR(__xludf.DUMMYFUNCTION("""COMPUTED_VALUE"""),"hallucination+omission")</f>
        <v>hallucination+omission</v>
      </c>
      <c r="G40" s="99"/>
      <c r="H40" s="99"/>
      <c r="I40" s="99" t="str">
        <f>IFERROR(__xludf.DUMMYFUNCTION("""COMPUTED_VALUE"""),"x")</f>
        <v>x</v>
      </c>
      <c r="J40" s="99"/>
      <c r="K40" s="99" t="str">
        <f>IFERROR(__xludf.DUMMYFUNCTION("""COMPUTED_VALUE"""),"x")</f>
        <v>x</v>
      </c>
      <c r="L40" s="99"/>
      <c r="M40" s="99" t="str">
        <f>IFERROR(__xludf.DUMMYFUNCTION("""COMPUTED_VALUE"""),"x")</f>
        <v>x</v>
      </c>
      <c r="N40" s="99"/>
      <c r="O40" s="99" t="str">
        <f>IFERROR(__xludf.DUMMYFUNCTION("""COMPUTED_VALUE"""),"should be just hallucination ('(jd...)')")</f>
        <v>should be just hallucination ('(jd...)')</v>
      </c>
    </row>
    <row r="41">
      <c r="A41" s="99">
        <f>IFERROR(__xludf.DUMMYFUNCTION("""COMPUTED_VALUE"""),33.0)</f>
        <v>33</v>
      </c>
      <c r="B41" s="99" t="str">
        <f>IFERROR(__xludf.DUMMYFUNCTION("""COMPUTED_VALUE"""),"alessio romagnoli, who plays for defender (association football), plays for a.c. milan and → sampdoria. a.c. milan, the manager of which is siniša mihajlović, plays in serie a.")</f>
        <v>alessio romagnoli, who plays for defender (association football), plays for a.c. milan and → sampdoria. a.c. milan, the manager of which is siniša mihajlović, plays in serie a.</v>
      </c>
      <c r="C41" s="99" t="str">
        <f>IFERROR(__xludf.DUMMYFUNCTION("""COMPUTED_VALUE"""),"Alessio_Romagnoli|club|A.C._Milan ++ A.C._Milan|league|Serie_A ++ A.C._Milan|manager|Siniša_Mihajlović ++ Alessio_Romagnoli|position|Defender_(football) ++ Alessio_Romagnoli|club|U.C._Sampdoria")</f>
        <v>Alessio_Romagnoli|club|A.C._Milan ++ A.C._Milan|league|Serie_A ++ A.C._Milan|manager|Siniša_Mihajlović ++ Alessio_Romagnoli|position|Defender_(football) ++ Alessio_Romagnoli|club|U.C._Sampdoria</v>
      </c>
      <c r="D41" s="99" t="str">
        <f>IFERROR(__xludf.DUMMYFUNCTION("""COMPUTED_VALUE"""),"0.047")</f>
        <v>0.047</v>
      </c>
      <c r="E41" s="99" t="str">
        <f>IFERROR(__xludf.DUMMYFUNCTION("""COMPUTED_VALUE"""),"OK")</f>
        <v>OK</v>
      </c>
      <c r="F41" s="99" t="str">
        <f>IFERROR(__xludf.DUMMYFUNCTION("""COMPUTED_VALUE"""),"omission")</f>
        <v>omission</v>
      </c>
      <c r="G41" s="99"/>
      <c r="H41" s="99"/>
      <c r="I41" s="99" t="str">
        <f>IFERROR(__xludf.DUMMYFUNCTION("""COMPUTED_VALUE"""),"x")</f>
        <v>x</v>
      </c>
      <c r="J41" s="99"/>
      <c r="K41" s="99" t="str">
        <f>IFERROR(__xludf.DUMMYFUNCTION("""COMPUTED_VALUE"""),"x")</f>
        <v>x</v>
      </c>
      <c r="L41" s="99"/>
      <c r="M41" s="99" t="str">
        <f>IFERROR(__xludf.DUMMYFUNCTION("""COMPUTED_VALUE"""),"x")</f>
        <v>x</v>
      </c>
      <c r="N41" s="99" t="str">
        <f>IFERROR(__xludf.DUMMYFUNCTION("""COMPUTED_VALUE"""),", ")</f>
        <v>, </v>
      </c>
      <c r="O41" s="99" t="str">
        <f>IFERROR(__xludf.DUMMYFUNCTION("""COMPUTED_VALUE"""),"should be hallucination+omission ('association', 'plays for defender', )")</f>
        <v>should be hallucination+omission ('association', 'plays for defender', )</v>
      </c>
    </row>
    <row r="42">
      <c r="A42" s="99">
        <f>IFERROR(__xludf.DUMMYFUNCTION("""COMPUTED_VALUE"""),59.0)</f>
        <v>59</v>
      </c>
      <c r="B42" s="99" t="str">
        <f>IFERROR(__xludf.DUMMYFUNCTION("""COMPUTED_VALUE"""),"dublin is part of republic of ireland and 3arena.")</f>
        <v>dublin is part of republic of ireland and 3arena.</v>
      </c>
      <c r="C42" s="99" t="str">
        <f>IFERROR(__xludf.DUMMYFUNCTION("""COMPUTED_VALUE"""),"Dublin|isPartOf|Republic_of_Ireland ++ 3Arena|location|Dublin")</f>
        <v>Dublin|isPartOf|Republic_of_Ireland ++ 3Arena|location|Dublin</v>
      </c>
      <c r="D42" s="99" t="str">
        <f>IFERROR(__xludf.DUMMYFUNCTION("""COMPUTED_VALUE"""),"0.946")</f>
        <v>0.946</v>
      </c>
      <c r="E42" s="99" t="str">
        <f>IFERROR(__xludf.DUMMYFUNCTION("""COMPUTED_VALUE"""),"not OK")</f>
        <v>not OK</v>
      </c>
      <c r="F42" s="99" t="str">
        <f>IFERROR(__xludf.DUMMYFUNCTION("""COMPUTED_VALUE"""),"OK")</f>
        <v>OK</v>
      </c>
      <c r="G42" s="99" t="str">
        <f>IFERROR(__xludf.DUMMYFUNCTION("""COMPUTED_VALUE"""),"x")</f>
        <v>x</v>
      </c>
      <c r="H42" s="99"/>
      <c r="I42" s="99"/>
      <c r="J42" s="99"/>
      <c r="K42" s="99"/>
      <c r="L42" s="99"/>
      <c r="M42" s="99" t="str">
        <f>IFERROR(__xludf.DUMMYFUNCTION("""COMPUTED_VALUE"""),"x")</f>
        <v>x</v>
      </c>
      <c r="N42" s="99"/>
      <c r="O42" s="99" t="str">
        <f>IFERROR(__xludf.DUMMYFUNCTION("""COMPUTED_VALUE"""),"NLI wrongly has OK maybe because of poor templates; subject/object swap")</f>
        <v>NLI wrongly has OK maybe because of poor templates; subject/object swap</v>
      </c>
    </row>
    <row r="43">
      <c r="A43" s="99">
        <f>IFERROR(__xludf.DUMMYFUNCTION("""COMPUTED_VALUE"""),42.0)</f>
        <v>42</v>
      </c>
      <c r="B43" s="99" t="str">
        <f>IFERROR(__xludf.DUMMYFUNCTION("""COMPUTED_VALUE"""),"3arena in dublin dublin is part of the republic of ireland.")</f>
        <v>3arena in dublin dublin is part of the republic of ireland.</v>
      </c>
      <c r="C43" s="99" t="str">
        <f>IFERROR(__xludf.DUMMYFUNCTION("""COMPUTED_VALUE"""),"Dublin|isPartOf|Republic_of_Ireland ++ 3Arena|location|Dublin")</f>
        <v>Dublin|isPartOf|Republic_of_Ireland ++ 3Arena|location|Dublin</v>
      </c>
      <c r="D43" s="99" t="str">
        <f>IFERROR(__xludf.DUMMYFUNCTION("""COMPUTED_VALUE"""),"0.970")</f>
        <v>0.970</v>
      </c>
      <c r="E43" s="99" t="str">
        <f>IFERROR(__xludf.DUMMYFUNCTION("""COMPUTED_VALUE"""),"not OK")</f>
        <v>not OK</v>
      </c>
      <c r="F43" s="99" t="str">
        <f>IFERROR(__xludf.DUMMYFUNCTION("""COMPUTED_VALUE"""),"OK")</f>
        <v>OK</v>
      </c>
      <c r="G43" s="99"/>
      <c r="H43" s="99" t="str">
        <f>IFERROR(__xludf.DUMMYFUNCTION("""COMPUTED_VALUE"""),"x")</f>
        <v>x</v>
      </c>
      <c r="I43" s="99"/>
      <c r="J43" s="99"/>
      <c r="K43" s="99"/>
      <c r="L43" s="99" t="str">
        <f>IFERROR(__xludf.DUMMYFUNCTION("""COMPUTED_VALUE"""),"x")</f>
        <v>x</v>
      </c>
      <c r="M43" s="99"/>
      <c r="N43" s="99" t="str">
        <f>IFERROR(__xludf.DUMMYFUNCTION("""COMPUTED_VALUE"""),"x")</f>
        <v>x</v>
      </c>
      <c r="O43" s="99" t="str">
        <f>IFERROR(__xludf.DUMMYFUNCTION("""COMPUTED_VALUE"""),"gold maybe not ok because of ungrammaticality")</f>
        <v>gold maybe not ok because of ungrammaticality</v>
      </c>
    </row>
    <row r="44">
      <c r="A44" s="99">
        <f>IFERROR(__xludf.DUMMYFUNCTION("""COMPUTED_VALUE"""),38.0)</f>
        <v>38</v>
      </c>
      <c r="B44" s="99" t="str">
        <f>IFERROR(__xludf.DUMMYFUNCTION("""COMPUTED_VALUE"""),"the baku turkish martyrs ' memorial , known locally as turk sehitleri aniti , is located in baku , the capital city of azerbaijan .")</f>
        <v>the baku turkish martyrs ' memorial , known locally as turk sehitleri aniti , is located in baku , the capital city of azerbaijan .</v>
      </c>
      <c r="C44" s="99" t="str">
        <f>IFERROR(__xludf.DUMMYFUNCTION("""COMPUTED_VALUE"""),"Azerbaijan|capital|Baku ++ Baku_Turkish_Martyrs'_Memorial|location|Azerbaijan ++ Baku_Turkish_Martyrs'_Memorial|nativeName|""Türk Şehitleri Anıtı""")</f>
        <v>Azerbaijan|capital|Baku ++ Baku_Turkish_Martyrs'_Memorial|location|Azerbaijan ++ Baku_Turkish_Martyrs'_Memorial|nativeName|"Türk Şehitleri Anıtı"</v>
      </c>
      <c r="D44" s="99" t="str">
        <f>IFERROR(__xludf.DUMMYFUNCTION("""COMPUTED_VALUE"""),"0.456")</f>
        <v>0.456</v>
      </c>
      <c r="E44" s="99" t="str">
        <f>IFERROR(__xludf.DUMMYFUNCTION("""COMPUTED_VALUE"""),"OK")</f>
        <v>OK</v>
      </c>
      <c r="F44" s="99" t="str">
        <f>IFERROR(__xludf.DUMMYFUNCTION("""COMPUTED_VALUE"""),"omission")</f>
        <v>omission</v>
      </c>
      <c r="G44" s="99" t="str">
        <f>IFERROR(__xludf.DUMMYFUNCTION("""COMPUTED_VALUE"""),"x")</f>
        <v>x</v>
      </c>
      <c r="H44" s="99"/>
      <c r="I44" s="99"/>
      <c r="J44" s="99"/>
      <c r="K44" s="99" t="str">
        <f>IFERROR(__xludf.DUMMYFUNCTION("""COMPUTED_VALUE"""),"x")</f>
        <v>x</v>
      </c>
      <c r="L44" s="99"/>
      <c r="M44" s="99"/>
      <c r="N44" s="99"/>
      <c r="O44" s="99" t="str">
        <f>IFERROR(__xludf.DUMMYFUNCTION("""COMPUTED_VALUE"""),"NLI wrongly has omission maybe because of verbal dissimilarity")</f>
        <v>NLI wrongly has omission maybe because of verbal dissimilarity</v>
      </c>
    </row>
    <row r="45">
      <c r="A45" s="99">
        <f>IFERROR(__xludf.DUMMYFUNCTION("""COMPUTED_VALUE"""),57.0)</f>
        <v>57</v>
      </c>
      <c r="B45" s="99" t="str">
        <f>IFERROR(__xludf.DUMMYFUNCTION("""COMPUTED_VALUE"""),"the chair of (29075) 1950 da is carl a. wirtanen.")</f>
        <v>the chair of (29075) 1950 da is carl a. wirtanen.</v>
      </c>
      <c r="C45" s="99" t="str">
        <f>IFERROR(__xludf.DUMMYFUNCTION("""COMPUTED_VALUE"""),"(29075)_1950_DA|discoverer|Carl_A._Wirtanen")</f>
        <v>(29075)_1950_DA|discoverer|Carl_A._Wirtanen</v>
      </c>
      <c r="D45" s="99" t="str">
        <f>IFERROR(__xludf.DUMMYFUNCTION("""COMPUTED_VALUE"""),"0.448")</f>
        <v>0.448</v>
      </c>
      <c r="E45" s="99" t="str">
        <f>IFERROR(__xludf.DUMMYFUNCTION("""COMPUTED_VALUE"""),"not OK")</f>
        <v>not OK</v>
      </c>
      <c r="F45" s="99" t="str">
        <f>IFERROR(__xludf.DUMMYFUNCTION("""COMPUTED_VALUE"""),"OK")</f>
        <v>OK</v>
      </c>
      <c r="G45" s="99" t="str">
        <f>IFERROR(__xludf.DUMMYFUNCTION("""COMPUTED_VALUE"""),"x")</f>
        <v>x</v>
      </c>
      <c r="H45" s="99"/>
      <c r="I45" s="99"/>
      <c r="J45" s="99" t="str">
        <f>IFERROR(__xludf.DUMMYFUNCTION("""COMPUTED_VALUE"""),"x")</f>
        <v>x</v>
      </c>
      <c r="K45" s="99"/>
      <c r="L45" s="99"/>
      <c r="M45" s="99" t="str">
        <f>IFERROR(__xludf.DUMMYFUNCTION("""COMPUTED_VALUE"""),"x")</f>
        <v>x</v>
      </c>
      <c r="N45" s="99"/>
      <c r="O45" s="99" t="str">
        <f>IFERROR(__xludf.DUMMYFUNCTION("""COMPUTED_VALUE"""),"chair' instead of 'discoverer'")</f>
        <v>chair' instead of 'discoverer'</v>
      </c>
    </row>
    <row r="46">
      <c r="A46" s="99">
        <f>IFERROR(__xludf.DUMMYFUNCTION("""COMPUTED_VALUE"""),95.0)</f>
        <v>95</v>
      </c>
      <c r="B46" s="99" t="str">
        <f>IFERROR(__xludf.DUMMYFUNCTION("""COMPUTED_VALUE"""),"elliot see is an american who was born in dallas and graduated from the university of texas at austin.")</f>
        <v>elliot see is an american who was born in dallas and graduated from the university of texas at austin.</v>
      </c>
      <c r="C46" s="99" t="str">
        <f>IFERROR(__xludf.DUMMYFUNCTION("""COMPUTED_VALUE"""),"Elliot_See|almaMater|University_of_Texas_at_Austin ++ Elliot_See|birthPlace|Dallas ++ Elliot_See|nationality|United_States")</f>
        <v>Elliot_See|almaMater|University_of_Texas_at_Austin ++ Elliot_See|birthPlace|Dallas ++ Elliot_See|nationality|United_States</v>
      </c>
      <c r="D46" s="99" t="str">
        <f>IFERROR(__xludf.DUMMYFUNCTION("""COMPUTED_VALUE"""),"0.173")</f>
        <v>0.173</v>
      </c>
      <c r="E46" s="99" t="str">
        <f>IFERROR(__xludf.DUMMYFUNCTION("""COMPUTED_VALUE"""),"OK")</f>
        <v>OK</v>
      </c>
      <c r="F46" s="99" t="str">
        <f>IFERROR(__xludf.DUMMYFUNCTION("""COMPUTED_VALUE"""),"hallucination")</f>
        <v>hallucination</v>
      </c>
      <c r="G46" s="99" t="str">
        <f>IFERROR(__xludf.DUMMYFUNCTION("""COMPUTED_VALUE"""),"x")</f>
        <v>x</v>
      </c>
      <c r="H46" s="99"/>
      <c r="I46" s="99"/>
      <c r="J46" s="99"/>
      <c r="K46" s="99" t="str">
        <f>IFERROR(__xludf.DUMMYFUNCTION("""COMPUTED_VALUE"""),"x")</f>
        <v>x</v>
      </c>
      <c r="L46" s="99"/>
      <c r="M46" s="99"/>
      <c r="N46" s="99"/>
      <c r="O46" s="99" t="str">
        <f>IFERROR(__xludf.DUMMYFUNCTION("""COMPUTED_VALUE"""),"NLI wrongly has hallucination, unclear why")</f>
        <v>NLI wrongly has hallucination, unclear why</v>
      </c>
    </row>
    <row r="47">
      <c r="A47" s="99">
        <f>IFERROR(__xludf.DUMMYFUNCTION("""COMPUTED_VALUE"""),8.0)</f>
        <v>8</v>
      </c>
      <c r="B47" s="99" t="str">
        <f>IFERROR(__xludf.DUMMYFUNCTION("""COMPUTED_VALUE"""),"a loyal character dancer is published by soho press in the united states where native americans are an ethnic group. english is spoken both in the us and great britain.")</f>
        <v>a loyal character dancer is published by soho press in the united states where native americans are an ethnic group. english is spoken both in the us and great britain.</v>
      </c>
      <c r="C47" s="99" t="str">
        <f>IFERROR(__xludf.DUMMYFUNCTION("""COMPUTED_VALUE"""),"English_language|spokenIn|Great_Britain ++ A_Loyal_Character_Dancer|publisher|Soho_Press ++ A_Loyal_Character_Dancer|country|United_States ++ United_States|ethnicGroup|Native_Americans_in_the_United_States ++ United_States|language|English_language")</f>
        <v>English_language|spokenIn|Great_Britain ++ A_Loyal_Character_Dancer|publisher|Soho_Press ++ A_Loyal_Character_Dancer|country|United_States ++ United_States|ethnicGroup|Native_Americans_in_the_United_States ++ United_States|language|English_language</v>
      </c>
      <c r="D47" s="99" t="str">
        <f>IFERROR(__xludf.DUMMYFUNCTION("""COMPUTED_VALUE"""),"0.751")</f>
        <v>0.751</v>
      </c>
      <c r="E47" s="99" t="str">
        <f>IFERROR(__xludf.DUMMYFUNCTION("""COMPUTED_VALUE"""),"not OK")</f>
        <v>not OK</v>
      </c>
      <c r="F47" s="99" t="str">
        <f>IFERROR(__xludf.DUMMYFUNCTION("""COMPUTED_VALUE"""),"OK")</f>
        <v>OK</v>
      </c>
      <c r="G47" s="99"/>
      <c r="H47" s="99" t="str">
        <f>IFERROR(__xludf.DUMMYFUNCTION("""COMPUTED_VALUE"""),"x")</f>
        <v>x</v>
      </c>
      <c r="I47" s="99"/>
      <c r="J47" s="99"/>
      <c r="K47" s="99"/>
      <c r="L47" s="99" t="str">
        <f>IFERROR(__xludf.DUMMYFUNCTION("""COMPUTED_VALUE"""),"x")</f>
        <v>x</v>
      </c>
      <c r="M47" s="99"/>
      <c r="N47" s="99" t="str">
        <f>IFERROR(__xludf.DUMMYFUNCTION("""COMPUTED_VALUE"""),"x")</f>
        <v>x</v>
      </c>
      <c r="O47" s="99" t="str">
        <f>IFERROR(__xludf.DUMMYFUNCTION("""COMPUTED_VALUE"""),"gold has not OK maybe because both spokenIn and language are realised by 'spoken in'")</f>
        <v>gold has not OK maybe because both spokenIn and language are realised by 'spoken in'</v>
      </c>
    </row>
    <row r="48">
      <c r="A48" s="99">
        <f>IFERROR(__xludf.DUMMYFUNCTION("""COMPUTED_VALUE"""),11.0)</f>
        <v>11</v>
      </c>
      <c r="B48" s="99" t="str">
        <f>IFERROR(__xludf.DUMMYFUNCTION("""COMPUTED_VALUE"""),"ajoblanco is from spain, where spaniards live. felipe vi is the leader of it. susana diaz is the leader of andalusia where you will find almonds.")</f>
        <v>ajoblanco is from spain, where spaniards live. felipe vi is the leader of it. susana diaz is the leader of andalusia where you will find almonds.</v>
      </c>
      <c r="C48" s="99" t="str">
        <f>IFERROR(__xludf.DUMMYFUNCTION("""COMPUTED_VALUE"""),"Spain|leaderName|Felipe_VI_of_Spain ++ Ajoblanco|region|Andalusia ++ Andalusia|leaderName|Susana_Díaz ++ Ajoblanco|country|Spain ++ Spain|demonym|Spaniards")</f>
        <v>Spain|leaderName|Felipe_VI_of_Spain ++ Ajoblanco|region|Andalusia ++ Andalusia|leaderName|Susana_Díaz ++ Ajoblanco|country|Spain ++ Spain|demonym|Spaniards</v>
      </c>
      <c r="D48" s="99" t="str">
        <f>IFERROR(__xludf.DUMMYFUNCTION("""COMPUTED_VALUE"""),"0.053")</f>
        <v>0.053</v>
      </c>
      <c r="E48" s="99" t="str">
        <f>IFERROR(__xludf.DUMMYFUNCTION("""COMPUTED_VALUE"""),"OK")</f>
        <v>OK</v>
      </c>
      <c r="F48" s="99" t="str">
        <f>IFERROR(__xludf.DUMMYFUNCTION("""COMPUTED_VALUE"""),"hallucination+omission")</f>
        <v>hallucination+omission</v>
      </c>
      <c r="G48" s="99" t="str">
        <f>IFERROR(__xludf.DUMMYFUNCTION("""COMPUTED_VALUE""")," ")</f>
        <v> </v>
      </c>
      <c r="H48" s="99" t="str">
        <f>IFERROR(__xludf.DUMMYFUNCTION("""COMPUTED_VALUE"""),"x")</f>
        <v>x</v>
      </c>
      <c r="I48" s="99"/>
      <c r="J48" s="99"/>
      <c r="K48" s="99"/>
      <c r="L48" s="99"/>
      <c r="M48" s="99" t="str">
        <f>IFERROR(__xludf.DUMMYFUNCTION("""COMPUTED_VALUE"""),"x")</f>
        <v>x</v>
      </c>
      <c r="N48" s="99"/>
      <c r="O48" s="99" t="str">
        <f>IFERROR(__xludf.DUMMYFUNCTION("""COMPUTED_VALUE"""),"gold wrongly has ok, unclear why ")</f>
        <v>gold wrongly has ok, unclear why </v>
      </c>
    </row>
    <row r="49">
      <c r="A49" s="99">
        <f>IFERROR(__xludf.DUMMYFUNCTION("""COMPUTED_VALUE"""),16.0)</f>
        <v>16</v>
      </c>
      <c r="B49" s="99" t="str">
        <f>IFERROR(__xludf.DUMMYFUNCTION("""COMPUTED_VALUE"""),"awh engineering college ( kuttikkattoor , india ) was established in 2001 . one of the rivers in india is the ganges .")</f>
        <v>awh engineering college ( kuttikkattoor , india ) was established in 2001 . one of the rivers in india is the ganges .</v>
      </c>
      <c r="C49" s="99" t="str">
        <f>IFERROR(__xludf.DUMMYFUNCTION("""COMPUTED_VALUE"""),"AWH_Engineering_College|country|India ++ AWH_Engineering_College|established|2001 ++ AWH_Engineering_College|city|""Kuttikkattoor"" ++ India|river|Ganges")</f>
        <v>AWH_Engineering_College|country|India ++ AWH_Engineering_College|established|2001 ++ AWH_Engineering_College|city|"Kuttikkattoor" ++ India|river|Ganges</v>
      </c>
      <c r="D49" s="99" t="str">
        <f>IFERROR(__xludf.DUMMYFUNCTION("""COMPUTED_VALUE"""),"0.007")</f>
        <v>0.007</v>
      </c>
      <c r="E49" s="99" t="str">
        <f>IFERROR(__xludf.DUMMYFUNCTION("""COMPUTED_VALUE"""),"OK")</f>
        <v>OK</v>
      </c>
      <c r="F49" s="99" t="str">
        <f>IFERROR(__xludf.DUMMYFUNCTION("""COMPUTED_VALUE"""),"omission")</f>
        <v>omission</v>
      </c>
      <c r="G49" s="99" t="str">
        <f>IFERROR(__xludf.DUMMYFUNCTION("""COMPUTED_VALUE"""),"x")</f>
        <v>x</v>
      </c>
      <c r="H49" s="99"/>
      <c r="I49" s="99"/>
      <c r="J49" s="99"/>
      <c r="K49" s="99"/>
      <c r="L49" s="99"/>
      <c r="M49" s="99"/>
      <c r="N49" s="99"/>
      <c r="O49" s="99" t="str">
        <f>IFERROR(__xludf.DUMMYFUNCTION("""COMPUTED_VALUE"""),"NLI wrongly has omission maybe because country and city aren't explicit")</f>
        <v>NLI wrongly has omission maybe because country and city aren't explicit</v>
      </c>
    </row>
    <row r="50">
      <c r="A50" s="99">
        <f>IFERROR(__xludf.DUMMYFUNCTION("""COMPUTED_VALUE"""),13.0)</f>
        <v>13</v>
      </c>
      <c r="B50" s="99" t="str">
        <f>IFERROR(__xludf.DUMMYFUNCTION("""COMPUTED_VALUE"""),"alfa romeo 164 assembly italy where the capital is rome alfa romeo 164 relatedmeanoftransportation fiat croma")</f>
        <v>alfa romeo 164 assembly italy where the capital is rome alfa romeo 164 relatedmeanoftransportation fiat croma</v>
      </c>
      <c r="C50" s="99" t="str">
        <f>IFERROR(__xludf.DUMMYFUNCTION("""COMPUTED_VALUE"""),"Alfa_Romeo_164|assembly|Italy ++ Italy|capital|Rome ++ Alfa_Romeo_164|relatedMeanOfTransportation|Fiat_Croma")</f>
        <v>Alfa_Romeo_164|assembly|Italy ++ Italy|capital|Rome ++ Alfa_Romeo_164|relatedMeanOfTransportation|Fiat_Croma</v>
      </c>
      <c r="D50" s="99" t="str">
        <f>IFERROR(__xludf.DUMMYFUNCTION("""COMPUTED_VALUE"""),"0.964")</f>
        <v>0.964</v>
      </c>
      <c r="E50" s="99" t="str">
        <f>IFERROR(__xludf.DUMMYFUNCTION("""COMPUTED_VALUE"""),"not OK")</f>
        <v>not OK</v>
      </c>
      <c r="F50" s="99" t="str">
        <f>IFERROR(__xludf.DUMMYFUNCTION("""COMPUTED_VALUE"""),"OK")</f>
        <v>OK</v>
      </c>
      <c r="G50" s="99" t="str">
        <f>IFERROR(__xludf.DUMMYFUNCTION("""COMPUTED_VALUE"""),"x")</f>
        <v>x</v>
      </c>
      <c r="H50" s="99"/>
      <c r="I50" s="99"/>
      <c r="J50" s="99"/>
      <c r="K50" s="99"/>
      <c r="L50" s="99"/>
      <c r="M50" s="99" t="str">
        <f>IFERROR(__xludf.DUMMYFUNCTION("""COMPUTED_VALUE"""),"x")</f>
        <v>x</v>
      </c>
      <c r="N50" s="99"/>
      <c r="O50" s="99" t="str">
        <f>IFERROR(__xludf.DUMMYFUNCTION("""COMPUTED_VALUE"""),"NLI wrongly has OK maybe because of verbal similarities; relatedMeanOfTransportation is not a valid realisation, it's a composite predicate name")</f>
        <v>NLI wrongly has OK maybe because of verbal similarities; relatedMeanOfTransportation is not a valid realisation, it's a composite predicate name</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4.63"/>
    <col customWidth="1" min="2" max="4" width="9.88"/>
    <col customWidth="1" min="5" max="5" width="21.63"/>
    <col customWidth="1" min="6" max="6" width="23.75"/>
    <col customWidth="1" min="7" max="7" width="8.38"/>
    <col customWidth="1" min="8" max="8" width="7.75"/>
    <col customWidth="1" min="9" max="9" width="7.88"/>
    <col customWidth="1" min="10" max="11" width="8.75"/>
    <col customWidth="1" min="12" max="14" width="10.13"/>
    <col customWidth="1" min="15" max="15" width="13.25"/>
    <col customWidth="1" min="16" max="16" width="76.38"/>
    <col customWidth="1" min="17" max="17" width="14.38"/>
  </cols>
  <sheetData>
    <row r="1" ht="15.75" customHeight="1">
      <c r="A1" s="39"/>
      <c r="B1" s="40"/>
      <c r="C1" s="40"/>
      <c r="D1" s="40"/>
      <c r="H1" s="40"/>
      <c r="I1" s="41"/>
      <c r="J1" s="41"/>
      <c r="K1" s="41"/>
      <c r="L1" s="41"/>
      <c r="M1" s="41"/>
      <c r="N1" s="41"/>
      <c r="O1" s="41"/>
      <c r="P1" s="42"/>
      <c r="Q1" s="41"/>
    </row>
    <row r="2" ht="15.75" customHeight="1">
      <c r="A2" s="43"/>
      <c r="B2" s="44" t="s">
        <v>0</v>
      </c>
      <c r="C2" s="44" t="s">
        <v>1</v>
      </c>
      <c r="D2" s="45" t="s">
        <v>2</v>
      </c>
      <c r="E2" s="46" t="s">
        <v>3</v>
      </c>
      <c r="F2" s="47"/>
      <c r="G2" s="46" t="s">
        <v>4</v>
      </c>
      <c r="H2" s="48"/>
      <c r="I2" s="47"/>
      <c r="J2" s="46" t="s">
        <v>5</v>
      </c>
      <c r="K2" s="48"/>
      <c r="L2" s="48"/>
      <c r="M2" s="48"/>
      <c r="N2" s="48"/>
      <c r="O2" s="47"/>
      <c r="P2" s="49"/>
      <c r="Q2" s="41"/>
    </row>
    <row r="3" ht="40.5" customHeight="1">
      <c r="A3" s="50" t="s">
        <v>6</v>
      </c>
      <c r="B3" s="51"/>
      <c r="C3" s="51"/>
      <c r="D3" s="52"/>
      <c r="E3" s="53" t="s">
        <v>7</v>
      </c>
      <c r="F3" s="52" t="s">
        <v>8</v>
      </c>
      <c r="G3" s="53" t="s">
        <v>7</v>
      </c>
      <c r="H3" s="51" t="s">
        <v>8</v>
      </c>
      <c r="I3" s="52" t="s">
        <v>9</v>
      </c>
      <c r="J3" s="53" t="s">
        <v>10</v>
      </c>
      <c r="K3" s="51" t="s">
        <v>11</v>
      </c>
      <c r="L3" s="51" t="s">
        <v>12</v>
      </c>
      <c r="M3" s="51" t="s">
        <v>13</v>
      </c>
      <c r="N3" s="51" t="s">
        <v>14</v>
      </c>
      <c r="O3" s="52" t="s">
        <v>15</v>
      </c>
      <c r="P3" s="52" t="s">
        <v>16</v>
      </c>
      <c r="Q3" s="51"/>
    </row>
    <row r="4" ht="15.75" customHeight="1">
      <c r="A4" s="54">
        <v>2.0</v>
      </c>
      <c r="B4" s="55" t="s">
        <v>17</v>
      </c>
      <c r="C4" s="55" t="s">
        <v>662</v>
      </c>
      <c r="D4" s="55">
        <v>0.985</v>
      </c>
      <c r="E4" s="55" t="s">
        <v>20</v>
      </c>
      <c r="F4" s="55" t="s">
        <v>21</v>
      </c>
      <c r="G4" s="56"/>
      <c r="H4" s="57" t="s">
        <v>22</v>
      </c>
      <c r="I4" s="58"/>
      <c r="J4" s="57"/>
      <c r="K4" s="57"/>
      <c r="L4" s="57"/>
      <c r="M4" s="57"/>
      <c r="N4" s="57" t="s">
        <v>22</v>
      </c>
      <c r="O4" s="58"/>
      <c r="P4" s="59"/>
      <c r="Q4" s="60"/>
    </row>
    <row r="5" ht="15.75" customHeight="1">
      <c r="A5" s="54">
        <v>3.0</v>
      </c>
      <c r="B5" s="55" t="s">
        <v>23</v>
      </c>
      <c r="C5" s="55" t="s">
        <v>663</v>
      </c>
      <c r="D5" s="55">
        <v>0.004</v>
      </c>
      <c r="E5" s="55" t="s">
        <v>20</v>
      </c>
      <c r="F5" s="55" t="s">
        <v>26</v>
      </c>
      <c r="G5" s="56"/>
      <c r="H5" s="57" t="s">
        <v>22</v>
      </c>
      <c r="I5" s="58"/>
      <c r="J5" s="57"/>
      <c r="K5" s="57"/>
      <c r="L5" s="57"/>
      <c r="M5" s="57" t="s">
        <v>22</v>
      </c>
      <c r="N5" s="57"/>
      <c r="O5" s="58"/>
      <c r="P5" s="59"/>
      <c r="Q5" s="60"/>
    </row>
    <row r="6" ht="15.75" customHeight="1">
      <c r="A6" s="54">
        <v>4.0</v>
      </c>
      <c r="B6" s="55" t="s">
        <v>28</v>
      </c>
      <c r="C6" s="55" t="s">
        <v>664</v>
      </c>
      <c r="D6" s="55">
        <v>0.972</v>
      </c>
      <c r="E6" s="55" t="s">
        <v>31</v>
      </c>
      <c r="F6" s="55" t="s">
        <v>21</v>
      </c>
      <c r="G6" s="56"/>
      <c r="H6" s="57" t="s">
        <v>22</v>
      </c>
      <c r="I6" s="58"/>
      <c r="J6" s="57"/>
      <c r="K6" s="57"/>
      <c r="L6" s="57"/>
      <c r="M6" s="57"/>
      <c r="N6" s="57"/>
      <c r="O6" s="58" t="s">
        <v>22</v>
      </c>
      <c r="P6" s="59"/>
      <c r="Q6" s="60"/>
    </row>
    <row r="7" ht="15.75" customHeight="1">
      <c r="A7" s="54">
        <v>5.0</v>
      </c>
      <c r="B7" s="55" t="s">
        <v>32</v>
      </c>
      <c r="C7" s="55" t="s">
        <v>665</v>
      </c>
      <c r="D7" s="55">
        <v>0.55</v>
      </c>
      <c r="E7" s="55" t="s">
        <v>20</v>
      </c>
      <c r="F7" s="55" t="s">
        <v>21</v>
      </c>
      <c r="G7" s="56" t="s">
        <v>22</v>
      </c>
      <c r="H7" s="57"/>
      <c r="I7" s="58"/>
      <c r="J7" s="57" t="s">
        <v>22</v>
      </c>
      <c r="K7" s="57"/>
      <c r="L7" s="57"/>
      <c r="M7" s="57"/>
      <c r="N7" s="57"/>
      <c r="O7" s="58"/>
      <c r="P7" s="59"/>
      <c r="Q7" s="60"/>
    </row>
    <row r="8" ht="15.75" customHeight="1">
      <c r="A8" s="54">
        <v>6.0</v>
      </c>
      <c r="B8" s="55" t="s">
        <v>36</v>
      </c>
      <c r="C8" s="55" t="s">
        <v>666</v>
      </c>
      <c r="D8" s="55">
        <v>0.913</v>
      </c>
      <c r="E8" s="55" t="s">
        <v>20</v>
      </c>
      <c r="F8" s="55" t="s">
        <v>21</v>
      </c>
      <c r="G8" s="56"/>
      <c r="H8" s="57"/>
      <c r="I8" s="58" t="s">
        <v>22</v>
      </c>
      <c r="J8" s="57"/>
      <c r="K8" s="57"/>
      <c r="L8" s="57"/>
      <c r="M8" s="57"/>
      <c r="N8" s="57"/>
      <c r="O8" s="58"/>
      <c r="P8" s="59" t="s">
        <v>667</v>
      </c>
      <c r="Q8" s="60"/>
    </row>
    <row r="9" ht="15.75" customHeight="1">
      <c r="A9" s="54">
        <v>7.0</v>
      </c>
      <c r="B9" s="55" t="s">
        <v>40</v>
      </c>
      <c r="C9" s="55" t="s">
        <v>668</v>
      </c>
      <c r="D9" s="55">
        <v>0.047</v>
      </c>
      <c r="E9" s="55" t="s">
        <v>21</v>
      </c>
      <c r="F9" s="55" t="s">
        <v>20</v>
      </c>
      <c r="G9" s="56" t="s">
        <v>22</v>
      </c>
      <c r="H9" s="57"/>
      <c r="I9" s="58"/>
      <c r="J9" s="57"/>
      <c r="K9" s="57" t="s">
        <v>22</v>
      </c>
      <c r="L9" s="57"/>
      <c r="M9" s="57"/>
      <c r="N9" s="57"/>
      <c r="O9" s="58"/>
      <c r="P9" s="59"/>
      <c r="Q9" s="60"/>
    </row>
    <row r="10" ht="15.75" customHeight="1">
      <c r="A10" s="54">
        <v>8.0</v>
      </c>
      <c r="B10" s="55" t="s">
        <v>43</v>
      </c>
      <c r="C10" s="55" t="s">
        <v>669</v>
      </c>
      <c r="D10" s="55">
        <v>0.033</v>
      </c>
      <c r="E10" s="55" t="s">
        <v>21</v>
      </c>
      <c r="F10" s="55" t="s">
        <v>20</v>
      </c>
      <c r="G10" s="56" t="s">
        <v>22</v>
      </c>
      <c r="H10" s="57"/>
      <c r="I10" s="58"/>
      <c r="J10" s="57"/>
      <c r="K10" s="57" t="s">
        <v>22</v>
      </c>
      <c r="L10" s="57"/>
      <c r="M10" s="57"/>
      <c r="N10" s="57"/>
      <c r="O10" s="58"/>
      <c r="P10" s="59"/>
      <c r="Q10" s="60"/>
    </row>
    <row r="11" ht="15.75" customHeight="1">
      <c r="A11" s="54">
        <v>9.0</v>
      </c>
      <c r="B11" s="55" t="s">
        <v>46</v>
      </c>
      <c r="C11" s="55" t="s">
        <v>670</v>
      </c>
      <c r="D11" s="55">
        <v>0.771</v>
      </c>
      <c r="E11" s="55" t="s">
        <v>31</v>
      </c>
      <c r="F11" s="55" t="s">
        <v>21</v>
      </c>
      <c r="G11" s="56"/>
      <c r="H11" s="57" t="s">
        <v>22</v>
      </c>
      <c r="I11" s="58"/>
      <c r="J11" s="57" t="s">
        <v>22</v>
      </c>
      <c r="K11" s="57"/>
      <c r="L11" s="57"/>
      <c r="M11" s="57"/>
      <c r="N11" s="57"/>
      <c r="O11" s="58"/>
      <c r="P11" s="59"/>
      <c r="Q11" s="60"/>
    </row>
    <row r="12" ht="15.75" customHeight="1">
      <c r="A12" s="54">
        <v>10.0</v>
      </c>
      <c r="B12" s="55" t="s">
        <v>49</v>
      </c>
      <c r="C12" s="55" t="s">
        <v>671</v>
      </c>
      <c r="D12" s="55">
        <v>0.049</v>
      </c>
      <c r="E12" s="55" t="s">
        <v>21</v>
      </c>
      <c r="F12" s="55" t="s">
        <v>20</v>
      </c>
      <c r="G12" s="56" t="s">
        <v>22</v>
      </c>
      <c r="H12" s="57"/>
      <c r="I12" s="58"/>
      <c r="J12" s="57"/>
      <c r="K12" s="57" t="s">
        <v>22</v>
      </c>
      <c r="L12" s="57"/>
      <c r="M12" s="57"/>
      <c r="N12" s="57"/>
      <c r="O12" s="58"/>
      <c r="P12" s="59"/>
      <c r="Q12" s="60"/>
    </row>
    <row r="13" ht="15.75" customHeight="1">
      <c r="A13" s="54">
        <v>11.0</v>
      </c>
      <c r="B13" s="55" t="s">
        <v>52</v>
      </c>
      <c r="C13" s="55" t="s">
        <v>672</v>
      </c>
      <c r="D13" s="55">
        <v>0.967</v>
      </c>
      <c r="E13" s="55" t="s">
        <v>20</v>
      </c>
      <c r="F13" s="55" t="s">
        <v>21</v>
      </c>
      <c r="G13" s="56"/>
      <c r="H13" s="57" t="s">
        <v>22</v>
      </c>
      <c r="I13" s="58"/>
      <c r="J13" s="57"/>
      <c r="K13" s="57"/>
      <c r="L13" s="57"/>
      <c r="M13" s="57"/>
      <c r="N13" s="57" t="s">
        <v>22</v>
      </c>
      <c r="O13" s="58"/>
      <c r="P13" s="59"/>
      <c r="Q13" s="60"/>
    </row>
    <row r="14" ht="15.75" customHeight="1">
      <c r="A14" s="54">
        <v>12.0</v>
      </c>
      <c r="B14" s="55" t="s">
        <v>55</v>
      </c>
      <c r="C14" s="55" t="s">
        <v>673</v>
      </c>
      <c r="D14" s="55">
        <v>0.973</v>
      </c>
      <c r="E14" s="55" t="s">
        <v>31</v>
      </c>
      <c r="F14" s="55" t="s">
        <v>21</v>
      </c>
      <c r="G14" s="56"/>
      <c r="H14" s="57" t="s">
        <v>22</v>
      </c>
      <c r="I14" s="58"/>
      <c r="J14" s="57"/>
      <c r="K14" s="57"/>
      <c r="L14" s="57"/>
      <c r="M14" s="57"/>
      <c r="N14" s="57"/>
      <c r="O14" s="58" t="s">
        <v>22</v>
      </c>
      <c r="P14" s="59"/>
      <c r="Q14" s="60"/>
    </row>
    <row r="15" ht="15.75" customHeight="1">
      <c r="A15" s="54">
        <v>13.0</v>
      </c>
      <c r="B15" s="55" t="s">
        <v>58</v>
      </c>
      <c r="C15" s="55" t="s">
        <v>674</v>
      </c>
      <c r="D15" s="55">
        <v>0.722</v>
      </c>
      <c r="E15" s="55" t="s">
        <v>20</v>
      </c>
      <c r="F15" s="55" t="s">
        <v>21</v>
      </c>
      <c r="G15" s="56"/>
      <c r="H15" s="57"/>
      <c r="I15" s="58" t="s">
        <v>22</v>
      </c>
      <c r="J15" s="57"/>
      <c r="K15" s="57"/>
      <c r="L15" s="57"/>
      <c r="M15" s="57" t="s">
        <v>22</v>
      </c>
      <c r="N15" s="57"/>
      <c r="O15" s="58"/>
      <c r="P15" s="59" t="s">
        <v>675</v>
      </c>
      <c r="Q15" s="60"/>
    </row>
    <row r="16" ht="15.75" customHeight="1">
      <c r="A16" s="54">
        <v>14.0</v>
      </c>
      <c r="B16" s="55" t="s">
        <v>62</v>
      </c>
      <c r="C16" s="55" t="s">
        <v>676</v>
      </c>
      <c r="D16" s="55">
        <v>0.003</v>
      </c>
      <c r="E16" s="55" t="s">
        <v>20</v>
      </c>
      <c r="F16" s="55" t="s">
        <v>26</v>
      </c>
      <c r="G16" s="56"/>
      <c r="H16" s="57" t="s">
        <v>22</v>
      </c>
      <c r="I16" s="58"/>
      <c r="J16" s="57"/>
      <c r="K16" s="57"/>
      <c r="L16" s="57"/>
      <c r="M16" s="57" t="s">
        <v>22</v>
      </c>
      <c r="N16" s="57"/>
      <c r="O16" s="58"/>
      <c r="P16" s="59"/>
      <c r="Q16" s="60"/>
    </row>
    <row r="17" ht="15.75" customHeight="1">
      <c r="A17" s="54">
        <v>15.0</v>
      </c>
      <c r="B17" s="55" t="s">
        <v>66</v>
      </c>
      <c r="C17" s="55" t="s">
        <v>677</v>
      </c>
      <c r="D17" s="55">
        <v>0.047</v>
      </c>
      <c r="E17" s="55" t="s">
        <v>21</v>
      </c>
      <c r="F17" s="55" t="s">
        <v>20</v>
      </c>
      <c r="G17" s="56" t="s">
        <v>22</v>
      </c>
      <c r="H17" s="57"/>
      <c r="I17" s="58"/>
      <c r="J17" s="57"/>
      <c r="K17" s="57" t="s">
        <v>22</v>
      </c>
      <c r="L17" s="57"/>
      <c r="M17" s="57"/>
      <c r="N17" s="57"/>
      <c r="O17" s="58"/>
      <c r="P17" s="59"/>
      <c r="Q17" s="60"/>
    </row>
    <row r="18" ht="15.75" customHeight="1">
      <c r="A18" s="54">
        <v>16.0</v>
      </c>
      <c r="B18" s="55" t="s">
        <v>68</v>
      </c>
      <c r="C18" s="55" t="s">
        <v>678</v>
      </c>
      <c r="D18" s="55">
        <v>0.742</v>
      </c>
      <c r="E18" s="55" t="s">
        <v>20</v>
      </c>
      <c r="F18" s="55" t="s">
        <v>21</v>
      </c>
      <c r="G18" s="56"/>
      <c r="H18" s="57" t="s">
        <v>22</v>
      </c>
      <c r="I18" s="58"/>
      <c r="J18" s="57"/>
      <c r="K18" s="57"/>
      <c r="L18" s="57"/>
      <c r="M18" s="57"/>
      <c r="N18" s="57" t="s">
        <v>22</v>
      </c>
      <c r="O18" s="58"/>
      <c r="P18" s="59"/>
      <c r="Q18" s="60"/>
    </row>
    <row r="19" ht="15.75" customHeight="1">
      <c r="A19" s="54">
        <v>17.0</v>
      </c>
      <c r="B19" s="55" t="s">
        <v>72</v>
      </c>
      <c r="C19" s="55" t="s">
        <v>679</v>
      </c>
      <c r="D19" s="55">
        <v>0.682</v>
      </c>
      <c r="E19" s="55" t="s">
        <v>20</v>
      </c>
      <c r="F19" s="55" t="s">
        <v>21</v>
      </c>
      <c r="G19" s="56"/>
      <c r="H19" s="57" t="s">
        <v>22</v>
      </c>
      <c r="I19" s="58"/>
      <c r="J19" s="57"/>
      <c r="K19" s="57"/>
      <c r="L19" s="57" t="s">
        <v>22</v>
      </c>
      <c r="M19" s="57"/>
      <c r="N19" s="57"/>
      <c r="O19" s="58"/>
      <c r="P19" s="59"/>
      <c r="Q19" s="60"/>
    </row>
    <row r="20" ht="15.75" customHeight="1">
      <c r="A20" s="54">
        <v>18.0</v>
      </c>
      <c r="B20" s="55" t="s">
        <v>75</v>
      </c>
      <c r="C20" s="55" t="s">
        <v>680</v>
      </c>
      <c r="D20" s="55">
        <v>0.022</v>
      </c>
      <c r="E20" s="55" t="s">
        <v>21</v>
      </c>
      <c r="F20" s="55" t="s">
        <v>20</v>
      </c>
      <c r="G20" s="56" t="s">
        <v>22</v>
      </c>
      <c r="H20" s="57"/>
      <c r="I20" s="58"/>
      <c r="J20" s="57"/>
      <c r="K20" s="57" t="s">
        <v>22</v>
      </c>
      <c r="L20" s="57"/>
      <c r="M20" s="57"/>
      <c r="N20" s="57"/>
      <c r="O20" s="58"/>
      <c r="P20" s="59"/>
      <c r="Q20" s="60"/>
    </row>
    <row r="21" ht="15.75" customHeight="1">
      <c r="A21" s="54">
        <v>19.0</v>
      </c>
      <c r="B21" s="55" t="s">
        <v>78</v>
      </c>
      <c r="C21" s="55" t="s">
        <v>681</v>
      </c>
      <c r="D21" s="55">
        <v>0.977</v>
      </c>
      <c r="E21" s="55" t="s">
        <v>20</v>
      </c>
      <c r="F21" s="55" t="s">
        <v>21</v>
      </c>
      <c r="G21" s="56"/>
      <c r="H21" s="57" t="s">
        <v>22</v>
      </c>
      <c r="I21" s="58"/>
      <c r="J21" s="57"/>
      <c r="K21" s="57"/>
      <c r="L21" s="57"/>
      <c r="M21" s="57"/>
      <c r="N21" s="57" t="s">
        <v>22</v>
      </c>
      <c r="O21" s="58"/>
      <c r="P21" s="59"/>
      <c r="Q21" s="60"/>
    </row>
    <row r="22" ht="15.75" customHeight="1">
      <c r="A22" s="54">
        <v>20.0</v>
      </c>
      <c r="B22" s="55" t="s">
        <v>81</v>
      </c>
      <c r="C22" s="55" t="s">
        <v>673</v>
      </c>
      <c r="D22" s="55">
        <v>0.977</v>
      </c>
      <c r="E22" s="55" t="s">
        <v>31</v>
      </c>
      <c r="F22" s="55" t="s">
        <v>21</v>
      </c>
      <c r="G22" s="56"/>
      <c r="H22" s="57" t="s">
        <v>22</v>
      </c>
      <c r="I22" s="58"/>
      <c r="J22" s="57"/>
      <c r="K22" s="57"/>
      <c r="L22" s="57"/>
      <c r="M22" s="57"/>
      <c r="N22" s="57"/>
      <c r="O22" s="58" t="s">
        <v>22</v>
      </c>
      <c r="P22" s="59"/>
      <c r="Q22" s="60"/>
    </row>
    <row r="23" ht="15.75" customHeight="1">
      <c r="A23" s="54">
        <v>21.0</v>
      </c>
      <c r="B23" s="55" t="s">
        <v>83</v>
      </c>
      <c r="C23" s="55" t="s">
        <v>682</v>
      </c>
      <c r="D23" s="55">
        <v>0.984</v>
      </c>
      <c r="E23" s="55" t="s">
        <v>20</v>
      </c>
      <c r="F23" s="55" t="s">
        <v>21</v>
      </c>
      <c r="G23" s="56"/>
      <c r="H23" s="57" t="s">
        <v>22</v>
      </c>
      <c r="I23" s="58"/>
      <c r="J23" s="57"/>
      <c r="K23" s="57"/>
      <c r="L23" s="57"/>
      <c r="M23" s="57"/>
      <c r="N23" s="57" t="s">
        <v>22</v>
      </c>
      <c r="O23" s="58"/>
      <c r="P23" s="59"/>
      <c r="Q23" s="60"/>
    </row>
    <row r="24" ht="15.75" customHeight="1">
      <c r="A24" s="54">
        <v>22.0</v>
      </c>
      <c r="B24" s="55" t="s">
        <v>86</v>
      </c>
      <c r="C24" s="55" t="s">
        <v>683</v>
      </c>
      <c r="D24" s="55">
        <v>0.005</v>
      </c>
      <c r="E24" s="55" t="s">
        <v>21</v>
      </c>
      <c r="F24" s="55" t="s">
        <v>31</v>
      </c>
      <c r="G24" s="56" t="s">
        <v>22</v>
      </c>
      <c r="H24" s="57"/>
      <c r="I24" s="58"/>
      <c r="J24" s="57"/>
      <c r="K24" s="57"/>
      <c r="L24" s="57"/>
      <c r="M24" s="57"/>
      <c r="N24" s="57"/>
      <c r="O24" s="58" t="s">
        <v>22</v>
      </c>
      <c r="P24" s="59" t="s">
        <v>684</v>
      </c>
      <c r="Q24" s="60"/>
    </row>
    <row r="25" ht="15.75" customHeight="1">
      <c r="A25" s="54">
        <v>23.0</v>
      </c>
      <c r="B25" s="55" t="s">
        <v>90</v>
      </c>
      <c r="C25" s="55" t="s">
        <v>685</v>
      </c>
      <c r="D25" s="55">
        <v>0.949</v>
      </c>
      <c r="E25" s="55" t="s">
        <v>31</v>
      </c>
      <c r="F25" s="55" t="s">
        <v>21</v>
      </c>
      <c r="G25" s="56"/>
      <c r="H25" s="57" t="s">
        <v>22</v>
      </c>
      <c r="I25" s="58"/>
      <c r="J25" s="57"/>
      <c r="K25" s="57"/>
      <c r="L25" s="57"/>
      <c r="M25" s="57"/>
      <c r="N25" s="57"/>
      <c r="O25" s="58" t="s">
        <v>22</v>
      </c>
      <c r="P25" s="59"/>
      <c r="Q25" s="60"/>
    </row>
    <row r="26" ht="15.75" customHeight="1">
      <c r="A26" s="54">
        <v>24.0</v>
      </c>
      <c r="B26" s="55" t="s">
        <v>93</v>
      </c>
      <c r="C26" s="55" t="s">
        <v>686</v>
      </c>
      <c r="D26" s="55">
        <v>0.002</v>
      </c>
      <c r="E26" s="55" t="s">
        <v>21</v>
      </c>
      <c r="F26" s="55" t="s">
        <v>20</v>
      </c>
      <c r="G26" s="56"/>
      <c r="H26" s="57"/>
      <c r="I26" s="58" t="s">
        <v>22</v>
      </c>
      <c r="J26" s="57" t="s">
        <v>22</v>
      </c>
      <c r="K26" s="57"/>
      <c r="L26" s="57"/>
      <c r="M26" s="57"/>
      <c r="N26" s="57"/>
      <c r="O26" s="58"/>
      <c r="P26" s="59" t="s">
        <v>687</v>
      </c>
      <c r="Q26" s="60"/>
    </row>
    <row r="27" ht="15.75" customHeight="1">
      <c r="A27" s="54">
        <v>25.0</v>
      </c>
      <c r="B27" s="55" t="s">
        <v>97</v>
      </c>
      <c r="C27" s="55" t="s">
        <v>688</v>
      </c>
      <c r="D27" s="55">
        <v>0.887</v>
      </c>
      <c r="E27" s="55" t="s">
        <v>20</v>
      </c>
      <c r="F27" s="55" t="s">
        <v>21</v>
      </c>
      <c r="G27" s="56"/>
      <c r="H27" s="57"/>
      <c r="I27" s="58" t="s">
        <v>22</v>
      </c>
      <c r="J27" s="57"/>
      <c r="K27" s="57"/>
      <c r="L27" s="57"/>
      <c r="M27" s="57"/>
      <c r="N27" s="57"/>
      <c r="O27" s="58"/>
      <c r="P27" s="59" t="s">
        <v>689</v>
      </c>
      <c r="Q27" s="60"/>
    </row>
    <row r="28" ht="15.75" customHeight="1">
      <c r="A28" s="54">
        <v>27.0</v>
      </c>
      <c r="B28" s="55" t="s">
        <v>101</v>
      </c>
      <c r="C28" s="55" t="s">
        <v>690</v>
      </c>
      <c r="D28" s="55">
        <v>0.717</v>
      </c>
      <c r="E28" s="55" t="s">
        <v>20</v>
      </c>
      <c r="F28" s="55" t="s">
        <v>21</v>
      </c>
      <c r="G28" s="56"/>
      <c r="H28" s="57" t="s">
        <v>22</v>
      </c>
      <c r="I28" s="58"/>
      <c r="J28" s="57"/>
      <c r="K28" s="57" t="s">
        <v>22</v>
      </c>
      <c r="L28" s="57"/>
      <c r="M28" s="57"/>
      <c r="N28" s="57"/>
      <c r="O28" s="58"/>
      <c r="P28" s="59" t="s">
        <v>691</v>
      </c>
      <c r="Q28" s="60"/>
    </row>
    <row r="29" ht="15.75" customHeight="1">
      <c r="A29" s="54">
        <v>28.0</v>
      </c>
      <c r="B29" s="55" t="s">
        <v>105</v>
      </c>
      <c r="C29" s="55" t="s">
        <v>692</v>
      </c>
      <c r="D29" s="55">
        <v>0.976</v>
      </c>
      <c r="E29" s="55" t="s">
        <v>31</v>
      </c>
      <c r="F29" s="55" t="s">
        <v>21</v>
      </c>
      <c r="G29" s="56"/>
      <c r="H29" s="57" t="s">
        <v>22</v>
      </c>
      <c r="I29" s="58"/>
      <c r="J29" s="57"/>
      <c r="K29" s="57"/>
      <c r="L29" s="57"/>
      <c r="M29" s="57"/>
      <c r="N29" s="57"/>
      <c r="O29" s="58" t="s">
        <v>22</v>
      </c>
      <c r="P29" s="59"/>
      <c r="Q29" s="60"/>
    </row>
    <row r="30" ht="15.75" customHeight="1">
      <c r="A30" s="54">
        <v>29.0</v>
      </c>
      <c r="B30" s="55" t="s">
        <v>108</v>
      </c>
      <c r="C30" s="55" t="s">
        <v>693</v>
      </c>
      <c r="D30" s="55">
        <v>0.006</v>
      </c>
      <c r="E30" s="55" t="s">
        <v>20</v>
      </c>
      <c r="F30" s="55" t="s">
        <v>26</v>
      </c>
      <c r="G30" s="56"/>
      <c r="H30" s="57" t="s">
        <v>22</v>
      </c>
      <c r="I30" s="58"/>
      <c r="J30" s="57"/>
      <c r="K30" s="57"/>
      <c r="L30" s="57"/>
      <c r="M30" s="57" t="s">
        <v>22</v>
      </c>
      <c r="N30" s="57"/>
      <c r="O30" s="58"/>
      <c r="P30" s="59"/>
      <c r="Q30" s="60"/>
    </row>
    <row r="31" ht="15.75" customHeight="1">
      <c r="A31" s="54">
        <v>30.0</v>
      </c>
      <c r="B31" s="55" t="s">
        <v>112</v>
      </c>
      <c r="C31" s="55" t="s">
        <v>694</v>
      </c>
      <c r="D31" s="55">
        <v>0.122</v>
      </c>
      <c r="E31" s="55" t="s">
        <v>21</v>
      </c>
      <c r="F31" s="55" t="s">
        <v>20</v>
      </c>
      <c r="G31" s="56" t="s">
        <v>22</v>
      </c>
      <c r="H31" s="57"/>
      <c r="I31" s="58"/>
      <c r="J31" s="57"/>
      <c r="K31" s="57" t="s">
        <v>22</v>
      </c>
      <c r="L31" s="57"/>
      <c r="M31" s="57"/>
      <c r="N31" s="57"/>
      <c r="O31" s="58"/>
      <c r="P31" s="59"/>
      <c r="Q31" s="60"/>
    </row>
    <row r="32" ht="15.75" customHeight="1">
      <c r="A32" s="54">
        <v>31.0</v>
      </c>
      <c r="B32" s="55" t="s">
        <v>115</v>
      </c>
      <c r="C32" s="55" t="s">
        <v>695</v>
      </c>
      <c r="D32" s="55">
        <v>0.971</v>
      </c>
      <c r="E32" s="55" t="s">
        <v>31</v>
      </c>
      <c r="F32" s="55" t="s">
        <v>21</v>
      </c>
      <c r="G32" s="56"/>
      <c r="H32" s="57" t="s">
        <v>22</v>
      </c>
      <c r="I32" s="58"/>
      <c r="J32" s="57"/>
      <c r="K32" s="57"/>
      <c r="L32" s="57"/>
      <c r="M32" s="57"/>
      <c r="N32" s="57"/>
      <c r="O32" s="58" t="s">
        <v>22</v>
      </c>
      <c r="P32" s="59"/>
      <c r="Q32" s="60"/>
    </row>
    <row r="33" ht="15.75" customHeight="1">
      <c r="A33" s="54">
        <v>33.0</v>
      </c>
      <c r="B33" s="55" t="s">
        <v>118</v>
      </c>
      <c r="C33" s="55" t="s">
        <v>696</v>
      </c>
      <c r="D33" s="55">
        <v>0.03</v>
      </c>
      <c r="E33" s="55" t="s">
        <v>21</v>
      </c>
      <c r="F33" s="55" t="s">
        <v>20</v>
      </c>
      <c r="G33" s="56" t="s">
        <v>22</v>
      </c>
      <c r="H33" s="57"/>
      <c r="I33" s="58"/>
      <c r="J33" s="57"/>
      <c r="K33" s="57" t="s">
        <v>22</v>
      </c>
      <c r="L33" s="57"/>
      <c r="M33" s="57"/>
      <c r="N33" s="57"/>
      <c r="O33" s="58"/>
      <c r="P33" s="59"/>
      <c r="Q33" s="60"/>
    </row>
    <row r="34" ht="15.75" customHeight="1">
      <c r="A34" s="54">
        <v>34.0</v>
      </c>
      <c r="B34" s="55" t="s">
        <v>121</v>
      </c>
      <c r="C34" s="55" t="s">
        <v>697</v>
      </c>
      <c r="D34" s="55">
        <v>0.854</v>
      </c>
      <c r="E34" s="55" t="s">
        <v>20</v>
      </c>
      <c r="F34" s="55" t="s">
        <v>21</v>
      </c>
      <c r="G34" s="56"/>
      <c r="H34" s="57"/>
      <c r="I34" s="58" t="s">
        <v>22</v>
      </c>
      <c r="J34" s="57"/>
      <c r="K34" s="57"/>
      <c r="L34" s="57"/>
      <c r="M34" s="57"/>
      <c r="N34" s="57"/>
      <c r="O34" s="58"/>
      <c r="P34" s="59" t="s">
        <v>698</v>
      </c>
      <c r="Q34" s="60"/>
    </row>
    <row r="35" ht="15.75" customHeight="1">
      <c r="A35" s="54">
        <v>36.0</v>
      </c>
      <c r="B35" s="55" t="s">
        <v>125</v>
      </c>
      <c r="C35" s="55" t="s">
        <v>699</v>
      </c>
      <c r="D35" s="55">
        <v>0.137</v>
      </c>
      <c r="E35" s="55" t="s">
        <v>21</v>
      </c>
      <c r="F35" s="55" t="s">
        <v>20</v>
      </c>
      <c r="G35" s="56" t="s">
        <v>22</v>
      </c>
      <c r="H35" s="57"/>
      <c r="I35" s="58"/>
      <c r="J35" s="57"/>
      <c r="K35" s="57" t="s">
        <v>22</v>
      </c>
      <c r="L35" s="57"/>
      <c r="M35" s="57"/>
      <c r="N35" s="57"/>
      <c r="O35" s="58"/>
      <c r="P35" s="59"/>
      <c r="Q35" s="60"/>
    </row>
    <row r="36" ht="15.75" customHeight="1">
      <c r="A36" s="54">
        <v>37.0</v>
      </c>
      <c r="B36" s="55" t="s">
        <v>128</v>
      </c>
      <c r="C36" s="55" t="s">
        <v>700</v>
      </c>
      <c r="D36" s="55">
        <v>0.003</v>
      </c>
      <c r="E36" s="55" t="s">
        <v>21</v>
      </c>
      <c r="F36" s="55" t="s">
        <v>20</v>
      </c>
      <c r="G36" s="56" t="s">
        <v>22</v>
      </c>
      <c r="H36" s="57"/>
      <c r="I36" s="58"/>
      <c r="J36" s="57"/>
      <c r="K36" s="57" t="s">
        <v>22</v>
      </c>
      <c r="L36" s="57"/>
      <c r="M36" s="57"/>
      <c r="N36" s="57"/>
      <c r="O36" s="58"/>
      <c r="P36" s="59"/>
      <c r="Q36" s="60"/>
    </row>
    <row r="37" ht="15.75" customHeight="1">
      <c r="A37" s="54">
        <v>38.0</v>
      </c>
      <c r="B37" s="55" t="s">
        <v>130</v>
      </c>
      <c r="C37" s="55" t="s">
        <v>701</v>
      </c>
      <c r="D37" s="55">
        <v>0.121</v>
      </c>
      <c r="E37" s="55" t="s">
        <v>21</v>
      </c>
      <c r="F37" s="55" t="s">
        <v>20</v>
      </c>
      <c r="G37" s="56" t="s">
        <v>22</v>
      </c>
      <c r="H37" s="57"/>
      <c r="I37" s="58"/>
      <c r="J37" s="57"/>
      <c r="K37" s="57" t="s">
        <v>22</v>
      </c>
      <c r="L37" s="57"/>
      <c r="M37" s="57"/>
      <c r="N37" s="57"/>
      <c r="O37" s="58"/>
      <c r="P37" s="59"/>
      <c r="Q37" s="60"/>
    </row>
    <row r="38" ht="15.75" customHeight="1">
      <c r="A38" s="54">
        <v>40.0</v>
      </c>
      <c r="B38" s="55" t="s">
        <v>133</v>
      </c>
      <c r="C38" s="55" t="s">
        <v>688</v>
      </c>
      <c r="D38" s="55">
        <v>0.955</v>
      </c>
      <c r="E38" s="55" t="s">
        <v>31</v>
      </c>
      <c r="F38" s="55" t="s">
        <v>21</v>
      </c>
      <c r="G38" s="56"/>
      <c r="H38" s="57" t="s">
        <v>22</v>
      </c>
      <c r="I38" s="58"/>
      <c r="J38" s="57"/>
      <c r="K38" s="57"/>
      <c r="L38" s="57"/>
      <c r="M38" s="57"/>
      <c r="N38" s="57"/>
      <c r="O38" s="58" t="s">
        <v>22</v>
      </c>
      <c r="P38" s="59"/>
      <c r="Q38" s="60"/>
    </row>
    <row r="39" ht="15.75" customHeight="1">
      <c r="A39" s="54">
        <v>41.0</v>
      </c>
      <c r="B39" s="55" t="s">
        <v>135</v>
      </c>
      <c r="C39" s="55" t="s">
        <v>702</v>
      </c>
      <c r="D39" s="55">
        <v>0.061</v>
      </c>
      <c r="E39" s="55" t="s">
        <v>21</v>
      </c>
      <c r="F39" s="55" t="s">
        <v>31</v>
      </c>
      <c r="G39" s="56" t="s">
        <v>22</v>
      </c>
      <c r="H39" s="57"/>
      <c r="I39" s="58"/>
      <c r="J39" s="57"/>
      <c r="K39" s="57"/>
      <c r="L39" s="57" t="s">
        <v>22</v>
      </c>
      <c r="M39" s="57"/>
      <c r="N39" s="57"/>
      <c r="O39" s="58"/>
      <c r="P39" s="59"/>
      <c r="Q39" s="60"/>
    </row>
    <row r="40" ht="15.75" customHeight="1">
      <c r="A40" s="54">
        <v>42.0</v>
      </c>
      <c r="B40" s="55" t="s">
        <v>139</v>
      </c>
      <c r="C40" s="55" t="s">
        <v>703</v>
      </c>
      <c r="D40" s="55">
        <v>0.895</v>
      </c>
      <c r="E40" s="55" t="s">
        <v>31</v>
      </c>
      <c r="F40" s="55" t="s">
        <v>21</v>
      </c>
      <c r="G40" s="56"/>
      <c r="H40" s="57"/>
      <c r="I40" s="58" t="s">
        <v>22</v>
      </c>
      <c r="J40" s="57"/>
      <c r="K40" s="57"/>
      <c r="L40" s="57"/>
      <c r="M40" s="57"/>
      <c r="N40" s="57"/>
      <c r="O40" s="58"/>
      <c r="P40" s="59" t="s">
        <v>704</v>
      </c>
      <c r="Q40" s="60"/>
    </row>
    <row r="41" ht="15.75" customHeight="1">
      <c r="A41" s="54">
        <v>43.0</v>
      </c>
      <c r="B41" s="55" t="s">
        <v>143</v>
      </c>
      <c r="C41" s="55" t="s">
        <v>705</v>
      </c>
      <c r="D41" s="55">
        <v>0.928</v>
      </c>
      <c r="E41" s="55" t="s">
        <v>20</v>
      </c>
      <c r="F41" s="55" t="s">
        <v>21</v>
      </c>
      <c r="G41" s="56" t="s">
        <v>22</v>
      </c>
      <c r="H41" s="57"/>
      <c r="I41" s="58"/>
      <c r="J41" s="57" t="s">
        <v>22</v>
      </c>
      <c r="K41" s="57"/>
      <c r="L41" s="57"/>
      <c r="M41" s="57"/>
      <c r="N41" s="57"/>
      <c r="O41" s="58"/>
      <c r="P41" s="59"/>
      <c r="Q41" s="60"/>
    </row>
    <row r="42" ht="15.75" customHeight="1">
      <c r="A42" s="54">
        <v>44.0</v>
      </c>
      <c r="B42" s="55" t="s">
        <v>146</v>
      </c>
      <c r="C42" s="55" t="s">
        <v>706</v>
      </c>
      <c r="D42" s="55">
        <v>0.165</v>
      </c>
      <c r="E42" s="55" t="s">
        <v>21</v>
      </c>
      <c r="F42" s="55" t="s">
        <v>20</v>
      </c>
      <c r="G42" s="56" t="s">
        <v>22</v>
      </c>
      <c r="H42" s="57"/>
      <c r="I42" s="58"/>
      <c r="J42" s="57"/>
      <c r="K42" s="57" t="s">
        <v>22</v>
      </c>
      <c r="L42" s="57"/>
      <c r="M42" s="57"/>
      <c r="N42" s="57"/>
      <c r="O42" s="58"/>
      <c r="P42" s="59"/>
      <c r="Q42" s="60"/>
    </row>
    <row r="43" ht="15.75" customHeight="1">
      <c r="A43" s="54">
        <v>45.0</v>
      </c>
      <c r="B43" s="55" t="s">
        <v>149</v>
      </c>
      <c r="C43" s="55" t="s">
        <v>707</v>
      </c>
      <c r="D43" s="55">
        <v>0.935</v>
      </c>
      <c r="E43" s="55" t="s">
        <v>20</v>
      </c>
      <c r="F43" s="55" t="s">
        <v>21</v>
      </c>
      <c r="G43" s="56"/>
      <c r="H43" s="57" t="s">
        <v>22</v>
      </c>
      <c r="I43" s="58"/>
      <c r="J43" s="57"/>
      <c r="K43" s="57"/>
      <c r="L43" s="57"/>
      <c r="M43" s="57"/>
      <c r="N43" s="57"/>
      <c r="O43" s="58"/>
      <c r="P43" s="59" t="s">
        <v>691</v>
      </c>
      <c r="Q43" s="60"/>
    </row>
    <row r="44" ht="15.75" customHeight="1">
      <c r="A44" s="54">
        <v>46.0</v>
      </c>
      <c r="B44" s="55" t="s">
        <v>153</v>
      </c>
      <c r="C44" s="55" t="s">
        <v>708</v>
      </c>
      <c r="D44" s="55">
        <v>0.047</v>
      </c>
      <c r="E44" s="55" t="s">
        <v>21</v>
      </c>
      <c r="F44" s="55" t="s">
        <v>20</v>
      </c>
      <c r="G44" s="56" t="s">
        <v>22</v>
      </c>
      <c r="H44" s="57"/>
      <c r="I44" s="58"/>
      <c r="J44" s="57"/>
      <c r="K44" s="57" t="s">
        <v>22</v>
      </c>
      <c r="L44" s="57"/>
      <c r="M44" s="57"/>
      <c r="N44" s="57"/>
      <c r="O44" s="58"/>
      <c r="P44" s="59"/>
      <c r="Q44" s="60"/>
    </row>
    <row r="45" ht="15.75" customHeight="1">
      <c r="A45" s="54">
        <v>47.0</v>
      </c>
      <c r="B45" s="55" t="s">
        <v>155</v>
      </c>
      <c r="C45" s="55" t="s">
        <v>709</v>
      </c>
      <c r="D45" s="55">
        <v>0.052</v>
      </c>
      <c r="E45" s="55" t="s">
        <v>21</v>
      </c>
      <c r="F45" s="55" t="s">
        <v>20</v>
      </c>
      <c r="G45" s="56" t="s">
        <v>22</v>
      </c>
      <c r="H45" s="57"/>
      <c r="I45" s="58"/>
      <c r="J45" s="57"/>
      <c r="K45" s="57" t="s">
        <v>22</v>
      </c>
      <c r="L45" s="57"/>
      <c r="M45" s="57"/>
      <c r="N45" s="57"/>
      <c r="O45" s="58"/>
      <c r="P45" s="59"/>
      <c r="Q45" s="60"/>
    </row>
    <row r="46" ht="15.75" customHeight="1">
      <c r="A46" s="54">
        <v>48.0</v>
      </c>
      <c r="B46" s="55" t="s">
        <v>158</v>
      </c>
      <c r="C46" s="55" t="s">
        <v>710</v>
      </c>
      <c r="D46" s="55">
        <v>0.455</v>
      </c>
      <c r="E46" s="55" t="s">
        <v>20</v>
      </c>
      <c r="F46" s="55" t="s">
        <v>21</v>
      </c>
      <c r="G46" s="56" t="s">
        <v>22</v>
      </c>
      <c r="H46" s="57"/>
      <c r="I46" s="58"/>
      <c r="J46" s="57" t="s">
        <v>22</v>
      </c>
      <c r="K46" s="57"/>
      <c r="L46" s="57"/>
      <c r="M46" s="57"/>
      <c r="N46" s="57"/>
      <c r="O46" s="58"/>
      <c r="P46" s="59"/>
      <c r="Q46" s="60"/>
    </row>
    <row r="47" ht="15.75" customHeight="1">
      <c r="A47" s="54">
        <v>49.0</v>
      </c>
      <c r="B47" s="55" t="s">
        <v>162</v>
      </c>
      <c r="C47" s="55" t="s">
        <v>711</v>
      </c>
      <c r="D47" s="55">
        <v>0.594</v>
      </c>
      <c r="E47" s="55" t="s">
        <v>20</v>
      </c>
      <c r="F47" s="55" t="s">
        <v>21</v>
      </c>
      <c r="G47" s="56"/>
      <c r="H47" s="57"/>
      <c r="I47" s="58" t="s">
        <v>22</v>
      </c>
      <c r="J47" s="57"/>
      <c r="K47" s="57"/>
      <c r="L47" s="57"/>
      <c r="M47" s="57"/>
      <c r="N47" s="57"/>
      <c r="O47" s="58"/>
      <c r="P47" s="59" t="s">
        <v>712</v>
      </c>
      <c r="Q47" s="60"/>
    </row>
    <row r="48" ht="15.75" customHeight="1">
      <c r="A48" s="54">
        <v>51.0</v>
      </c>
      <c r="B48" s="55" t="s">
        <v>166</v>
      </c>
      <c r="C48" s="55" t="s">
        <v>713</v>
      </c>
      <c r="D48" s="55">
        <v>0.346</v>
      </c>
      <c r="E48" s="55" t="s">
        <v>21</v>
      </c>
      <c r="F48" s="55" t="s">
        <v>31</v>
      </c>
      <c r="G48" s="56" t="s">
        <v>22</v>
      </c>
      <c r="H48" s="57"/>
      <c r="I48" s="58"/>
      <c r="J48" s="57"/>
      <c r="K48" s="57"/>
      <c r="L48" s="57" t="s">
        <v>22</v>
      </c>
      <c r="M48" s="57"/>
      <c r="N48" s="57"/>
      <c r="O48" s="58"/>
      <c r="P48" s="59"/>
      <c r="Q48" s="60"/>
    </row>
    <row r="49" ht="15.75" customHeight="1">
      <c r="A49" s="54">
        <v>52.0</v>
      </c>
      <c r="B49" s="55" t="s">
        <v>170</v>
      </c>
      <c r="C49" s="55" t="s">
        <v>714</v>
      </c>
      <c r="D49" s="55">
        <v>0.959</v>
      </c>
      <c r="E49" s="55" t="s">
        <v>20</v>
      </c>
      <c r="F49" s="55" t="s">
        <v>21</v>
      </c>
      <c r="G49" s="56"/>
      <c r="H49" s="57" t="s">
        <v>22</v>
      </c>
      <c r="I49" s="58"/>
      <c r="J49" s="57"/>
      <c r="K49" s="57"/>
      <c r="L49" s="57"/>
      <c r="M49" s="57"/>
      <c r="N49" s="57" t="s">
        <v>22</v>
      </c>
      <c r="O49" s="58"/>
      <c r="P49" s="59"/>
      <c r="Q49" s="60"/>
    </row>
    <row r="50" ht="15.75" customHeight="1">
      <c r="A50" s="54">
        <v>54.0</v>
      </c>
      <c r="B50" s="55" t="s">
        <v>173</v>
      </c>
      <c r="C50" s="55" t="s">
        <v>715</v>
      </c>
      <c r="D50" s="55">
        <v>0.943</v>
      </c>
      <c r="E50" s="55" t="s">
        <v>20</v>
      </c>
      <c r="F50" s="55" t="s">
        <v>21</v>
      </c>
      <c r="G50" s="56"/>
      <c r="H50" s="57" t="s">
        <v>22</v>
      </c>
      <c r="I50" s="58"/>
      <c r="J50" s="57"/>
      <c r="K50" s="57"/>
      <c r="L50" s="57"/>
      <c r="M50" s="57"/>
      <c r="N50" s="57" t="s">
        <v>22</v>
      </c>
      <c r="O50" s="58"/>
      <c r="P50" s="59"/>
      <c r="Q50" s="60"/>
    </row>
    <row r="51" ht="15.75" customHeight="1">
      <c r="A51" s="54">
        <v>55.0</v>
      </c>
      <c r="B51" s="55" t="s">
        <v>176</v>
      </c>
      <c r="C51" s="55" t="s">
        <v>716</v>
      </c>
      <c r="D51" s="55">
        <v>0.03</v>
      </c>
      <c r="E51" s="55" t="s">
        <v>21</v>
      </c>
      <c r="F51" s="55" t="s">
        <v>20</v>
      </c>
      <c r="G51" s="56" t="s">
        <v>22</v>
      </c>
      <c r="H51" s="57"/>
      <c r="I51" s="58"/>
      <c r="J51" s="57"/>
      <c r="K51" s="57" t="s">
        <v>22</v>
      </c>
      <c r="L51" s="57"/>
      <c r="M51" s="57"/>
      <c r="N51" s="57"/>
      <c r="O51" s="58"/>
      <c r="P51" s="59"/>
      <c r="Q51" s="60"/>
    </row>
    <row r="52" ht="15.75" customHeight="1">
      <c r="A52" s="54">
        <v>56.0</v>
      </c>
      <c r="B52" s="55" t="s">
        <v>178</v>
      </c>
      <c r="C52" s="55" t="s">
        <v>717</v>
      </c>
      <c r="D52" s="55">
        <v>0.01</v>
      </c>
      <c r="E52" s="55" t="s">
        <v>20</v>
      </c>
      <c r="F52" s="55" t="s">
        <v>26</v>
      </c>
      <c r="G52" s="56"/>
      <c r="H52" s="57" t="s">
        <v>22</v>
      </c>
      <c r="I52" s="58"/>
      <c r="J52" s="57"/>
      <c r="K52" s="57"/>
      <c r="L52" s="57"/>
      <c r="M52" s="57" t="s">
        <v>22</v>
      </c>
      <c r="N52" s="57"/>
      <c r="O52" s="58"/>
      <c r="P52" s="59"/>
      <c r="Q52" s="60"/>
    </row>
    <row r="53" ht="15.75" customHeight="1">
      <c r="A53" s="54">
        <v>57.0</v>
      </c>
      <c r="B53" s="55" t="s">
        <v>182</v>
      </c>
      <c r="C53" s="55" t="s">
        <v>718</v>
      </c>
      <c r="D53" s="55">
        <v>0.209</v>
      </c>
      <c r="E53" s="55" t="s">
        <v>21</v>
      </c>
      <c r="F53" s="55" t="s">
        <v>20</v>
      </c>
      <c r="G53" s="56" t="s">
        <v>22</v>
      </c>
      <c r="H53" s="57"/>
      <c r="I53" s="58"/>
      <c r="J53" s="57"/>
      <c r="K53" s="57" t="s">
        <v>22</v>
      </c>
      <c r="L53" s="57"/>
      <c r="M53" s="57"/>
      <c r="N53" s="57"/>
      <c r="O53" s="58"/>
      <c r="P53" s="59"/>
      <c r="Q53" s="60"/>
    </row>
    <row r="54" ht="15.75" customHeight="1">
      <c r="A54" s="54">
        <v>58.0</v>
      </c>
      <c r="B54" s="55" t="s">
        <v>185</v>
      </c>
      <c r="C54" s="55" t="s">
        <v>719</v>
      </c>
      <c r="D54" s="55">
        <v>0.862</v>
      </c>
      <c r="E54" s="55" t="s">
        <v>31</v>
      </c>
      <c r="F54" s="55" t="s">
        <v>21</v>
      </c>
      <c r="G54" s="56"/>
      <c r="H54" s="57" t="s">
        <v>22</v>
      </c>
      <c r="I54" s="58"/>
      <c r="J54" s="57" t="s">
        <v>22</v>
      </c>
      <c r="K54" s="57"/>
      <c r="L54" s="57"/>
      <c r="M54" s="57"/>
      <c r="N54" s="57"/>
      <c r="O54" s="58"/>
      <c r="P54" s="59"/>
      <c r="Q54" s="60"/>
    </row>
    <row r="55" ht="15.75" customHeight="1">
      <c r="A55" s="54">
        <v>59.0</v>
      </c>
      <c r="B55" s="55" t="s">
        <v>188</v>
      </c>
      <c r="C55" s="55" t="s">
        <v>720</v>
      </c>
      <c r="D55" s="55">
        <v>0.834</v>
      </c>
      <c r="E55" s="55" t="s">
        <v>20</v>
      </c>
      <c r="F55" s="55" t="s">
        <v>21</v>
      </c>
      <c r="G55" s="56"/>
      <c r="H55" s="57"/>
      <c r="I55" s="58" t="s">
        <v>22</v>
      </c>
      <c r="J55" s="57"/>
      <c r="K55" s="57"/>
      <c r="L55" s="57"/>
      <c r="M55" s="57"/>
      <c r="N55" s="57"/>
      <c r="O55" s="58"/>
      <c r="P55" s="59" t="s">
        <v>698</v>
      </c>
      <c r="Q55" s="60"/>
    </row>
    <row r="56" ht="15.75" customHeight="1">
      <c r="A56" s="54">
        <v>61.0</v>
      </c>
      <c r="B56" s="55" t="s">
        <v>191</v>
      </c>
      <c r="C56" s="55" t="s">
        <v>721</v>
      </c>
      <c r="D56" s="55">
        <v>0.003</v>
      </c>
      <c r="E56" s="55" t="s">
        <v>20</v>
      </c>
      <c r="F56" s="55" t="s">
        <v>26</v>
      </c>
      <c r="G56" s="56"/>
      <c r="H56" s="57" t="s">
        <v>22</v>
      </c>
      <c r="I56" s="58"/>
      <c r="J56" s="57"/>
      <c r="K56" s="57"/>
      <c r="L56" s="57"/>
      <c r="M56" s="57" t="s">
        <v>22</v>
      </c>
      <c r="N56" s="57"/>
      <c r="O56" s="58"/>
      <c r="P56" s="59"/>
      <c r="Q56" s="60"/>
    </row>
    <row r="57" ht="15.75" customHeight="1">
      <c r="A57" s="54">
        <v>62.0</v>
      </c>
      <c r="B57" s="55" t="s">
        <v>194</v>
      </c>
      <c r="C57" s="55" t="s">
        <v>722</v>
      </c>
      <c r="D57" s="55">
        <v>0.047</v>
      </c>
      <c r="E57" s="55" t="s">
        <v>21</v>
      </c>
      <c r="F57" s="55" t="s">
        <v>20</v>
      </c>
      <c r="G57" s="56" t="s">
        <v>22</v>
      </c>
      <c r="H57" s="57"/>
      <c r="I57" s="58"/>
      <c r="J57" s="57"/>
      <c r="K57" s="57" t="s">
        <v>22</v>
      </c>
      <c r="L57" s="57"/>
      <c r="M57" s="57"/>
      <c r="N57" s="57"/>
      <c r="O57" s="58"/>
      <c r="P57" s="59"/>
      <c r="Q57" s="60"/>
    </row>
    <row r="58" ht="15.75" customHeight="1">
      <c r="A58" s="54">
        <v>63.0</v>
      </c>
      <c r="B58" s="55" t="s">
        <v>196</v>
      </c>
      <c r="C58" s="55" t="s">
        <v>723</v>
      </c>
      <c r="D58" s="55">
        <v>0.205</v>
      </c>
      <c r="E58" s="55" t="s">
        <v>21</v>
      </c>
      <c r="F58" s="55" t="s">
        <v>20</v>
      </c>
      <c r="G58" s="56" t="s">
        <v>22</v>
      </c>
      <c r="H58" s="57"/>
      <c r="I58" s="58"/>
      <c r="J58" s="57"/>
      <c r="K58" s="57" t="s">
        <v>22</v>
      </c>
      <c r="L58" s="57"/>
      <c r="M58" s="57"/>
      <c r="N58" s="57"/>
      <c r="O58" s="58"/>
      <c r="P58" s="59"/>
      <c r="Q58" s="60"/>
    </row>
    <row r="59" ht="15.75" customHeight="1">
      <c r="A59" s="54">
        <v>64.0</v>
      </c>
      <c r="B59" s="55" t="s">
        <v>199</v>
      </c>
      <c r="C59" s="55" t="s">
        <v>724</v>
      </c>
      <c r="D59" s="55">
        <v>0.901</v>
      </c>
      <c r="E59" s="55" t="s">
        <v>20</v>
      </c>
      <c r="F59" s="55" t="s">
        <v>21</v>
      </c>
      <c r="G59" s="56"/>
      <c r="H59" s="57" t="s">
        <v>22</v>
      </c>
      <c r="I59" s="58"/>
      <c r="J59" s="57"/>
      <c r="K59" s="57"/>
      <c r="L59" s="57" t="s">
        <v>22</v>
      </c>
      <c r="M59" s="57"/>
      <c r="N59" s="57"/>
      <c r="O59" s="58"/>
      <c r="P59" s="59"/>
      <c r="Q59" s="60"/>
    </row>
    <row r="60" ht="15.75" customHeight="1">
      <c r="A60" s="54">
        <v>66.0</v>
      </c>
      <c r="B60" s="55" t="s">
        <v>202</v>
      </c>
      <c r="C60" s="55" t="s">
        <v>725</v>
      </c>
      <c r="D60" s="55">
        <v>0.029</v>
      </c>
      <c r="E60" s="55" t="s">
        <v>21</v>
      </c>
      <c r="F60" s="55" t="s">
        <v>20</v>
      </c>
      <c r="G60" s="56" t="s">
        <v>22</v>
      </c>
      <c r="H60" s="57"/>
      <c r="I60" s="58"/>
      <c r="J60" s="57"/>
      <c r="K60" s="57" t="s">
        <v>22</v>
      </c>
      <c r="L60" s="57"/>
      <c r="M60" s="57"/>
      <c r="N60" s="57"/>
      <c r="O60" s="58"/>
      <c r="P60" s="59"/>
      <c r="Q60" s="60"/>
    </row>
    <row r="61" ht="15.75" customHeight="1">
      <c r="A61" s="54">
        <v>67.0</v>
      </c>
      <c r="B61" s="55" t="s">
        <v>205</v>
      </c>
      <c r="C61" s="55" t="s">
        <v>726</v>
      </c>
      <c r="D61" s="55">
        <v>0.003</v>
      </c>
      <c r="E61" s="55" t="s">
        <v>26</v>
      </c>
      <c r="F61" s="55" t="s">
        <v>20</v>
      </c>
      <c r="G61" s="56"/>
      <c r="H61" s="57" t="s">
        <v>22</v>
      </c>
      <c r="I61" s="58"/>
      <c r="J61" s="57"/>
      <c r="K61" s="57"/>
      <c r="L61" s="57"/>
      <c r="M61" s="57"/>
      <c r="N61" s="57"/>
      <c r="O61" s="58" t="s">
        <v>22</v>
      </c>
      <c r="P61" s="59"/>
      <c r="Q61" s="60"/>
    </row>
    <row r="62" ht="15.75" customHeight="1">
      <c r="A62" s="54">
        <v>69.0</v>
      </c>
      <c r="B62" s="55" t="s">
        <v>207</v>
      </c>
      <c r="C62" s="55" t="s">
        <v>727</v>
      </c>
      <c r="D62" s="55">
        <v>0.012</v>
      </c>
      <c r="E62" s="55" t="s">
        <v>21</v>
      </c>
      <c r="F62" s="55" t="s">
        <v>31</v>
      </c>
      <c r="G62" s="56" t="s">
        <v>22</v>
      </c>
      <c r="H62" s="57"/>
      <c r="I62" s="58"/>
      <c r="J62" s="57"/>
      <c r="K62" s="57"/>
      <c r="L62" s="57" t="s">
        <v>22</v>
      </c>
      <c r="M62" s="57"/>
      <c r="N62" s="57"/>
      <c r="O62" s="58"/>
      <c r="P62" s="59"/>
      <c r="Q62" s="60"/>
    </row>
    <row r="63" ht="15.75" customHeight="1">
      <c r="A63" s="54">
        <v>70.0</v>
      </c>
      <c r="B63" s="55" t="s">
        <v>210</v>
      </c>
      <c r="C63" s="55" t="s">
        <v>728</v>
      </c>
      <c r="D63" s="55">
        <v>0.97</v>
      </c>
      <c r="E63" s="55" t="s">
        <v>31</v>
      </c>
      <c r="F63" s="55" t="s">
        <v>21</v>
      </c>
      <c r="G63" s="56"/>
      <c r="H63" s="57" t="s">
        <v>22</v>
      </c>
      <c r="I63" s="58"/>
      <c r="J63" s="57"/>
      <c r="K63" s="57"/>
      <c r="L63" s="57"/>
      <c r="M63" s="57"/>
      <c r="N63" s="57"/>
      <c r="O63" s="58" t="s">
        <v>22</v>
      </c>
      <c r="P63" s="59"/>
      <c r="Q63" s="60"/>
    </row>
    <row r="64" ht="15.75" customHeight="1">
      <c r="A64" s="54">
        <v>71.0</v>
      </c>
      <c r="B64" s="55" t="s">
        <v>213</v>
      </c>
      <c r="C64" s="55" t="s">
        <v>682</v>
      </c>
      <c r="D64" s="55">
        <v>0.976</v>
      </c>
      <c r="E64" s="55" t="s">
        <v>31</v>
      </c>
      <c r="F64" s="55" t="s">
        <v>21</v>
      </c>
      <c r="G64" s="56"/>
      <c r="H64" s="57" t="s">
        <v>22</v>
      </c>
      <c r="I64" s="58"/>
      <c r="J64" s="57"/>
      <c r="K64" s="57"/>
      <c r="L64" s="57"/>
      <c r="M64" s="57"/>
      <c r="N64" s="57"/>
      <c r="O64" s="58" t="s">
        <v>22</v>
      </c>
      <c r="P64" s="59"/>
      <c r="Q64" s="60"/>
    </row>
    <row r="65" ht="15.75" customHeight="1">
      <c r="A65" s="54">
        <v>72.0</v>
      </c>
      <c r="B65" s="55" t="s">
        <v>214</v>
      </c>
      <c r="C65" s="55" t="s">
        <v>729</v>
      </c>
      <c r="D65" s="55">
        <v>0.001</v>
      </c>
      <c r="E65" s="55" t="s">
        <v>20</v>
      </c>
      <c r="F65" s="55" t="s">
        <v>26</v>
      </c>
      <c r="G65" s="56"/>
      <c r="H65" s="57" t="s">
        <v>22</v>
      </c>
      <c r="I65" s="58"/>
      <c r="J65" s="57"/>
      <c r="K65" s="57"/>
      <c r="L65" s="57"/>
      <c r="M65" s="57" t="s">
        <v>22</v>
      </c>
      <c r="N65" s="57"/>
      <c r="O65" s="58"/>
      <c r="P65" s="59"/>
      <c r="Q65" s="60"/>
    </row>
    <row r="66" ht="15.75" customHeight="1">
      <c r="A66" s="54">
        <v>73.0</v>
      </c>
      <c r="B66" s="55" t="s">
        <v>218</v>
      </c>
      <c r="C66" s="55" t="s">
        <v>730</v>
      </c>
      <c r="D66" s="55">
        <v>0.966</v>
      </c>
      <c r="E66" s="55" t="s">
        <v>20</v>
      </c>
      <c r="F66" s="55" t="s">
        <v>21</v>
      </c>
      <c r="G66" s="56"/>
      <c r="H66" s="57" t="s">
        <v>22</v>
      </c>
      <c r="I66" s="58"/>
      <c r="J66" s="57"/>
      <c r="K66" s="57"/>
      <c r="L66" s="57"/>
      <c r="M66" s="57"/>
      <c r="N66" s="57" t="s">
        <v>22</v>
      </c>
      <c r="O66" s="58"/>
      <c r="P66" s="59"/>
      <c r="Q66" s="60"/>
    </row>
    <row r="67" ht="15.75" customHeight="1">
      <c r="A67" s="54">
        <v>74.0</v>
      </c>
      <c r="B67" s="55" t="s">
        <v>221</v>
      </c>
      <c r="C67" s="55" t="s">
        <v>731</v>
      </c>
      <c r="D67" s="55">
        <v>0.975</v>
      </c>
      <c r="E67" s="55" t="s">
        <v>20</v>
      </c>
      <c r="F67" s="55" t="s">
        <v>21</v>
      </c>
      <c r="G67" s="56"/>
      <c r="H67" s="57"/>
      <c r="I67" s="58" t="s">
        <v>22</v>
      </c>
      <c r="J67" s="57"/>
      <c r="K67" s="57"/>
      <c r="L67" s="57"/>
      <c r="M67" s="57"/>
      <c r="N67" s="57"/>
      <c r="O67" s="58"/>
      <c r="P67" s="59" t="s">
        <v>732</v>
      </c>
      <c r="Q67" s="60"/>
    </row>
    <row r="68" ht="15.75" customHeight="1">
      <c r="A68" s="54">
        <v>75.0</v>
      </c>
      <c r="B68" s="55" t="s">
        <v>225</v>
      </c>
      <c r="C68" s="55" t="s">
        <v>733</v>
      </c>
      <c r="D68" s="55">
        <v>0.154</v>
      </c>
      <c r="E68" s="55" t="s">
        <v>21</v>
      </c>
      <c r="F68" s="55" t="s">
        <v>20</v>
      </c>
      <c r="G68" s="56" t="s">
        <v>22</v>
      </c>
      <c r="H68" s="57"/>
      <c r="I68" s="58"/>
      <c r="J68" s="57"/>
      <c r="K68" s="57" t="s">
        <v>22</v>
      </c>
      <c r="L68" s="57"/>
      <c r="M68" s="57"/>
      <c r="N68" s="57"/>
      <c r="O68" s="58"/>
      <c r="P68" s="59"/>
      <c r="Q68" s="60"/>
    </row>
    <row r="69" ht="15.75" customHeight="1">
      <c r="A69" s="54">
        <v>76.0</v>
      </c>
      <c r="B69" s="55" t="s">
        <v>228</v>
      </c>
      <c r="C69" s="55" t="s">
        <v>734</v>
      </c>
      <c r="D69" s="55">
        <v>0.97</v>
      </c>
      <c r="E69" s="55" t="s">
        <v>20</v>
      </c>
      <c r="F69" s="55" t="s">
        <v>21</v>
      </c>
      <c r="G69" s="56"/>
      <c r="H69" s="57" t="s">
        <v>22</v>
      </c>
      <c r="I69" s="58"/>
      <c r="J69" s="57"/>
      <c r="K69" s="57"/>
      <c r="L69" s="57"/>
      <c r="M69" s="57"/>
      <c r="N69" s="57" t="s">
        <v>22</v>
      </c>
      <c r="O69" s="58"/>
      <c r="P69" s="59"/>
      <c r="Q69" s="60"/>
    </row>
    <row r="70" ht="15.75" customHeight="1">
      <c r="A70" s="54">
        <v>77.0</v>
      </c>
      <c r="B70" s="55" t="s">
        <v>230</v>
      </c>
      <c r="C70" s="55" t="s">
        <v>735</v>
      </c>
      <c r="D70" s="55">
        <v>0.053</v>
      </c>
      <c r="E70" s="55" t="s">
        <v>21</v>
      </c>
      <c r="F70" s="55" t="s">
        <v>20</v>
      </c>
      <c r="G70" s="56" t="s">
        <v>22</v>
      </c>
      <c r="H70" s="57"/>
      <c r="I70" s="58"/>
      <c r="J70" s="57"/>
      <c r="K70" s="57" t="s">
        <v>22</v>
      </c>
      <c r="L70" s="57"/>
      <c r="M70" s="57"/>
      <c r="N70" s="57"/>
      <c r="O70" s="58"/>
      <c r="P70" s="59"/>
      <c r="Q70" s="60"/>
    </row>
    <row r="71" ht="15.75" customHeight="1">
      <c r="A71" s="54">
        <v>78.0</v>
      </c>
      <c r="B71" s="55" t="s">
        <v>233</v>
      </c>
      <c r="C71" s="55" t="s">
        <v>736</v>
      </c>
      <c r="D71" s="55">
        <v>0.006</v>
      </c>
      <c r="E71" s="55" t="s">
        <v>21</v>
      </c>
      <c r="F71" s="55" t="s">
        <v>31</v>
      </c>
      <c r="G71" s="56" t="s">
        <v>22</v>
      </c>
      <c r="H71" s="57"/>
      <c r="I71" s="58"/>
      <c r="J71" s="57"/>
      <c r="K71" s="57" t="s">
        <v>22</v>
      </c>
      <c r="L71" s="57"/>
      <c r="M71" s="57"/>
      <c r="N71" s="57"/>
      <c r="O71" s="58"/>
      <c r="P71" s="59"/>
      <c r="Q71" s="60"/>
    </row>
    <row r="72" ht="15.75" customHeight="1">
      <c r="A72" s="54">
        <v>79.0</v>
      </c>
      <c r="B72" s="55" t="s">
        <v>236</v>
      </c>
      <c r="C72" s="55" t="s">
        <v>715</v>
      </c>
      <c r="D72" s="55">
        <v>0.004</v>
      </c>
      <c r="E72" s="55" t="s">
        <v>21</v>
      </c>
      <c r="F72" s="55" t="s">
        <v>20</v>
      </c>
      <c r="G72" s="56" t="s">
        <v>22</v>
      </c>
      <c r="H72" s="57"/>
      <c r="I72" s="58"/>
      <c r="J72" s="57"/>
      <c r="K72" s="57" t="s">
        <v>22</v>
      </c>
      <c r="L72" s="57"/>
      <c r="M72" s="57"/>
      <c r="N72" s="57"/>
      <c r="O72" s="58"/>
      <c r="P72" s="59"/>
      <c r="Q72" s="60"/>
    </row>
    <row r="73" ht="15.75" customHeight="1">
      <c r="A73" s="54">
        <v>80.0</v>
      </c>
      <c r="B73" s="55" t="s">
        <v>237</v>
      </c>
      <c r="C73" s="55" t="s">
        <v>673</v>
      </c>
      <c r="D73" s="55">
        <v>0.962</v>
      </c>
      <c r="E73" s="55" t="s">
        <v>31</v>
      </c>
      <c r="F73" s="55" t="s">
        <v>21</v>
      </c>
      <c r="G73" s="56"/>
      <c r="H73" s="57" t="s">
        <v>22</v>
      </c>
      <c r="I73" s="58"/>
      <c r="J73" s="57"/>
      <c r="K73" s="57"/>
      <c r="L73" s="57"/>
      <c r="M73" s="57"/>
      <c r="N73" s="57"/>
      <c r="O73" s="58" t="s">
        <v>22</v>
      </c>
      <c r="P73" s="59"/>
      <c r="Q73" s="60"/>
    </row>
    <row r="74" ht="15.75" customHeight="1">
      <c r="A74" s="54">
        <v>81.0</v>
      </c>
      <c r="B74" s="55" t="s">
        <v>240</v>
      </c>
      <c r="C74" s="55" t="s">
        <v>737</v>
      </c>
      <c r="D74" s="55">
        <v>0.652</v>
      </c>
      <c r="E74" s="55" t="s">
        <v>20</v>
      </c>
      <c r="F74" s="55" t="s">
        <v>21</v>
      </c>
      <c r="G74" s="56"/>
      <c r="H74" s="57" t="s">
        <v>22</v>
      </c>
      <c r="I74" s="58"/>
      <c r="J74" s="57"/>
      <c r="K74" s="57"/>
      <c r="L74" s="57" t="s">
        <v>22</v>
      </c>
      <c r="M74" s="57"/>
      <c r="N74" s="57"/>
      <c r="O74" s="58"/>
      <c r="P74" s="59"/>
      <c r="Q74" s="60"/>
    </row>
    <row r="75" ht="15.75" customHeight="1">
      <c r="A75" s="54">
        <v>82.0</v>
      </c>
      <c r="B75" s="55" t="s">
        <v>244</v>
      </c>
      <c r="C75" s="55" t="s">
        <v>738</v>
      </c>
      <c r="D75" s="55">
        <v>0.963</v>
      </c>
      <c r="E75" s="55" t="s">
        <v>20</v>
      </c>
      <c r="F75" s="55" t="s">
        <v>21</v>
      </c>
      <c r="G75" s="56"/>
      <c r="H75" s="57" t="s">
        <v>22</v>
      </c>
      <c r="I75" s="58"/>
      <c r="J75" s="57"/>
      <c r="K75" s="57"/>
      <c r="L75" s="57"/>
      <c r="M75" s="57"/>
      <c r="N75" s="57" t="s">
        <v>22</v>
      </c>
      <c r="O75" s="58"/>
      <c r="P75" s="59"/>
      <c r="Q75" s="60"/>
    </row>
    <row r="76" ht="15.75" customHeight="1">
      <c r="A76" s="54">
        <v>83.0</v>
      </c>
      <c r="B76" s="55" t="s">
        <v>248</v>
      </c>
      <c r="C76" s="55" t="s">
        <v>739</v>
      </c>
      <c r="D76" s="55">
        <v>0.873</v>
      </c>
      <c r="E76" s="55" t="s">
        <v>20</v>
      </c>
      <c r="F76" s="55" t="s">
        <v>21</v>
      </c>
      <c r="G76" s="56"/>
      <c r="H76" s="57"/>
      <c r="I76" s="58" t="s">
        <v>22</v>
      </c>
      <c r="J76" s="57"/>
      <c r="K76" s="57"/>
      <c r="L76" s="57"/>
      <c r="M76" s="57"/>
      <c r="N76" s="57"/>
      <c r="O76" s="58"/>
      <c r="P76" s="59" t="s">
        <v>689</v>
      </c>
      <c r="Q76" s="60"/>
    </row>
    <row r="77" ht="15.75" customHeight="1">
      <c r="A77" s="54">
        <v>86.0</v>
      </c>
      <c r="B77" s="55" t="s">
        <v>252</v>
      </c>
      <c r="C77" s="55" t="s">
        <v>740</v>
      </c>
      <c r="D77" s="55">
        <v>0.784</v>
      </c>
      <c r="E77" s="55" t="s">
        <v>20</v>
      </c>
      <c r="F77" s="55" t="s">
        <v>21</v>
      </c>
      <c r="G77" s="56"/>
      <c r="H77" s="57"/>
      <c r="I77" s="58" t="s">
        <v>22</v>
      </c>
      <c r="J77" s="57"/>
      <c r="K77" s="57"/>
      <c r="L77" s="57"/>
      <c r="M77" s="57"/>
      <c r="N77" s="57"/>
      <c r="O77" s="58"/>
      <c r="P77" s="59" t="s">
        <v>698</v>
      </c>
      <c r="Q77" s="60"/>
    </row>
    <row r="78" ht="15.75" customHeight="1">
      <c r="A78" s="54">
        <v>89.0</v>
      </c>
      <c r="B78" s="55" t="s">
        <v>256</v>
      </c>
      <c r="C78" s="55" t="s">
        <v>688</v>
      </c>
      <c r="D78" s="55">
        <v>0.966</v>
      </c>
      <c r="E78" s="55" t="s">
        <v>31</v>
      </c>
      <c r="F78" s="55" t="s">
        <v>21</v>
      </c>
      <c r="G78" s="56"/>
      <c r="H78" s="57" t="s">
        <v>22</v>
      </c>
      <c r="I78" s="58"/>
      <c r="J78" s="57"/>
      <c r="K78" s="57"/>
      <c r="L78" s="57"/>
      <c r="M78" s="57"/>
      <c r="N78" s="57"/>
      <c r="O78" s="58" t="s">
        <v>22</v>
      </c>
      <c r="P78" s="59"/>
      <c r="Q78" s="60"/>
    </row>
    <row r="79" ht="15.75" customHeight="1">
      <c r="A79" s="54">
        <v>90.0</v>
      </c>
      <c r="B79" s="55" t="s">
        <v>257</v>
      </c>
      <c r="C79" s="55" t="s">
        <v>741</v>
      </c>
      <c r="D79" s="55">
        <v>0.0</v>
      </c>
      <c r="E79" s="55" t="s">
        <v>20</v>
      </c>
      <c r="F79" s="55" t="s">
        <v>26</v>
      </c>
      <c r="G79" s="56"/>
      <c r="H79" s="57" t="s">
        <v>22</v>
      </c>
      <c r="I79" s="58"/>
      <c r="J79" s="57"/>
      <c r="K79" s="57"/>
      <c r="L79" s="57" t="s">
        <v>22</v>
      </c>
      <c r="M79" s="57"/>
      <c r="N79" s="57"/>
      <c r="O79" s="58"/>
      <c r="P79" s="59"/>
      <c r="Q79" s="60"/>
    </row>
    <row r="80" ht="15.75" customHeight="1">
      <c r="A80" s="54">
        <v>91.0</v>
      </c>
      <c r="B80" s="55" t="s">
        <v>261</v>
      </c>
      <c r="C80" s="55" t="s">
        <v>742</v>
      </c>
      <c r="D80" s="55">
        <v>0.873</v>
      </c>
      <c r="E80" s="55" t="s">
        <v>20</v>
      </c>
      <c r="F80" s="55" t="s">
        <v>21</v>
      </c>
      <c r="G80" s="56"/>
      <c r="H80" s="57" t="s">
        <v>22</v>
      </c>
      <c r="I80" s="58"/>
      <c r="J80" s="57"/>
      <c r="K80" s="57"/>
      <c r="L80" s="57" t="s">
        <v>22</v>
      </c>
      <c r="M80" s="57"/>
      <c r="N80" s="57"/>
      <c r="O80" s="58"/>
      <c r="P80" s="59"/>
      <c r="Q80" s="60"/>
    </row>
    <row r="81" ht="15.75" customHeight="1">
      <c r="A81" s="54">
        <v>92.0</v>
      </c>
      <c r="B81" s="55" t="s">
        <v>264</v>
      </c>
      <c r="C81" s="55" t="s">
        <v>743</v>
      </c>
      <c r="D81" s="55">
        <v>0.434</v>
      </c>
      <c r="E81" s="55" t="s">
        <v>20</v>
      </c>
      <c r="F81" s="55" t="s">
        <v>31</v>
      </c>
      <c r="G81" s="56" t="s">
        <v>22</v>
      </c>
      <c r="H81" s="57"/>
      <c r="I81" s="58"/>
      <c r="J81" s="57"/>
      <c r="K81" s="57"/>
      <c r="L81" s="57"/>
      <c r="M81" s="57"/>
      <c r="N81" s="57"/>
      <c r="O81" s="58"/>
      <c r="P81" s="61"/>
      <c r="Q81" s="60"/>
    </row>
    <row r="82" ht="15.75" customHeight="1">
      <c r="A82" s="54">
        <v>94.0</v>
      </c>
      <c r="B82" s="55" t="s">
        <v>268</v>
      </c>
      <c r="C82" s="55" t="s">
        <v>744</v>
      </c>
      <c r="D82" s="55">
        <v>0.932</v>
      </c>
      <c r="E82" s="55" t="s">
        <v>20</v>
      </c>
      <c r="F82" s="55" t="s">
        <v>21</v>
      </c>
      <c r="G82" s="56"/>
      <c r="H82" s="57"/>
      <c r="I82" s="58" t="s">
        <v>22</v>
      </c>
      <c r="J82" s="57"/>
      <c r="K82" s="57"/>
      <c r="L82" s="57"/>
      <c r="M82" s="57"/>
      <c r="N82" s="57"/>
      <c r="O82" s="58"/>
      <c r="P82" s="59" t="s">
        <v>689</v>
      </c>
      <c r="Q82" s="60"/>
    </row>
    <row r="83" ht="15.75" customHeight="1">
      <c r="A83" s="54">
        <v>95.0</v>
      </c>
      <c r="B83" s="55" t="s">
        <v>271</v>
      </c>
      <c r="C83" s="55" t="s">
        <v>726</v>
      </c>
      <c r="D83" s="55">
        <v>0.952</v>
      </c>
      <c r="E83" s="55" t="s">
        <v>31</v>
      </c>
      <c r="F83" s="55" t="s">
        <v>21</v>
      </c>
      <c r="G83" s="56"/>
      <c r="H83" s="57" t="s">
        <v>22</v>
      </c>
      <c r="I83" s="58"/>
      <c r="J83" s="57"/>
      <c r="K83" s="57"/>
      <c r="L83" s="57"/>
      <c r="M83" s="57"/>
      <c r="N83" s="57"/>
      <c r="O83" s="58" t="s">
        <v>22</v>
      </c>
      <c r="P83" s="59"/>
      <c r="Q83" s="60"/>
    </row>
    <row r="84" ht="15.75" customHeight="1">
      <c r="A84" s="54">
        <v>96.0</v>
      </c>
      <c r="B84" s="55" t="s">
        <v>273</v>
      </c>
      <c r="C84" s="55" t="s">
        <v>745</v>
      </c>
      <c r="D84" s="55">
        <v>0.054</v>
      </c>
      <c r="E84" s="55" t="s">
        <v>21</v>
      </c>
      <c r="F84" s="55" t="s">
        <v>20</v>
      </c>
      <c r="G84" s="56" t="s">
        <v>22</v>
      </c>
      <c r="H84" s="57"/>
      <c r="I84" s="58"/>
      <c r="J84" s="57"/>
      <c r="K84" s="57" t="s">
        <v>22</v>
      </c>
      <c r="L84" s="57"/>
      <c r="M84" s="57"/>
      <c r="N84" s="57"/>
      <c r="O84" s="58"/>
      <c r="P84" s="59"/>
      <c r="Q84" s="60"/>
    </row>
    <row r="85" ht="15.75" customHeight="1">
      <c r="A85" s="54">
        <v>98.0</v>
      </c>
      <c r="B85" s="55" t="s">
        <v>277</v>
      </c>
      <c r="C85" s="55" t="s">
        <v>746</v>
      </c>
      <c r="D85" s="55">
        <v>0.147</v>
      </c>
      <c r="E85" s="55" t="s">
        <v>21</v>
      </c>
      <c r="F85" s="55" t="s">
        <v>20</v>
      </c>
      <c r="G85" s="56" t="s">
        <v>22</v>
      </c>
      <c r="H85" s="57"/>
      <c r="I85" s="58"/>
      <c r="J85" s="57"/>
      <c r="K85" s="57" t="s">
        <v>22</v>
      </c>
      <c r="L85" s="57"/>
      <c r="M85" s="57"/>
      <c r="N85" s="57"/>
      <c r="O85" s="58"/>
      <c r="P85" s="59"/>
      <c r="Q85" s="60"/>
    </row>
    <row r="86" ht="15.75" customHeight="1">
      <c r="A86" s="54">
        <v>99.0</v>
      </c>
      <c r="B86" s="55" t="s">
        <v>281</v>
      </c>
      <c r="C86" s="55" t="s">
        <v>747</v>
      </c>
      <c r="D86" s="55">
        <v>0.973</v>
      </c>
      <c r="E86" s="55" t="s">
        <v>31</v>
      </c>
      <c r="F86" s="55" t="s">
        <v>21</v>
      </c>
      <c r="G86" s="56"/>
      <c r="H86" s="57" t="s">
        <v>22</v>
      </c>
      <c r="I86" s="58"/>
      <c r="J86" s="57"/>
      <c r="K86" s="57"/>
      <c r="L86" s="57"/>
      <c r="M86" s="57"/>
      <c r="N86" s="57"/>
      <c r="O86" s="58" t="s">
        <v>22</v>
      </c>
      <c r="P86" s="59"/>
      <c r="Q86" s="60"/>
    </row>
    <row r="87" ht="15.75" customHeight="1">
      <c r="A87" s="54">
        <v>100.0</v>
      </c>
      <c r="B87" s="55" t="s">
        <v>283</v>
      </c>
      <c r="C87" s="55" t="s">
        <v>748</v>
      </c>
      <c r="D87" s="55">
        <v>0.024</v>
      </c>
      <c r="E87" s="55" t="s">
        <v>21</v>
      </c>
      <c r="F87" s="55" t="s">
        <v>20</v>
      </c>
      <c r="G87" s="56" t="s">
        <v>22</v>
      </c>
      <c r="H87" s="57"/>
      <c r="I87" s="58"/>
      <c r="J87" s="57"/>
      <c r="K87" s="57" t="s">
        <v>22</v>
      </c>
      <c r="L87" s="57"/>
      <c r="M87" s="57"/>
      <c r="N87" s="57"/>
      <c r="O87" s="58"/>
      <c r="P87" s="59"/>
      <c r="Q87" s="60"/>
    </row>
    <row r="88" ht="15.75" customHeight="1">
      <c r="A88" s="54">
        <v>101.0</v>
      </c>
      <c r="B88" s="55" t="s">
        <v>286</v>
      </c>
      <c r="C88" s="55" t="s">
        <v>749</v>
      </c>
      <c r="D88" s="55">
        <v>0.913</v>
      </c>
      <c r="E88" s="55" t="s">
        <v>31</v>
      </c>
      <c r="F88" s="55" t="s">
        <v>21</v>
      </c>
      <c r="G88" s="56"/>
      <c r="H88" s="57"/>
      <c r="I88" s="58" t="s">
        <v>22</v>
      </c>
      <c r="J88" s="57"/>
      <c r="K88" s="57"/>
      <c r="L88" s="57"/>
      <c r="M88" s="57"/>
      <c r="N88" s="57"/>
      <c r="O88" s="58"/>
      <c r="P88" s="59" t="s">
        <v>704</v>
      </c>
      <c r="Q88" s="60"/>
    </row>
    <row r="89" ht="15.75" customHeight="1">
      <c r="A89" s="54">
        <v>102.0</v>
      </c>
      <c r="B89" s="55" t="s">
        <v>288</v>
      </c>
      <c r="C89" s="55" t="s">
        <v>750</v>
      </c>
      <c r="D89" s="55">
        <v>0.918</v>
      </c>
      <c r="E89" s="55" t="s">
        <v>20</v>
      </c>
      <c r="F89" s="55" t="s">
        <v>21</v>
      </c>
      <c r="G89" s="56"/>
      <c r="H89" s="57"/>
      <c r="I89" s="58" t="s">
        <v>22</v>
      </c>
      <c r="J89" s="57"/>
      <c r="K89" s="57"/>
      <c r="L89" s="57"/>
      <c r="M89" s="57"/>
      <c r="N89" s="57"/>
      <c r="O89" s="58"/>
      <c r="P89" s="59" t="s">
        <v>751</v>
      </c>
      <c r="Q89" s="60"/>
    </row>
    <row r="90" ht="15.75" customHeight="1">
      <c r="A90" s="54">
        <v>103.0</v>
      </c>
      <c r="B90" s="55" t="s">
        <v>292</v>
      </c>
      <c r="C90" s="55" t="s">
        <v>752</v>
      </c>
      <c r="D90" s="55">
        <v>0.082</v>
      </c>
      <c r="E90" s="55" t="s">
        <v>21</v>
      </c>
      <c r="F90" s="55" t="s">
        <v>31</v>
      </c>
      <c r="G90" s="56"/>
      <c r="H90" s="57" t="s">
        <v>22</v>
      </c>
      <c r="I90" s="58"/>
      <c r="J90" s="57"/>
      <c r="K90" s="57"/>
      <c r="L90" s="57"/>
      <c r="M90" s="57" t="s">
        <v>22</v>
      </c>
      <c r="N90" s="57"/>
      <c r="O90" s="58"/>
      <c r="P90" s="59"/>
      <c r="Q90" s="60"/>
    </row>
    <row r="91" ht="15.75" customHeight="1">
      <c r="A91" s="54">
        <v>104.0</v>
      </c>
      <c r="B91" s="55" t="s">
        <v>296</v>
      </c>
      <c r="C91" s="55" t="s">
        <v>753</v>
      </c>
      <c r="D91" s="55">
        <v>0.874</v>
      </c>
      <c r="E91" s="55" t="s">
        <v>20</v>
      </c>
      <c r="F91" s="55" t="s">
        <v>21</v>
      </c>
      <c r="G91" s="56" t="s">
        <v>22</v>
      </c>
      <c r="H91" s="57"/>
      <c r="I91" s="58"/>
      <c r="J91" s="57" t="s">
        <v>22</v>
      </c>
      <c r="K91" s="57"/>
      <c r="L91" s="57"/>
      <c r="M91" s="57"/>
      <c r="N91" s="57"/>
      <c r="O91" s="58"/>
      <c r="P91" s="59"/>
      <c r="Q91" s="60"/>
    </row>
    <row r="92" ht="15.75" customHeight="1">
      <c r="A92" s="54">
        <v>105.0</v>
      </c>
      <c r="B92" s="55" t="s">
        <v>300</v>
      </c>
      <c r="C92" s="55" t="s">
        <v>754</v>
      </c>
      <c r="D92" s="55">
        <v>0.739</v>
      </c>
      <c r="E92" s="55" t="s">
        <v>20</v>
      </c>
      <c r="F92" s="55" t="s">
        <v>21</v>
      </c>
      <c r="G92" s="56"/>
      <c r="H92" s="57" t="s">
        <v>22</v>
      </c>
      <c r="I92" s="58"/>
      <c r="J92" s="57"/>
      <c r="K92" s="57"/>
      <c r="L92" s="57" t="s">
        <v>22</v>
      </c>
      <c r="M92" s="57"/>
      <c r="N92" s="57"/>
      <c r="O92" s="58"/>
      <c r="P92" s="59"/>
      <c r="Q92" s="60"/>
    </row>
    <row r="93" ht="15.75" customHeight="1">
      <c r="A93" s="54">
        <v>106.0</v>
      </c>
      <c r="B93" s="55" t="s">
        <v>304</v>
      </c>
      <c r="C93" s="55" t="s">
        <v>755</v>
      </c>
      <c r="D93" s="55">
        <v>0.004</v>
      </c>
      <c r="E93" s="55" t="s">
        <v>26</v>
      </c>
      <c r="F93" s="55" t="s">
        <v>20</v>
      </c>
      <c r="G93" s="56" t="s">
        <v>22</v>
      </c>
      <c r="H93" s="57"/>
      <c r="I93" s="58"/>
      <c r="J93" s="57" t="s">
        <v>22</v>
      </c>
      <c r="K93" s="57"/>
      <c r="L93" s="57"/>
      <c r="M93" s="57"/>
      <c r="N93" s="57"/>
      <c r="O93" s="58"/>
      <c r="P93" s="59"/>
      <c r="Q93" s="60"/>
    </row>
    <row r="94" ht="15.75" customHeight="1">
      <c r="A94" s="54">
        <v>107.0</v>
      </c>
      <c r="B94" s="55" t="s">
        <v>307</v>
      </c>
      <c r="C94" s="55" t="s">
        <v>756</v>
      </c>
      <c r="D94" s="55">
        <v>0.624</v>
      </c>
      <c r="E94" s="55" t="s">
        <v>20</v>
      </c>
      <c r="F94" s="55" t="s">
        <v>21</v>
      </c>
      <c r="G94" s="56"/>
      <c r="H94" s="57" t="s">
        <v>22</v>
      </c>
      <c r="I94" s="58"/>
      <c r="J94" s="57"/>
      <c r="K94" s="57"/>
      <c r="L94" s="57" t="s">
        <v>22</v>
      </c>
      <c r="M94" s="57"/>
      <c r="N94" s="57"/>
      <c r="O94" s="58"/>
      <c r="P94" s="59"/>
      <c r="Q94" s="60"/>
    </row>
    <row r="95" ht="15.75" customHeight="1">
      <c r="A95" s="54">
        <v>110.0</v>
      </c>
      <c r="B95" s="55" t="s">
        <v>310</v>
      </c>
      <c r="C95" s="55" t="s">
        <v>757</v>
      </c>
      <c r="D95" s="55">
        <v>0.035</v>
      </c>
      <c r="E95" s="55" t="s">
        <v>21</v>
      </c>
      <c r="F95" s="55" t="s">
        <v>20</v>
      </c>
      <c r="G95" s="56" t="s">
        <v>22</v>
      </c>
      <c r="H95" s="57"/>
      <c r="I95" s="58"/>
      <c r="J95" s="57"/>
      <c r="K95" s="57" t="s">
        <v>22</v>
      </c>
      <c r="L95" s="57"/>
      <c r="M95" s="57"/>
      <c r="N95" s="57"/>
      <c r="O95" s="58"/>
      <c r="P95" s="59"/>
      <c r="Q95" s="60"/>
    </row>
    <row r="96" ht="15.75" customHeight="1">
      <c r="A96" s="54">
        <v>111.0</v>
      </c>
      <c r="B96" s="55" t="s">
        <v>314</v>
      </c>
      <c r="C96" s="55" t="s">
        <v>758</v>
      </c>
      <c r="D96" s="55">
        <v>0.811</v>
      </c>
      <c r="E96" s="55" t="s">
        <v>20</v>
      </c>
      <c r="F96" s="55" t="s">
        <v>21</v>
      </c>
      <c r="G96" s="56" t="s">
        <v>22</v>
      </c>
      <c r="H96" s="57"/>
      <c r="I96" s="58"/>
      <c r="J96" s="57" t="s">
        <v>22</v>
      </c>
      <c r="K96" s="57"/>
      <c r="L96" s="57"/>
      <c r="M96" s="57"/>
      <c r="N96" s="57"/>
      <c r="O96" s="58"/>
      <c r="P96" s="59"/>
      <c r="Q96" s="60"/>
    </row>
    <row r="97" ht="15.75" customHeight="1">
      <c r="A97" s="54">
        <v>112.0</v>
      </c>
      <c r="B97" s="55" t="s">
        <v>317</v>
      </c>
      <c r="C97" s="55" t="s">
        <v>756</v>
      </c>
      <c r="D97" s="55">
        <v>0.001</v>
      </c>
      <c r="E97" s="55" t="s">
        <v>26</v>
      </c>
      <c r="F97" s="55" t="s">
        <v>20</v>
      </c>
      <c r="G97" s="56" t="s">
        <v>22</v>
      </c>
      <c r="H97" s="57"/>
      <c r="I97" s="58"/>
      <c r="J97" s="57" t="s">
        <v>22</v>
      </c>
      <c r="K97" s="57"/>
      <c r="L97" s="57"/>
      <c r="M97" s="57"/>
      <c r="N97" s="57"/>
      <c r="O97" s="58"/>
      <c r="P97" s="59"/>
      <c r="Q97" s="60"/>
    </row>
    <row r="98" ht="15.75" customHeight="1">
      <c r="A98" s="54">
        <v>113.0</v>
      </c>
      <c r="B98" s="55" t="s">
        <v>318</v>
      </c>
      <c r="C98" s="55" t="s">
        <v>759</v>
      </c>
      <c r="D98" s="55">
        <v>0.002</v>
      </c>
      <c r="E98" s="55" t="s">
        <v>21</v>
      </c>
      <c r="F98" s="55" t="s">
        <v>20</v>
      </c>
      <c r="G98" s="56" t="s">
        <v>22</v>
      </c>
      <c r="H98" s="57"/>
      <c r="I98" s="58"/>
      <c r="J98" s="57"/>
      <c r="K98" s="57" t="s">
        <v>22</v>
      </c>
      <c r="L98" s="57"/>
      <c r="M98" s="57"/>
      <c r="N98" s="57"/>
      <c r="O98" s="58"/>
      <c r="P98" s="59"/>
      <c r="Q98" s="60"/>
    </row>
    <row r="99" ht="15.75" customHeight="1">
      <c r="A99" s="54">
        <v>114.0</v>
      </c>
      <c r="B99" s="55" t="s">
        <v>321</v>
      </c>
      <c r="C99" s="55" t="s">
        <v>760</v>
      </c>
      <c r="D99" s="55">
        <v>0.025</v>
      </c>
      <c r="E99" s="55" t="s">
        <v>26</v>
      </c>
      <c r="F99" s="55" t="s">
        <v>20</v>
      </c>
      <c r="G99" s="56" t="s">
        <v>22</v>
      </c>
      <c r="H99" s="57"/>
      <c r="I99" s="58"/>
      <c r="J99" s="57"/>
      <c r="K99" s="57" t="s">
        <v>22</v>
      </c>
      <c r="L99" s="57"/>
      <c r="M99" s="57"/>
      <c r="N99" s="57"/>
      <c r="O99" s="58"/>
      <c r="P99" s="59" t="s">
        <v>761</v>
      </c>
      <c r="Q99" s="60"/>
    </row>
    <row r="100" ht="15.75" customHeight="1">
      <c r="A100" s="62">
        <v>115.0</v>
      </c>
      <c r="B100" s="55" t="s">
        <v>325</v>
      </c>
      <c r="C100" s="55" t="s">
        <v>762</v>
      </c>
      <c r="D100" s="55">
        <v>0.979</v>
      </c>
      <c r="E100" s="55" t="s">
        <v>26</v>
      </c>
      <c r="F100" s="55" t="s">
        <v>21</v>
      </c>
      <c r="G100" s="56"/>
      <c r="H100" s="57" t="s">
        <v>22</v>
      </c>
      <c r="I100" s="58"/>
      <c r="J100" s="57"/>
      <c r="K100" s="57"/>
      <c r="L100" s="57" t="s">
        <v>22</v>
      </c>
      <c r="M100" s="57"/>
      <c r="N100" s="57"/>
      <c r="O100" s="58"/>
      <c r="P100" s="59"/>
      <c r="Q100" s="60"/>
    </row>
    <row r="101" ht="15.75" customHeight="1">
      <c r="A101" s="62">
        <v>116.0</v>
      </c>
      <c r="B101" s="55" t="s">
        <v>329</v>
      </c>
      <c r="C101" s="55" t="s">
        <v>763</v>
      </c>
      <c r="D101" s="55">
        <v>0.611</v>
      </c>
      <c r="E101" s="55" t="s">
        <v>26</v>
      </c>
      <c r="F101" s="55" t="s">
        <v>21</v>
      </c>
      <c r="G101" s="56"/>
      <c r="H101" s="57" t="s">
        <v>22</v>
      </c>
      <c r="I101" s="58"/>
      <c r="J101" s="57"/>
      <c r="K101" s="57"/>
      <c r="L101" s="57"/>
      <c r="M101" s="57"/>
      <c r="N101" s="57"/>
      <c r="O101" s="58"/>
      <c r="P101" s="59" t="s">
        <v>691</v>
      </c>
      <c r="Q101" s="60"/>
    </row>
    <row r="102" ht="15.75" customHeight="1">
      <c r="A102" s="62">
        <v>117.0</v>
      </c>
      <c r="B102" s="55" t="s">
        <v>333</v>
      </c>
      <c r="C102" s="55" t="s">
        <v>764</v>
      </c>
      <c r="D102" s="55">
        <v>0.006</v>
      </c>
      <c r="E102" s="55" t="s">
        <v>26</v>
      </c>
      <c r="F102" s="55" t="s">
        <v>20</v>
      </c>
      <c r="G102" s="56" t="s">
        <v>22</v>
      </c>
      <c r="H102" s="57"/>
      <c r="I102" s="58"/>
      <c r="J102" s="57"/>
      <c r="K102" s="57" t="s">
        <v>22</v>
      </c>
      <c r="L102" s="57"/>
      <c r="M102" s="57"/>
      <c r="N102" s="57"/>
      <c r="O102" s="58"/>
      <c r="P102" s="59"/>
      <c r="Q102" s="60"/>
    </row>
    <row r="103" ht="15.75" customHeight="1">
      <c r="A103" s="62">
        <v>118.0</v>
      </c>
      <c r="B103" s="63" t="s">
        <v>336</v>
      </c>
      <c r="C103" s="63" t="s">
        <v>765</v>
      </c>
      <c r="D103" s="63">
        <v>0.968</v>
      </c>
      <c r="E103" s="63" t="s">
        <v>26</v>
      </c>
      <c r="F103" s="63" t="s">
        <v>21</v>
      </c>
      <c r="G103" s="64"/>
      <c r="H103" s="65" t="s">
        <v>22</v>
      </c>
      <c r="I103" s="66"/>
      <c r="J103" s="65"/>
      <c r="K103" s="65" t="s">
        <v>22</v>
      </c>
      <c r="L103" s="65"/>
      <c r="M103" s="65"/>
      <c r="N103" s="65"/>
      <c r="O103" s="66"/>
      <c r="P103" s="67"/>
      <c r="Q103" s="68"/>
      <c r="R103" s="69"/>
      <c r="S103" s="69"/>
      <c r="T103" s="69"/>
      <c r="U103" s="69"/>
      <c r="V103" s="69"/>
      <c r="W103" s="69"/>
      <c r="X103" s="69"/>
      <c r="Y103" s="69"/>
    </row>
    <row r="104" ht="15.75" customHeight="1">
      <c r="A104" s="39"/>
      <c r="D104" s="41"/>
      <c r="G104" s="70">
        <f t="shared" ref="G104:O104" si="1">COUNTIF(G4:G103,"x")</f>
        <v>41</v>
      </c>
      <c r="H104" s="70">
        <f t="shared" si="1"/>
        <v>45</v>
      </c>
      <c r="I104" s="41">
        <f t="shared" si="1"/>
        <v>14</v>
      </c>
      <c r="J104" s="41">
        <f t="shared" si="1"/>
        <v>10</v>
      </c>
      <c r="K104" s="41">
        <f t="shared" si="1"/>
        <v>31</v>
      </c>
      <c r="L104" s="41">
        <f t="shared" si="1"/>
        <v>11</v>
      </c>
      <c r="M104" s="41">
        <f t="shared" si="1"/>
        <v>8</v>
      </c>
      <c r="N104" s="41">
        <f t="shared" si="1"/>
        <v>10</v>
      </c>
      <c r="O104" s="41">
        <f t="shared" si="1"/>
        <v>15</v>
      </c>
      <c r="P104" s="42"/>
      <c r="Q104" s="41"/>
    </row>
    <row r="105" ht="15.75" customHeight="1">
      <c r="A105" s="39"/>
      <c r="D105" s="41"/>
      <c r="G105" s="41"/>
      <c r="H105" s="41"/>
      <c r="I105" s="41"/>
      <c r="J105" s="41"/>
      <c r="K105" s="41"/>
      <c r="L105" s="41"/>
      <c r="M105" s="41"/>
      <c r="N105" s="41"/>
      <c r="O105" s="41"/>
      <c r="P105" s="42"/>
      <c r="Q105" s="41"/>
    </row>
    <row r="106" ht="15.75" customHeight="1">
      <c r="A106" s="39"/>
      <c r="D106" s="41"/>
      <c r="G106" s="41"/>
      <c r="H106" s="41"/>
      <c r="I106" s="41"/>
      <c r="J106" s="41"/>
      <c r="K106" s="41"/>
      <c r="L106" s="41"/>
      <c r="M106" s="41"/>
      <c r="N106" s="41"/>
      <c r="O106" s="41"/>
      <c r="P106" s="42"/>
      <c r="Q106" s="41"/>
    </row>
    <row r="107" ht="15.75" customHeight="1">
      <c r="A107" s="39"/>
      <c r="D107" s="41"/>
      <c r="G107" s="41"/>
      <c r="H107" s="41"/>
      <c r="I107" s="41"/>
      <c r="J107" s="41"/>
      <c r="K107" s="41"/>
      <c r="L107" s="41"/>
      <c r="M107" s="41"/>
      <c r="N107" s="41"/>
      <c r="O107" s="41"/>
      <c r="P107" s="42"/>
      <c r="Q107" s="41"/>
    </row>
    <row r="108" ht="15.75" customHeight="1">
      <c r="A108" s="39"/>
      <c r="B108" s="41"/>
      <c r="C108" s="41"/>
      <c r="D108" s="41"/>
      <c r="E108" s="41"/>
      <c r="F108" s="41"/>
      <c r="G108" s="41"/>
      <c r="H108" s="41"/>
      <c r="I108" s="41"/>
      <c r="J108" s="41"/>
      <c r="K108" s="41"/>
      <c r="L108" s="41"/>
      <c r="M108" s="41"/>
      <c r="N108" s="41"/>
      <c r="O108" s="41"/>
      <c r="P108" s="42"/>
      <c r="Q108" s="41"/>
    </row>
    <row r="109" ht="15.75" customHeight="1">
      <c r="A109" s="39"/>
      <c r="B109" s="41"/>
      <c r="C109" s="41"/>
      <c r="D109" s="41"/>
      <c r="E109" s="41"/>
      <c r="F109" s="41"/>
      <c r="G109" s="41"/>
      <c r="H109" s="41"/>
      <c r="I109" s="41"/>
      <c r="J109" s="41"/>
      <c r="K109" s="41"/>
      <c r="L109" s="41"/>
      <c r="M109" s="41"/>
      <c r="N109" s="41"/>
      <c r="O109" s="41"/>
      <c r="P109" s="42"/>
      <c r="Q109" s="41"/>
    </row>
    <row r="110" ht="15.75" customHeight="1">
      <c r="A110" s="39"/>
      <c r="B110" s="41"/>
      <c r="C110" s="41"/>
      <c r="D110" s="41"/>
      <c r="E110" s="41"/>
      <c r="F110" s="41"/>
      <c r="G110" s="41"/>
      <c r="H110" s="41"/>
      <c r="I110" s="41"/>
      <c r="J110" s="41"/>
      <c r="K110" s="41"/>
      <c r="L110" s="41"/>
      <c r="M110" s="41"/>
      <c r="N110" s="41"/>
      <c r="O110" s="41"/>
      <c r="P110" s="42"/>
      <c r="Q110" s="41"/>
    </row>
    <row r="111" ht="15.75" customHeight="1">
      <c r="A111" s="39"/>
      <c r="B111" s="41"/>
      <c r="C111" s="41"/>
      <c r="D111" s="41"/>
      <c r="E111" s="41"/>
      <c r="F111" s="41"/>
      <c r="G111" s="41"/>
      <c r="H111" s="41"/>
      <c r="I111" s="41"/>
      <c r="J111" s="41"/>
      <c r="K111" s="41"/>
      <c r="L111" s="41"/>
      <c r="M111" s="41"/>
      <c r="N111" s="41"/>
      <c r="O111" s="41"/>
      <c r="P111" s="42"/>
      <c r="Q111" s="41"/>
    </row>
    <row r="112" ht="15.75" customHeight="1">
      <c r="A112" s="39"/>
      <c r="B112" s="41"/>
      <c r="C112" s="41"/>
      <c r="D112" s="41"/>
      <c r="E112" s="41"/>
      <c r="F112" s="41"/>
      <c r="G112" s="41"/>
      <c r="H112" s="41"/>
      <c r="I112" s="41"/>
      <c r="J112" s="41"/>
      <c r="K112" s="41"/>
      <c r="L112" s="41"/>
      <c r="M112" s="41"/>
      <c r="N112" s="41"/>
      <c r="O112" s="41"/>
      <c r="P112" s="42"/>
      <c r="Q112" s="41"/>
    </row>
    <row r="113" ht="15.75" customHeight="1">
      <c r="A113" s="39"/>
      <c r="B113" s="41"/>
      <c r="C113" s="41"/>
      <c r="D113" s="41"/>
      <c r="E113" s="41"/>
      <c r="F113" s="41"/>
      <c r="G113" s="41"/>
      <c r="H113" s="41"/>
      <c r="I113" s="41"/>
      <c r="J113" s="41"/>
      <c r="K113" s="41"/>
      <c r="L113" s="41"/>
      <c r="M113" s="41"/>
      <c r="N113" s="41"/>
      <c r="O113" s="41"/>
      <c r="P113" s="42"/>
      <c r="Q113" s="41"/>
    </row>
    <row r="114" ht="15.75" customHeight="1">
      <c r="A114" s="39"/>
      <c r="B114" s="41"/>
      <c r="C114" s="41"/>
      <c r="D114" s="41"/>
      <c r="E114" s="41"/>
      <c r="F114" s="41"/>
      <c r="G114" s="41"/>
      <c r="H114" s="41"/>
      <c r="I114" s="41"/>
      <c r="J114" s="41"/>
      <c r="K114" s="41"/>
      <c r="L114" s="41"/>
      <c r="M114" s="41"/>
      <c r="N114" s="41"/>
      <c r="O114" s="41"/>
      <c r="P114" s="42"/>
      <c r="Q114" s="41"/>
    </row>
    <row r="115" ht="15.75" customHeight="1">
      <c r="A115" s="39"/>
      <c r="B115" s="41"/>
      <c r="C115" s="41"/>
      <c r="D115" s="41"/>
      <c r="E115" s="41"/>
      <c r="F115" s="41"/>
      <c r="G115" s="41"/>
      <c r="H115" s="41"/>
      <c r="I115" s="41"/>
      <c r="J115" s="41"/>
      <c r="K115" s="41"/>
      <c r="L115" s="41"/>
      <c r="M115" s="41"/>
      <c r="N115" s="41"/>
      <c r="O115" s="41"/>
      <c r="P115" s="42"/>
      <c r="Q115" s="41"/>
    </row>
    <row r="116" ht="15.75" customHeight="1">
      <c r="A116" s="39"/>
      <c r="B116" s="41"/>
      <c r="C116" s="41"/>
      <c r="D116" s="41"/>
      <c r="E116" s="41"/>
      <c r="F116" s="41"/>
      <c r="G116" s="41"/>
      <c r="H116" s="41"/>
      <c r="I116" s="41"/>
      <c r="J116" s="41"/>
      <c r="K116" s="41"/>
      <c r="L116" s="41"/>
      <c r="M116" s="41"/>
      <c r="N116" s="41"/>
      <c r="O116" s="41"/>
      <c r="P116" s="42"/>
      <c r="Q116" s="41"/>
    </row>
    <row r="117" ht="15.75" customHeight="1">
      <c r="A117" s="39"/>
      <c r="B117" s="41"/>
      <c r="C117" s="41"/>
      <c r="D117" s="41"/>
      <c r="E117" s="41"/>
      <c r="F117" s="41"/>
      <c r="G117" s="41"/>
      <c r="H117" s="41"/>
      <c r="I117" s="41"/>
      <c r="J117" s="41"/>
      <c r="K117" s="41"/>
      <c r="L117" s="41"/>
      <c r="M117" s="41"/>
      <c r="N117" s="41"/>
      <c r="O117" s="41"/>
      <c r="P117" s="42"/>
      <c r="Q117" s="41"/>
    </row>
    <row r="118" ht="15.75" customHeight="1">
      <c r="A118" s="39"/>
      <c r="B118" s="41"/>
      <c r="C118" s="41"/>
      <c r="D118" s="41"/>
      <c r="E118" s="41"/>
      <c r="F118" s="41"/>
      <c r="G118" s="41"/>
      <c r="H118" s="41"/>
      <c r="I118" s="41"/>
      <c r="J118" s="41"/>
      <c r="K118" s="41"/>
      <c r="L118" s="41"/>
      <c r="M118" s="41"/>
      <c r="N118" s="41"/>
      <c r="O118" s="41"/>
      <c r="P118" s="42"/>
      <c r="Q118" s="41"/>
    </row>
    <row r="119" ht="15.75" customHeight="1">
      <c r="A119" s="39"/>
      <c r="B119" s="41"/>
      <c r="C119" s="41"/>
      <c r="D119" s="41"/>
      <c r="E119" s="41"/>
      <c r="F119" s="41"/>
      <c r="G119" s="41"/>
      <c r="H119" s="41"/>
      <c r="I119" s="41"/>
      <c r="J119" s="41"/>
      <c r="K119" s="41"/>
      <c r="L119" s="41"/>
      <c r="M119" s="41"/>
      <c r="N119" s="41"/>
      <c r="O119" s="41"/>
      <c r="P119" s="42"/>
      <c r="Q119" s="41"/>
    </row>
    <row r="120" ht="15.75" customHeight="1">
      <c r="A120" s="39"/>
      <c r="B120" s="41"/>
      <c r="C120" s="41"/>
      <c r="D120" s="41"/>
      <c r="E120" s="41"/>
      <c r="F120" s="41"/>
      <c r="G120" s="41"/>
      <c r="H120" s="41"/>
      <c r="I120" s="41"/>
      <c r="J120" s="41"/>
      <c r="K120" s="41"/>
      <c r="L120" s="41"/>
      <c r="M120" s="41"/>
      <c r="N120" s="41"/>
      <c r="O120" s="41"/>
      <c r="P120" s="42"/>
      <c r="Q120" s="41"/>
    </row>
    <row r="121" ht="15.75" customHeight="1">
      <c r="A121" s="39"/>
      <c r="B121" s="41"/>
      <c r="C121" s="41"/>
      <c r="D121" s="41"/>
      <c r="E121" s="41"/>
      <c r="F121" s="41"/>
      <c r="G121" s="41"/>
      <c r="H121" s="41"/>
      <c r="I121" s="41"/>
      <c r="J121" s="41"/>
      <c r="K121" s="41"/>
      <c r="L121" s="41"/>
      <c r="M121" s="41"/>
      <c r="N121" s="41"/>
      <c r="O121" s="41"/>
      <c r="P121" s="42"/>
      <c r="Q121" s="41"/>
    </row>
    <row r="122" ht="15.75" customHeight="1">
      <c r="A122" s="39"/>
      <c r="B122" s="41"/>
      <c r="C122" s="41"/>
      <c r="D122" s="41"/>
      <c r="E122" s="41"/>
      <c r="F122" s="41"/>
      <c r="G122" s="41"/>
      <c r="H122" s="41"/>
      <c r="I122" s="41"/>
      <c r="J122" s="41"/>
      <c r="K122" s="41"/>
      <c r="L122" s="41"/>
      <c r="M122" s="41"/>
      <c r="N122" s="41"/>
      <c r="O122" s="41"/>
      <c r="P122" s="42"/>
      <c r="Q122" s="41"/>
    </row>
    <row r="123" ht="15.75" customHeight="1">
      <c r="A123" s="39"/>
      <c r="B123" s="41"/>
      <c r="C123" s="41"/>
      <c r="D123" s="41"/>
      <c r="E123" s="41"/>
      <c r="F123" s="41"/>
      <c r="G123" s="41"/>
      <c r="H123" s="41"/>
      <c r="I123" s="41"/>
      <c r="J123" s="41"/>
      <c r="K123" s="41"/>
      <c r="L123" s="41"/>
      <c r="M123" s="41"/>
      <c r="N123" s="41"/>
      <c r="O123" s="41"/>
      <c r="P123" s="42"/>
      <c r="Q123" s="41"/>
    </row>
    <row r="124" ht="15.75" customHeight="1">
      <c r="A124" s="39"/>
      <c r="B124" s="41"/>
      <c r="C124" s="41"/>
      <c r="D124" s="41"/>
      <c r="E124" s="41"/>
      <c r="F124" s="41"/>
      <c r="G124" s="41"/>
      <c r="H124" s="41"/>
      <c r="I124" s="41"/>
      <c r="J124" s="41"/>
      <c r="K124" s="41"/>
      <c r="L124" s="41"/>
      <c r="M124" s="41"/>
      <c r="N124" s="41"/>
      <c r="O124" s="41"/>
      <c r="P124" s="42"/>
      <c r="Q124" s="41"/>
    </row>
    <row r="125" ht="15.75" customHeight="1">
      <c r="A125" s="39"/>
      <c r="B125" s="41"/>
      <c r="C125" s="41"/>
      <c r="D125" s="41"/>
      <c r="E125" s="41"/>
      <c r="F125" s="41"/>
      <c r="G125" s="41"/>
      <c r="H125" s="41"/>
      <c r="I125" s="41"/>
      <c r="J125" s="41"/>
      <c r="K125" s="41"/>
      <c r="L125" s="41"/>
      <c r="M125" s="41"/>
      <c r="N125" s="41"/>
      <c r="O125" s="41"/>
      <c r="P125" s="42"/>
      <c r="Q125" s="41"/>
    </row>
    <row r="126" ht="15.75" customHeight="1">
      <c r="A126" s="39"/>
      <c r="B126" s="41"/>
      <c r="C126" s="41"/>
      <c r="D126" s="41"/>
      <c r="E126" s="41"/>
      <c r="F126" s="41"/>
      <c r="G126" s="41"/>
      <c r="H126" s="41"/>
      <c r="I126" s="41"/>
      <c r="J126" s="41"/>
      <c r="K126" s="41"/>
      <c r="L126" s="41"/>
      <c r="M126" s="41"/>
      <c r="N126" s="41"/>
      <c r="O126" s="41"/>
      <c r="P126" s="42"/>
      <c r="Q126" s="41"/>
    </row>
    <row r="127" ht="15.75" customHeight="1">
      <c r="A127" s="39"/>
      <c r="B127" s="41"/>
      <c r="C127" s="41"/>
      <c r="D127" s="41"/>
      <c r="E127" s="41"/>
      <c r="F127" s="41"/>
      <c r="G127" s="41"/>
      <c r="H127" s="41"/>
      <c r="I127" s="41"/>
      <c r="J127" s="41"/>
      <c r="K127" s="41"/>
      <c r="L127" s="41"/>
      <c r="M127" s="41"/>
      <c r="N127" s="41"/>
      <c r="O127" s="41"/>
      <c r="P127" s="42"/>
      <c r="Q127" s="41"/>
    </row>
    <row r="128" ht="15.75" customHeight="1">
      <c r="A128" s="39"/>
      <c r="B128" s="41"/>
      <c r="C128" s="41"/>
      <c r="D128" s="41"/>
      <c r="E128" s="41"/>
      <c r="F128" s="41"/>
      <c r="G128" s="41"/>
      <c r="H128" s="41"/>
      <c r="I128" s="41"/>
      <c r="J128" s="41"/>
      <c r="K128" s="41"/>
      <c r="L128" s="41"/>
      <c r="M128" s="41"/>
      <c r="N128" s="41"/>
      <c r="O128" s="41"/>
      <c r="P128" s="42"/>
      <c r="Q128" s="41"/>
    </row>
    <row r="129" ht="15.75" customHeight="1">
      <c r="A129" s="39"/>
      <c r="B129" s="41"/>
      <c r="C129" s="41"/>
      <c r="D129" s="41"/>
      <c r="E129" s="41"/>
      <c r="F129" s="41"/>
      <c r="G129" s="41"/>
      <c r="H129" s="41"/>
      <c r="I129" s="41"/>
      <c r="J129" s="41"/>
      <c r="K129" s="41"/>
      <c r="L129" s="41"/>
      <c r="M129" s="41"/>
      <c r="N129" s="41"/>
      <c r="O129" s="41"/>
      <c r="P129" s="42"/>
      <c r="Q129" s="41"/>
    </row>
    <row r="130" ht="15.75" customHeight="1">
      <c r="A130" s="39"/>
      <c r="B130" s="41"/>
      <c r="C130" s="41"/>
      <c r="D130" s="41"/>
      <c r="E130" s="41"/>
      <c r="F130" s="41"/>
      <c r="G130" s="41"/>
      <c r="H130" s="41"/>
      <c r="I130" s="41"/>
      <c r="J130" s="41"/>
      <c r="K130" s="41"/>
      <c r="L130" s="41"/>
      <c r="M130" s="41"/>
      <c r="N130" s="41"/>
      <c r="O130" s="41"/>
      <c r="P130" s="42"/>
      <c r="Q130" s="41"/>
    </row>
    <row r="131" ht="15.75" customHeight="1">
      <c r="A131" s="39"/>
      <c r="B131" s="41"/>
      <c r="C131" s="41"/>
      <c r="D131" s="41"/>
      <c r="E131" s="41"/>
      <c r="F131" s="41"/>
      <c r="G131" s="41"/>
      <c r="H131" s="41"/>
      <c r="I131" s="41"/>
      <c r="J131" s="41"/>
      <c r="K131" s="41"/>
      <c r="L131" s="41"/>
      <c r="M131" s="41"/>
      <c r="N131" s="41"/>
      <c r="O131" s="41"/>
      <c r="P131" s="42"/>
      <c r="Q131" s="41"/>
    </row>
    <row r="132" ht="15.75" customHeight="1">
      <c r="A132" s="39"/>
      <c r="B132" s="41"/>
      <c r="C132" s="41"/>
      <c r="D132" s="41"/>
      <c r="E132" s="41"/>
      <c r="F132" s="41"/>
      <c r="G132" s="41"/>
      <c r="H132" s="41"/>
      <c r="I132" s="41"/>
      <c r="J132" s="41"/>
      <c r="K132" s="41"/>
      <c r="L132" s="41"/>
      <c r="M132" s="41"/>
      <c r="N132" s="41"/>
      <c r="O132" s="41"/>
      <c r="P132" s="42"/>
      <c r="Q132" s="41"/>
    </row>
    <row r="133" ht="15.75" customHeight="1">
      <c r="A133" s="39"/>
      <c r="B133" s="41"/>
      <c r="C133" s="41"/>
      <c r="D133" s="41"/>
      <c r="E133" s="41"/>
      <c r="F133" s="41"/>
      <c r="G133" s="41"/>
      <c r="H133" s="41"/>
      <c r="I133" s="41"/>
      <c r="J133" s="41"/>
      <c r="K133" s="41"/>
      <c r="L133" s="41"/>
      <c r="M133" s="41"/>
      <c r="N133" s="41"/>
      <c r="O133" s="41"/>
      <c r="P133" s="42"/>
      <c r="Q133" s="41"/>
    </row>
    <row r="134" ht="15.75" customHeight="1">
      <c r="A134" s="39"/>
      <c r="B134" s="41"/>
      <c r="C134" s="41"/>
      <c r="D134" s="41"/>
      <c r="E134" s="41"/>
      <c r="F134" s="41"/>
      <c r="G134" s="41"/>
      <c r="H134" s="41"/>
      <c r="I134" s="41"/>
      <c r="J134" s="41"/>
      <c r="K134" s="41"/>
      <c r="L134" s="41"/>
      <c r="M134" s="41"/>
      <c r="N134" s="41"/>
      <c r="O134" s="41"/>
      <c r="P134" s="42"/>
      <c r="Q134" s="41"/>
    </row>
    <row r="135" ht="15.75" customHeight="1">
      <c r="A135" s="39"/>
      <c r="B135" s="41"/>
      <c r="C135" s="41"/>
      <c r="D135" s="41"/>
      <c r="E135" s="41"/>
      <c r="F135" s="41"/>
      <c r="G135" s="41"/>
      <c r="H135" s="41"/>
      <c r="I135" s="41"/>
      <c r="J135" s="41"/>
      <c r="K135" s="41"/>
      <c r="L135" s="41"/>
      <c r="M135" s="41"/>
      <c r="N135" s="41"/>
      <c r="O135" s="41"/>
      <c r="P135" s="42"/>
      <c r="Q135" s="41"/>
    </row>
    <row r="136" ht="15.75" customHeight="1">
      <c r="A136" s="39"/>
      <c r="B136" s="41"/>
      <c r="C136" s="41"/>
      <c r="D136" s="41"/>
      <c r="E136" s="41"/>
      <c r="F136" s="41"/>
      <c r="G136" s="41"/>
      <c r="H136" s="41"/>
      <c r="I136" s="41"/>
      <c r="J136" s="41"/>
      <c r="K136" s="41"/>
      <c r="L136" s="41"/>
      <c r="M136" s="41"/>
      <c r="N136" s="41"/>
      <c r="O136" s="41"/>
      <c r="P136" s="42"/>
      <c r="Q136" s="41"/>
    </row>
    <row r="137" ht="15.75" customHeight="1">
      <c r="A137" s="39"/>
      <c r="B137" s="41"/>
      <c r="C137" s="41"/>
      <c r="D137" s="41"/>
      <c r="E137" s="41"/>
      <c r="F137" s="41"/>
      <c r="G137" s="41"/>
      <c r="H137" s="41"/>
      <c r="I137" s="41"/>
      <c r="J137" s="41"/>
      <c r="K137" s="41"/>
      <c r="L137" s="41"/>
      <c r="M137" s="41"/>
      <c r="N137" s="41"/>
      <c r="O137" s="41"/>
      <c r="P137" s="42"/>
      <c r="Q137" s="41"/>
    </row>
    <row r="138" ht="15.75" customHeight="1">
      <c r="A138" s="39"/>
      <c r="B138" s="41"/>
      <c r="C138" s="41"/>
      <c r="D138" s="41"/>
      <c r="E138" s="41"/>
      <c r="F138" s="41"/>
      <c r="G138" s="41"/>
      <c r="H138" s="41"/>
      <c r="I138" s="41"/>
      <c r="J138" s="41"/>
      <c r="K138" s="41"/>
      <c r="L138" s="41"/>
      <c r="M138" s="41"/>
      <c r="N138" s="41"/>
      <c r="O138" s="41"/>
      <c r="P138" s="42"/>
      <c r="Q138" s="41"/>
    </row>
    <row r="139" ht="15.75" customHeight="1">
      <c r="A139" s="39"/>
      <c r="B139" s="41"/>
      <c r="C139" s="41"/>
      <c r="D139" s="41"/>
      <c r="E139" s="41"/>
      <c r="F139" s="41"/>
      <c r="G139" s="41"/>
      <c r="H139" s="41"/>
      <c r="I139" s="41"/>
      <c r="J139" s="41"/>
      <c r="K139" s="41"/>
      <c r="L139" s="41"/>
      <c r="M139" s="41"/>
      <c r="N139" s="41"/>
      <c r="O139" s="41"/>
      <c r="P139" s="42"/>
      <c r="Q139" s="41"/>
    </row>
    <row r="140" ht="15.75" customHeight="1">
      <c r="A140" s="39"/>
      <c r="B140" s="41"/>
      <c r="C140" s="41"/>
      <c r="D140" s="41"/>
      <c r="E140" s="41"/>
      <c r="F140" s="41"/>
      <c r="G140" s="41"/>
      <c r="H140" s="41"/>
      <c r="I140" s="41"/>
      <c r="J140" s="41"/>
      <c r="K140" s="41"/>
      <c r="L140" s="41"/>
      <c r="M140" s="41"/>
      <c r="N140" s="41"/>
      <c r="O140" s="41"/>
      <c r="P140" s="42"/>
      <c r="Q140" s="41"/>
    </row>
    <row r="141" ht="15.75" customHeight="1">
      <c r="A141" s="39"/>
      <c r="B141" s="41"/>
      <c r="C141" s="41"/>
      <c r="D141" s="41"/>
      <c r="E141" s="41"/>
      <c r="F141" s="41"/>
      <c r="G141" s="41"/>
      <c r="H141" s="41"/>
      <c r="I141" s="41"/>
      <c r="J141" s="41"/>
      <c r="K141" s="41"/>
      <c r="L141" s="41"/>
      <c r="M141" s="41"/>
      <c r="N141" s="41"/>
      <c r="O141" s="41"/>
      <c r="P141" s="42"/>
      <c r="Q141" s="41"/>
    </row>
    <row r="142" ht="15.75" customHeight="1">
      <c r="A142" s="39"/>
      <c r="B142" s="41"/>
      <c r="C142" s="41"/>
      <c r="D142" s="41"/>
      <c r="E142" s="41"/>
      <c r="F142" s="41"/>
      <c r="G142" s="41"/>
      <c r="H142" s="41"/>
      <c r="I142" s="41"/>
      <c r="J142" s="41"/>
      <c r="K142" s="41"/>
      <c r="L142" s="41"/>
      <c r="M142" s="41"/>
      <c r="N142" s="41"/>
      <c r="O142" s="41"/>
      <c r="P142" s="42"/>
      <c r="Q142" s="41"/>
    </row>
    <row r="143" ht="15.75" customHeight="1">
      <c r="A143" s="39"/>
      <c r="B143" s="41"/>
      <c r="C143" s="41"/>
      <c r="D143" s="41"/>
      <c r="E143" s="41"/>
      <c r="F143" s="41"/>
      <c r="G143" s="41"/>
      <c r="H143" s="41"/>
      <c r="I143" s="41"/>
      <c r="J143" s="41"/>
      <c r="K143" s="41"/>
      <c r="L143" s="41"/>
      <c r="M143" s="41"/>
      <c r="N143" s="41"/>
      <c r="O143" s="41"/>
      <c r="P143" s="42"/>
      <c r="Q143" s="41"/>
    </row>
    <row r="144" ht="15.75" customHeight="1">
      <c r="A144" s="39"/>
      <c r="B144" s="41"/>
      <c r="C144" s="41"/>
      <c r="D144" s="41"/>
      <c r="E144" s="41"/>
      <c r="F144" s="41"/>
      <c r="G144" s="41"/>
      <c r="H144" s="41"/>
      <c r="I144" s="41"/>
      <c r="J144" s="41"/>
      <c r="K144" s="41"/>
      <c r="L144" s="41"/>
      <c r="M144" s="41"/>
      <c r="N144" s="41"/>
      <c r="O144" s="41"/>
      <c r="P144" s="42"/>
      <c r="Q144" s="41"/>
    </row>
    <row r="145" ht="15.75" customHeight="1">
      <c r="A145" s="39"/>
      <c r="B145" s="41"/>
      <c r="C145" s="41"/>
      <c r="D145" s="41"/>
      <c r="E145" s="41"/>
      <c r="F145" s="41"/>
      <c r="G145" s="41"/>
      <c r="H145" s="41"/>
      <c r="I145" s="41"/>
      <c r="J145" s="41"/>
      <c r="K145" s="41"/>
      <c r="L145" s="41"/>
      <c r="M145" s="41"/>
      <c r="N145" s="41"/>
      <c r="O145" s="41"/>
      <c r="P145" s="42"/>
      <c r="Q145" s="41"/>
    </row>
    <row r="146" ht="15.75" customHeight="1">
      <c r="A146" s="39"/>
      <c r="B146" s="41"/>
      <c r="C146" s="41"/>
      <c r="D146" s="41"/>
      <c r="E146" s="41"/>
      <c r="F146" s="41"/>
      <c r="G146" s="41"/>
      <c r="H146" s="41"/>
      <c r="I146" s="41"/>
      <c r="J146" s="41"/>
      <c r="K146" s="41"/>
      <c r="L146" s="41"/>
      <c r="M146" s="41"/>
      <c r="N146" s="41"/>
      <c r="O146" s="41"/>
      <c r="P146" s="42"/>
      <c r="Q146" s="41"/>
    </row>
    <row r="147" ht="15.75" customHeight="1">
      <c r="A147" s="39"/>
      <c r="B147" s="41"/>
      <c r="C147" s="41"/>
      <c r="D147" s="41"/>
      <c r="E147" s="41"/>
      <c r="F147" s="41"/>
      <c r="G147" s="41"/>
      <c r="H147" s="41"/>
      <c r="I147" s="41"/>
      <c r="J147" s="41"/>
      <c r="K147" s="41"/>
      <c r="L147" s="41"/>
      <c r="M147" s="41"/>
      <c r="N147" s="41"/>
      <c r="O147" s="41"/>
      <c r="P147" s="42"/>
      <c r="Q147" s="41"/>
    </row>
    <row r="148" ht="15.75" customHeight="1">
      <c r="A148" s="39"/>
      <c r="B148" s="41"/>
      <c r="C148" s="41"/>
      <c r="D148" s="41"/>
      <c r="E148" s="41"/>
      <c r="F148" s="41"/>
      <c r="G148" s="41"/>
      <c r="H148" s="41"/>
      <c r="I148" s="41"/>
      <c r="J148" s="41"/>
      <c r="K148" s="41"/>
      <c r="L148" s="41"/>
      <c r="M148" s="41"/>
      <c r="N148" s="41"/>
      <c r="O148" s="41"/>
      <c r="P148" s="42"/>
      <c r="Q148" s="41"/>
    </row>
    <row r="149" ht="15.75" customHeight="1">
      <c r="A149" s="39"/>
      <c r="B149" s="41"/>
      <c r="C149" s="41"/>
      <c r="D149" s="41"/>
      <c r="E149" s="41"/>
      <c r="F149" s="41"/>
      <c r="G149" s="41"/>
      <c r="H149" s="41"/>
      <c r="I149" s="41"/>
      <c r="J149" s="41"/>
      <c r="K149" s="41"/>
      <c r="L149" s="41"/>
      <c r="M149" s="41"/>
      <c r="N149" s="41"/>
      <c r="O149" s="41"/>
      <c r="P149" s="42"/>
      <c r="Q149" s="41"/>
    </row>
    <row r="150" ht="15.75" customHeight="1">
      <c r="A150" s="39"/>
      <c r="B150" s="41"/>
      <c r="C150" s="41"/>
      <c r="D150" s="41"/>
      <c r="E150" s="41"/>
      <c r="F150" s="41"/>
      <c r="G150" s="41"/>
      <c r="H150" s="41"/>
      <c r="I150" s="41"/>
      <c r="J150" s="41"/>
      <c r="K150" s="41"/>
      <c r="L150" s="41"/>
      <c r="M150" s="41"/>
      <c r="N150" s="41"/>
      <c r="O150" s="41"/>
      <c r="P150" s="42"/>
      <c r="Q150" s="41"/>
    </row>
    <row r="151" ht="15.75" customHeight="1">
      <c r="A151" s="39"/>
      <c r="B151" s="41"/>
      <c r="C151" s="41"/>
      <c r="D151" s="41"/>
      <c r="E151" s="41"/>
      <c r="F151" s="41"/>
      <c r="G151" s="41"/>
      <c r="H151" s="41"/>
      <c r="I151" s="41"/>
      <c r="J151" s="41"/>
      <c r="K151" s="41"/>
      <c r="L151" s="41"/>
      <c r="M151" s="41"/>
      <c r="N151" s="41"/>
      <c r="O151" s="41"/>
      <c r="P151" s="42"/>
      <c r="Q151" s="41"/>
    </row>
    <row r="152" ht="15.75" customHeight="1">
      <c r="A152" s="39"/>
      <c r="B152" s="41"/>
      <c r="C152" s="41"/>
      <c r="D152" s="41"/>
      <c r="E152" s="41"/>
      <c r="F152" s="41"/>
      <c r="G152" s="41"/>
      <c r="H152" s="41"/>
      <c r="I152" s="41"/>
      <c r="J152" s="41"/>
      <c r="K152" s="41"/>
      <c r="L152" s="41"/>
      <c r="M152" s="41"/>
      <c r="N152" s="41"/>
      <c r="O152" s="41"/>
      <c r="P152" s="42"/>
      <c r="Q152" s="41"/>
    </row>
    <row r="153" ht="15.75" customHeight="1">
      <c r="A153" s="39"/>
      <c r="B153" s="41"/>
      <c r="C153" s="41"/>
      <c r="D153" s="41"/>
      <c r="E153" s="41"/>
      <c r="F153" s="41"/>
      <c r="G153" s="41"/>
      <c r="H153" s="41"/>
      <c r="I153" s="41"/>
      <c r="J153" s="41"/>
      <c r="K153" s="41"/>
      <c r="L153" s="41"/>
      <c r="M153" s="41"/>
      <c r="N153" s="41"/>
      <c r="O153" s="41"/>
      <c r="P153" s="42"/>
      <c r="Q153" s="41"/>
    </row>
    <row r="154" ht="15.75" customHeight="1">
      <c r="A154" s="39"/>
      <c r="B154" s="41"/>
      <c r="C154" s="41"/>
      <c r="D154" s="41"/>
      <c r="E154" s="41"/>
      <c r="F154" s="41"/>
      <c r="G154" s="41"/>
      <c r="H154" s="41"/>
      <c r="I154" s="41"/>
      <c r="J154" s="41"/>
      <c r="K154" s="41"/>
      <c r="L154" s="41"/>
      <c r="M154" s="41"/>
      <c r="N154" s="41"/>
      <c r="O154" s="41"/>
      <c r="P154" s="42"/>
      <c r="Q154" s="41"/>
    </row>
    <row r="155" ht="15.75" customHeight="1">
      <c r="A155" s="39"/>
      <c r="B155" s="41"/>
      <c r="C155" s="41"/>
      <c r="D155" s="41"/>
      <c r="E155" s="41"/>
      <c r="F155" s="41"/>
      <c r="G155" s="41"/>
      <c r="H155" s="41"/>
      <c r="I155" s="41"/>
      <c r="J155" s="41"/>
      <c r="K155" s="41"/>
      <c r="L155" s="41"/>
      <c r="M155" s="41"/>
      <c r="N155" s="41"/>
      <c r="O155" s="41"/>
      <c r="P155" s="42"/>
      <c r="Q155" s="41"/>
    </row>
    <row r="156" ht="15.75" customHeight="1">
      <c r="A156" s="39"/>
      <c r="B156" s="41"/>
      <c r="C156" s="41"/>
      <c r="D156" s="41"/>
      <c r="E156" s="41"/>
      <c r="F156" s="41"/>
      <c r="G156" s="41"/>
      <c r="H156" s="41"/>
      <c r="I156" s="41"/>
      <c r="J156" s="41"/>
      <c r="K156" s="41"/>
      <c r="L156" s="41"/>
      <c r="M156" s="41"/>
      <c r="N156" s="41"/>
      <c r="O156" s="41"/>
      <c r="P156" s="42"/>
      <c r="Q156" s="41"/>
    </row>
    <row r="157" ht="15.75" customHeight="1">
      <c r="A157" s="39"/>
      <c r="B157" s="41"/>
      <c r="C157" s="41"/>
      <c r="D157" s="41"/>
      <c r="E157" s="41"/>
      <c r="F157" s="41"/>
      <c r="G157" s="41"/>
      <c r="H157" s="41"/>
      <c r="I157" s="41"/>
      <c r="J157" s="41"/>
      <c r="K157" s="41"/>
      <c r="L157" s="41"/>
      <c r="M157" s="41"/>
      <c r="N157" s="41"/>
      <c r="O157" s="41"/>
      <c r="P157" s="42"/>
      <c r="Q157" s="41"/>
    </row>
    <row r="158" ht="15.75" customHeight="1">
      <c r="A158" s="39"/>
      <c r="B158" s="41"/>
      <c r="C158" s="41"/>
      <c r="D158" s="41"/>
      <c r="E158" s="41"/>
      <c r="F158" s="41"/>
      <c r="G158" s="41"/>
      <c r="H158" s="41"/>
      <c r="I158" s="41"/>
      <c r="J158" s="41"/>
      <c r="K158" s="41"/>
      <c r="L158" s="41"/>
      <c r="M158" s="41"/>
      <c r="N158" s="41"/>
      <c r="O158" s="41"/>
      <c r="P158" s="42"/>
      <c r="Q158" s="41"/>
    </row>
    <row r="159" ht="15.75" customHeight="1">
      <c r="A159" s="39"/>
      <c r="B159" s="41"/>
      <c r="C159" s="41"/>
      <c r="D159" s="41"/>
      <c r="E159" s="41"/>
      <c r="F159" s="41"/>
      <c r="G159" s="41"/>
      <c r="H159" s="41"/>
      <c r="I159" s="41"/>
      <c r="J159" s="41"/>
      <c r="K159" s="41"/>
      <c r="L159" s="41"/>
      <c r="M159" s="41"/>
      <c r="N159" s="41"/>
      <c r="O159" s="41"/>
      <c r="P159" s="42"/>
      <c r="Q159" s="41"/>
    </row>
    <row r="160" ht="15.75" customHeight="1">
      <c r="A160" s="39"/>
      <c r="B160" s="41"/>
      <c r="C160" s="41"/>
      <c r="D160" s="41"/>
      <c r="E160" s="41"/>
      <c r="F160" s="41"/>
      <c r="G160" s="41"/>
      <c r="H160" s="41"/>
      <c r="I160" s="41"/>
      <c r="J160" s="41"/>
      <c r="K160" s="41"/>
      <c r="L160" s="41"/>
      <c r="M160" s="41"/>
      <c r="N160" s="41"/>
      <c r="O160" s="41"/>
      <c r="P160" s="42"/>
      <c r="Q160" s="41"/>
    </row>
    <row r="161" ht="15.75" customHeight="1">
      <c r="A161" s="39"/>
      <c r="B161" s="41"/>
      <c r="C161" s="41"/>
      <c r="D161" s="41"/>
      <c r="E161" s="41"/>
      <c r="F161" s="41"/>
      <c r="G161" s="41"/>
      <c r="H161" s="41"/>
      <c r="I161" s="41"/>
      <c r="J161" s="41"/>
      <c r="K161" s="41"/>
      <c r="L161" s="41"/>
      <c r="M161" s="41"/>
      <c r="N161" s="41"/>
      <c r="O161" s="41"/>
      <c r="P161" s="42"/>
      <c r="Q161" s="41"/>
    </row>
    <row r="162" ht="15.75" customHeight="1">
      <c r="A162" s="39"/>
      <c r="B162" s="41"/>
      <c r="C162" s="41"/>
      <c r="D162" s="41"/>
      <c r="E162" s="41"/>
      <c r="F162" s="41"/>
      <c r="G162" s="41"/>
      <c r="H162" s="41"/>
      <c r="I162" s="41"/>
      <c r="J162" s="41"/>
      <c r="K162" s="41"/>
      <c r="L162" s="41"/>
      <c r="M162" s="41"/>
      <c r="N162" s="41"/>
      <c r="O162" s="41"/>
      <c r="P162" s="42"/>
      <c r="Q162" s="41"/>
    </row>
    <row r="163" ht="15.75" customHeight="1">
      <c r="A163" s="39"/>
      <c r="B163" s="41"/>
      <c r="C163" s="41"/>
      <c r="D163" s="41"/>
      <c r="E163" s="41"/>
      <c r="F163" s="41"/>
      <c r="G163" s="41"/>
      <c r="H163" s="41"/>
      <c r="I163" s="41"/>
      <c r="J163" s="41"/>
      <c r="K163" s="41"/>
      <c r="L163" s="41"/>
      <c r="M163" s="41"/>
      <c r="N163" s="41"/>
      <c r="O163" s="41"/>
      <c r="P163" s="42"/>
      <c r="Q163" s="41"/>
    </row>
    <row r="164" ht="15.75" customHeight="1">
      <c r="A164" s="39"/>
      <c r="B164" s="41"/>
      <c r="C164" s="41"/>
      <c r="D164" s="41"/>
      <c r="E164" s="41"/>
      <c r="F164" s="41"/>
      <c r="G164" s="41"/>
      <c r="H164" s="41"/>
      <c r="I164" s="41"/>
      <c r="J164" s="41"/>
      <c r="K164" s="41"/>
      <c r="L164" s="41"/>
      <c r="M164" s="41"/>
      <c r="N164" s="41"/>
      <c r="O164" s="41"/>
      <c r="P164" s="42"/>
      <c r="Q164" s="41"/>
    </row>
    <row r="165" ht="15.75" customHeight="1">
      <c r="A165" s="39"/>
      <c r="B165" s="41"/>
      <c r="C165" s="41"/>
      <c r="D165" s="41"/>
      <c r="E165" s="41"/>
      <c r="F165" s="41"/>
      <c r="G165" s="41"/>
      <c r="H165" s="41"/>
      <c r="I165" s="41"/>
      <c r="J165" s="41"/>
      <c r="K165" s="41"/>
      <c r="L165" s="41"/>
      <c r="M165" s="41"/>
      <c r="N165" s="41"/>
      <c r="O165" s="41"/>
      <c r="P165" s="42"/>
      <c r="Q165" s="41"/>
    </row>
    <row r="166" ht="15.75" customHeight="1">
      <c r="A166" s="39"/>
      <c r="B166" s="41"/>
      <c r="C166" s="41"/>
      <c r="D166" s="41"/>
      <c r="E166" s="41"/>
      <c r="F166" s="41"/>
      <c r="G166" s="41"/>
      <c r="H166" s="41"/>
      <c r="I166" s="41"/>
      <c r="J166" s="41"/>
      <c r="K166" s="41"/>
      <c r="L166" s="41"/>
      <c r="M166" s="41"/>
      <c r="N166" s="41"/>
      <c r="O166" s="41"/>
      <c r="P166" s="42"/>
      <c r="Q166" s="41"/>
    </row>
    <row r="167" ht="15.75" customHeight="1">
      <c r="A167" s="39"/>
      <c r="B167" s="41"/>
      <c r="C167" s="41"/>
      <c r="D167" s="41"/>
      <c r="E167" s="41"/>
      <c r="F167" s="41"/>
      <c r="G167" s="41"/>
      <c r="H167" s="41"/>
      <c r="I167" s="41"/>
      <c r="J167" s="41"/>
      <c r="K167" s="41"/>
      <c r="L167" s="41"/>
      <c r="M167" s="41"/>
      <c r="N167" s="41"/>
      <c r="O167" s="41"/>
      <c r="P167" s="42"/>
      <c r="Q167" s="41"/>
    </row>
    <row r="168" ht="15.75" customHeight="1">
      <c r="A168" s="39"/>
      <c r="B168" s="41"/>
      <c r="C168" s="41"/>
      <c r="D168" s="41"/>
      <c r="E168" s="41"/>
      <c r="F168" s="41"/>
      <c r="G168" s="41"/>
      <c r="H168" s="41"/>
      <c r="I168" s="41"/>
      <c r="J168" s="41"/>
      <c r="K168" s="41"/>
      <c r="L168" s="41"/>
      <c r="M168" s="41"/>
      <c r="N168" s="41"/>
      <c r="O168" s="41"/>
      <c r="P168" s="42"/>
      <c r="Q168" s="41"/>
    </row>
    <row r="169" ht="15.75" customHeight="1">
      <c r="A169" s="39"/>
      <c r="B169" s="41"/>
      <c r="C169" s="41"/>
      <c r="D169" s="41"/>
      <c r="E169" s="41"/>
      <c r="F169" s="41"/>
      <c r="G169" s="41"/>
      <c r="H169" s="41"/>
      <c r="I169" s="41"/>
      <c r="J169" s="41"/>
      <c r="K169" s="41"/>
      <c r="L169" s="41"/>
      <c r="M169" s="41"/>
      <c r="N169" s="41"/>
      <c r="O169" s="41"/>
      <c r="P169" s="42"/>
      <c r="Q169" s="41"/>
    </row>
    <row r="170" ht="15.75" customHeight="1">
      <c r="A170" s="39"/>
      <c r="B170" s="41"/>
      <c r="C170" s="41"/>
      <c r="D170" s="41"/>
      <c r="E170" s="41"/>
      <c r="F170" s="41"/>
      <c r="G170" s="41"/>
      <c r="H170" s="41"/>
      <c r="I170" s="41"/>
      <c r="J170" s="41"/>
      <c r="K170" s="41"/>
      <c r="L170" s="41"/>
      <c r="M170" s="41"/>
      <c r="N170" s="41"/>
      <c r="O170" s="41"/>
      <c r="P170" s="42"/>
      <c r="Q170" s="41"/>
    </row>
    <row r="171" ht="15.75" customHeight="1">
      <c r="A171" s="39"/>
      <c r="B171" s="41"/>
      <c r="C171" s="41"/>
      <c r="D171" s="41"/>
      <c r="E171" s="41"/>
      <c r="F171" s="41"/>
      <c r="G171" s="41"/>
      <c r="H171" s="41"/>
      <c r="I171" s="41"/>
      <c r="J171" s="41"/>
      <c r="K171" s="41"/>
      <c r="L171" s="41"/>
      <c r="M171" s="41"/>
      <c r="N171" s="41"/>
      <c r="O171" s="41"/>
      <c r="P171" s="42"/>
      <c r="Q171" s="41"/>
    </row>
    <row r="172" ht="15.75" customHeight="1">
      <c r="A172" s="39"/>
      <c r="B172" s="41"/>
      <c r="C172" s="41"/>
      <c r="D172" s="41"/>
      <c r="E172" s="41"/>
      <c r="F172" s="41"/>
      <c r="G172" s="41"/>
      <c r="H172" s="41"/>
      <c r="I172" s="41"/>
      <c r="J172" s="41"/>
      <c r="K172" s="41"/>
      <c r="L172" s="41"/>
      <c r="M172" s="41"/>
      <c r="N172" s="41"/>
      <c r="O172" s="41"/>
      <c r="P172" s="42"/>
      <c r="Q172" s="41"/>
    </row>
    <row r="173" ht="15.75" customHeight="1">
      <c r="A173" s="39"/>
      <c r="B173" s="41"/>
      <c r="C173" s="41"/>
      <c r="D173" s="41"/>
      <c r="E173" s="41"/>
      <c r="F173" s="41"/>
      <c r="G173" s="41"/>
      <c r="H173" s="41"/>
      <c r="I173" s="41"/>
      <c r="J173" s="41"/>
      <c r="K173" s="41"/>
      <c r="L173" s="41"/>
      <c r="M173" s="41"/>
      <c r="N173" s="41"/>
      <c r="O173" s="41"/>
      <c r="P173" s="42"/>
      <c r="Q173" s="41"/>
    </row>
    <row r="174" ht="15.75" customHeight="1">
      <c r="A174" s="39"/>
      <c r="B174" s="41"/>
      <c r="C174" s="41"/>
      <c r="D174" s="41"/>
      <c r="E174" s="41"/>
      <c r="F174" s="41"/>
      <c r="G174" s="41"/>
      <c r="H174" s="41"/>
      <c r="I174" s="41"/>
      <c r="J174" s="41"/>
      <c r="K174" s="41"/>
      <c r="L174" s="41"/>
      <c r="M174" s="41"/>
      <c r="N174" s="41"/>
      <c r="O174" s="41"/>
      <c r="P174" s="42"/>
      <c r="Q174" s="41"/>
    </row>
    <row r="175" ht="15.75" customHeight="1">
      <c r="A175" s="39"/>
      <c r="B175" s="41"/>
      <c r="C175" s="41"/>
      <c r="D175" s="41"/>
      <c r="E175" s="41"/>
      <c r="F175" s="41"/>
      <c r="G175" s="41"/>
      <c r="H175" s="41"/>
      <c r="I175" s="41"/>
      <c r="J175" s="41"/>
      <c r="K175" s="41"/>
      <c r="L175" s="41"/>
      <c r="M175" s="41"/>
      <c r="N175" s="41"/>
      <c r="O175" s="41"/>
      <c r="P175" s="42"/>
      <c r="Q175" s="41"/>
    </row>
    <row r="176" ht="15.75" customHeight="1">
      <c r="A176" s="39"/>
      <c r="B176" s="41"/>
      <c r="C176" s="41"/>
      <c r="D176" s="41"/>
      <c r="E176" s="41"/>
      <c r="F176" s="41"/>
      <c r="G176" s="41"/>
      <c r="H176" s="41"/>
      <c r="I176" s="41"/>
      <c r="J176" s="41"/>
      <c r="K176" s="41"/>
      <c r="L176" s="41"/>
      <c r="M176" s="41"/>
      <c r="N176" s="41"/>
      <c r="O176" s="41"/>
      <c r="P176" s="42"/>
      <c r="Q176" s="41"/>
    </row>
    <row r="177" ht="15.75" customHeight="1">
      <c r="A177" s="39"/>
      <c r="B177" s="41"/>
      <c r="C177" s="41"/>
      <c r="D177" s="41"/>
      <c r="E177" s="41"/>
      <c r="F177" s="41"/>
      <c r="G177" s="41"/>
      <c r="H177" s="41"/>
      <c r="I177" s="41"/>
      <c r="J177" s="41"/>
      <c r="K177" s="41"/>
      <c r="L177" s="41"/>
      <c r="M177" s="41"/>
      <c r="N177" s="41"/>
      <c r="O177" s="41"/>
      <c r="P177" s="42"/>
      <c r="Q177" s="41"/>
    </row>
    <row r="178" ht="15.75" customHeight="1">
      <c r="A178" s="39"/>
      <c r="B178" s="41"/>
      <c r="C178" s="41"/>
      <c r="D178" s="41"/>
      <c r="E178" s="41"/>
      <c r="F178" s="41"/>
      <c r="G178" s="41"/>
      <c r="H178" s="41"/>
      <c r="I178" s="41"/>
      <c r="J178" s="41"/>
      <c r="K178" s="41"/>
      <c r="L178" s="41"/>
      <c r="M178" s="41"/>
      <c r="N178" s="41"/>
      <c r="O178" s="41"/>
      <c r="P178" s="42"/>
      <c r="Q178" s="41"/>
    </row>
    <row r="179" ht="15.75" customHeight="1">
      <c r="A179" s="39"/>
      <c r="B179" s="41"/>
      <c r="C179" s="41"/>
      <c r="D179" s="41"/>
      <c r="E179" s="41"/>
      <c r="F179" s="41"/>
      <c r="G179" s="41"/>
      <c r="H179" s="41"/>
      <c r="I179" s="41"/>
      <c r="J179" s="41"/>
      <c r="K179" s="41"/>
      <c r="L179" s="41"/>
      <c r="M179" s="41"/>
      <c r="N179" s="41"/>
      <c r="O179" s="41"/>
      <c r="P179" s="42"/>
      <c r="Q179" s="41"/>
    </row>
    <row r="180" ht="15.75" customHeight="1">
      <c r="A180" s="39"/>
      <c r="B180" s="41"/>
      <c r="C180" s="41"/>
      <c r="D180" s="41"/>
      <c r="E180" s="41"/>
      <c r="F180" s="41"/>
      <c r="G180" s="41"/>
      <c r="H180" s="41"/>
      <c r="I180" s="41"/>
      <c r="J180" s="41"/>
      <c r="K180" s="41"/>
      <c r="L180" s="41"/>
      <c r="M180" s="41"/>
      <c r="N180" s="41"/>
      <c r="O180" s="41"/>
      <c r="P180" s="42"/>
      <c r="Q180" s="41"/>
    </row>
    <row r="181" ht="15.75" customHeight="1">
      <c r="A181" s="39"/>
      <c r="B181" s="41"/>
      <c r="C181" s="41"/>
      <c r="D181" s="41"/>
      <c r="E181" s="41"/>
      <c r="F181" s="41"/>
      <c r="G181" s="41"/>
      <c r="H181" s="41"/>
      <c r="I181" s="41"/>
      <c r="J181" s="41"/>
      <c r="K181" s="41"/>
      <c r="L181" s="41"/>
      <c r="M181" s="41"/>
      <c r="N181" s="41"/>
      <c r="O181" s="41"/>
      <c r="P181" s="42"/>
      <c r="Q181" s="41"/>
    </row>
    <row r="182" ht="15.75" customHeight="1">
      <c r="A182" s="39"/>
      <c r="B182" s="41"/>
      <c r="C182" s="41"/>
      <c r="D182" s="41"/>
      <c r="E182" s="41"/>
      <c r="F182" s="41"/>
      <c r="G182" s="41"/>
      <c r="H182" s="41"/>
      <c r="I182" s="41"/>
      <c r="J182" s="41"/>
      <c r="K182" s="41"/>
      <c r="L182" s="41"/>
      <c r="M182" s="41"/>
      <c r="N182" s="41"/>
      <c r="O182" s="41"/>
      <c r="P182" s="42"/>
      <c r="Q182" s="41"/>
    </row>
    <row r="183" ht="15.75" customHeight="1">
      <c r="A183" s="39"/>
      <c r="B183" s="41"/>
      <c r="C183" s="41"/>
      <c r="D183" s="41"/>
      <c r="E183" s="41"/>
      <c r="F183" s="41"/>
      <c r="G183" s="41"/>
      <c r="H183" s="41"/>
      <c r="I183" s="41"/>
      <c r="J183" s="41"/>
      <c r="K183" s="41"/>
      <c r="L183" s="41"/>
      <c r="M183" s="41"/>
      <c r="N183" s="41"/>
      <c r="O183" s="41"/>
      <c r="P183" s="42"/>
      <c r="Q183" s="41"/>
    </row>
    <row r="184" ht="15.75" customHeight="1">
      <c r="A184" s="39"/>
      <c r="B184" s="41"/>
      <c r="C184" s="41"/>
      <c r="D184" s="41"/>
      <c r="E184" s="41"/>
      <c r="F184" s="41"/>
      <c r="G184" s="41"/>
      <c r="H184" s="41"/>
      <c r="I184" s="41"/>
      <c r="J184" s="41"/>
      <c r="K184" s="41"/>
      <c r="L184" s="41"/>
      <c r="M184" s="41"/>
      <c r="N184" s="41"/>
      <c r="O184" s="41"/>
      <c r="P184" s="42"/>
      <c r="Q184" s="41"/>
    </row>
    <row r="185" ht="15.75" customHeight="1">
      <c r="A185" s="39"/>
      <c r="B185" s="41"/>
      <c r="C185" s="41"/>
      <c r="D185" s="41"/>
      <c r="E185" s="41"/>
      <c r="F185" s="41"/>
      <c r="G185" s="41"/>
      <c r="H185" s="41"/>
      <c r="I185" s="41"/>
      <c r="J185" s="41"/>
      <c r="K185" s="41"/>
      <c r="L185" s="41"/>
      <c r="M185" s="41"/>
      <c r="N185" s="41"/>
      <c r="O185" s="41"/>
      <c r="P185" s="42"/>
      <c r="Q185" s="41"/>
    </row>
    <row r="186" ht="15.75" customHeight="1">
      <c r="A186" s="39"/>
      <c r="B186" s="41"/>
      <c r="C186" s="41"/>
      <c r="D186" s="41"/>
      <c r="E186" s="41"/>
      <c r="F186" s="41"/>
      <c r="G186" s="41"/>
      <c r="H186" s="41"/>
      <c r="I186" s="41"/>
      <c r="J186" s="41"/>
      <c r="K186" s="41"/>
      <c r="L186" s="41"/>
      <c r="M186" s="41"/>
      <c r="N186" s="41"/>
      <c r="O186" s="41"/>
      <c r="P186" s="42"/>
      <c r="Q186" s="41"/>
    </row>
    <row r="187" ht="15.75" customHeight="1">
      <c r="A187" s="39"/>
      <c r="B187" s="41"/>
      <c r="C187" s="41"/>
      <c r="D187" s="41"/>
      <c r="E187" s="41"/>
      <c r="F187" s="41"/>
      <c r="G187" s="41"/>
      <c r="H187" s="41"/>
      <c r="I187" s="41"/>
      <c r="J187" s="41"/>
      <c r="K187" s="41"/>
      <c r="L187" s="41"/>
      <c r="M187" s="41"/>
      <c r="N187" s="41"/>
      <c r="O187" s="41"/>
      <c r="P187" s="42"/>
      <c r="Q187" s="41"/>
    </row>
    <row r="188" ht="15.75" customHeight="1">
      <c r="A188" s="39"/>
      <c r="B188" s="41"/>
      <c r="C188" s="41"/>
      <c r="D188" s="41"/>
      <c r="E188" s="41"/>
      <c r="F188" s="41"/>
      <c r="G188" s="41"/>
      <c r="H188" s="41"/>
      <c r="I188" s="41"/>
      <c r="J188" s="41"/>
      <c r="K188" s="41"/>
      <c r="L188" s="41"/>
      <c r="M188" s="41"/>
      <c r="N188" s="41"/>
      <c r="O188" s="41"/>
      <c r="P188" s="42"/>
      <c r="Q188" s="41"/>
    </row>
    <row r="189" ht="15.75" customHeight="1">
      <c r="A189" s="39"/>
      <c r="B189" s="41"/>
      <c r="C189" s="41"/>
      <c r="D189" s="41"/>
      <c r="E189" s="41"/>
      <c r="F189" s="41"/>
      <c r="G189" s="41"/>
      <c r="H189" s="41"/>
      <c r="I189" s="41"/>
      <c r="J189" s="41"/>
      <c r="K189" s="41"/>
      <c r="L189" s="41"/>
      <c r="M189" s="41"/>
      <c r="N189" s="41"/>
      <c r="O189" s="41"/>
      <c r="P189" s="42"/>
      <c r="Q189" s="41"/>
    </row>
    <row r="190" ht="15.75" customHeight="1">
      <c r="A190" s="39"/>
      <c r="B190" s="41"/>
      <c r="C190" s="41"/>
      <c r="D190" s="41"/>
      <c r="E190" s="41"/>
      <c r="F190" s="41"/>
      <c r="G190" s="41"/>
      <c r="H190" s="41"/>
      <c r="I190" s="41"/>
      <c r="J190" s="41"/>
      <c r="K190" s="41"/>
      <c r="L190" s="41"/>
      <c r="M190" s="41"/>
      <c r="N190" s="41"/>
      <c r="O190" s="41"/>
      <c r="P190" s="42"/>
      <c r="Q190" s="41"/>
    </row>
    <row r="191" ht="15.75" customHeight="1">
      <c r="A191" s="39"/>
      <c r="B191" s="41"/>
      <c r="C191" s="41"/>
      <c r="D191" s="41"/>
      <c r="E191" s="41"/>
      <c r="F191" s="41"/>
      <c r="G191" s="41"/>
      <c r="H191" s="41"/>
      <c r="I191" s="41"/>
      <c r="J191" s="41"/>
      <c r="K191" s="41"/>
      <c r="L191" s="41"/>
      <c r="M191" s="41"/>
      <c r="N191" s="41"/>
      <c r="O191" s="41"/>
      <c r="P191" s="42"/>
      <c r="Q191" s="41"/>
    </row>
    <row r="192" ht="15.75" customHeight="1">
      <c r="A192" s="39"/>
      <c r="B192" s="41"/>
      <c r="C192" s="41"/>
      <c r="D192" s="41"/>
      <c r="E192" s="41"/>
      <c r="F192" s="41"/>
      <c r="G192" s="41"/>
      <c r="H192" s="41"/>
      <c r="I192" s="41"/>
      <c r="J192" s="41"/>
      <c r="K192" s="41"/>
      <c r="L192" s="41"/>
      <c r="M192" s="41"/>
      <c r="N192" s="41"/>
      <c r="O192" s="41"/>
      <c r="P192" s="42"/>
      <c r="Q192" s="41"/>
    </row>
    <row r="193" ht="15.75" customHeight="1">
      <c r="A193" s="39"/>
      <c r="B193" s="41"/>
      <c r="C193" s="41"/>
      <c r="D193" s="41"/>
      <c r="E193" s="41"/>
      <c r="F193" s="41"/>
      <c r="G193" s="41"/>
      <c r="H193" s="41"/>
      <c r="I193" s="41"/>
      <c r="J193" s="41"/>
      <c r="K193" s="41"/>
      <c r="L193" s="41"/>
      <c r="M193" s="41"/>
      <c r="N193" s="41"/>
      <c r="O193" s="41"/>
      <c r="P193" s="42"/>
      <c r="Q193" s="41"/>
    </row>
    <row r="194" ht="15.75" customHeight="1">
      <c r="A194" s="39"/>
      <c r="B194" s="41"/>
      <c r="C194" s="41"/>
      <c r="D194" s="41"/>
      <c r="E194" s="41"/>
      <c r="F194" s="41"/>
      <c r="G194" s="41"/>
      <c r="H194" s="41"/>
      <c r="I194" s="41"/>
      <c r="J194" s="41"/>
      <c r="K194" s="41"/>
      <c r="L194" s="41"/>
      <c r="M194" s="41"/>
      <c r="N194" s="41"/>
      <c r="O194" s="41"/>
      <c r="P194" s="42"/>
      <c r="Q194" s="41"/>
    </row>
    <row r="195" ht="15.75" customHeight="1">
      <c r="A195" s="39"/>
      <c r="B195" s="41"/>
      <c r="C195" s="41"/>
      <c r="D195" s="41"/>
      <c r="E195" s="41"/>
      <c r="F195" s="41"/>
      <c r="G195" s="41"/>
      <c r="H195" s="41"/>
      <c r="I195" s="41"/>
      <c r="J195" s="41"/>
      <c r="K195" s="41"/>
      <c r="L195" s="41"/>
      <c r="M195" s="41"/>
      <c r="N195" s="41"/>
      <c r="O195" s="41"/>
      <c r="P195" s="42"/>
      <c r="Q195" s="41"/>
    </row>
    <row r="196" ht="15.75" customHeight="1">
      <c r="A196" s="39"/>
      <c r="B196" s="41"/>
      <c r="C196" s="41"/>
      <c r="D196" s="41"/>
      <c r="E196" s="41"/>
      <c r="F196" s="41"/>
      <c r="G196" s="41"/>
      <c r="H196" s="41"/>
      <c r="I196" s="41"/>
      <c r="J196" s="41"/>
      <c r="K196" s="41"/>
      <c r="L196" s="41"/>
      <c r="M196" s="41"/>
      <c r="N196" s="41"/>
      <c r="O196" s="41"/>
      <c r="P196" s="42"/>
      <c r="Q196" s="41"/>
    </row>
    <row r="197" ht="15.75" customHeight="1">
      <c r="A197" s="39"/>
      <c r="B197" s="41"/>
      <c r="C197" s="41"/>
      <c r="D197" s="41"/>
      <c r="E197" s="41"/>
      <c r="F197" s="41"/>
      <c r="G197" s="41"/>
      <c r="H197" s="41"/>
      <c r="I197" s="41"/>
      <c r="J197" s="41"/>
      <c r="K197" s="41"/>
      <c r="L197" s="41"/>
      <c r="M197" s="41"/>
      <c r="N197" s="41"/>
      <c r="O197" s="41"/>
      <c r="P197" s="42"/>
      <c r="Q197" s="41"/>
    </row>
    <row r="198" ht="15.75" customHeight="1">
      <c r="A198" s="39"/>
      <c r="B198" s="41"/>
      <c r="C198" s="41"/>
      <c r="D198" s="41"/>
      <c r="E198" s="41"/>
      <c r="F198" s="41"/>
      <c r="G198" s="41"/>
      <c r="H198" s="41"/>
      <c r="I198" s="41"/>
      <c r="J198" s="41"/>
      <c r="K198" s="41"/>
      <c r="L198" s="41"/>
      <c r="M198" s="41"/>
      <c r="N198" s="41"/>
      <c r="O198" s="41"/>
      <c r="P198" s="42"/>
      <c r="Q198" s="41"/>
    </row>
    <row r="199" ht="15.75" customHeight="1">
      <c r="A199" s="39"/>
      <c r="B199" s="41"/>
      <c r="C199" s="41"/>
      <c r="D199" s="41"/>
      <c r="E199" s="41"/>
      <c r="F199" s="41"/>
      <c r="G199" s="41"/>
      <c r="H199" s="41"/>
      <c r="I199" s="41"/>
      <c r="J199" s="41"/>
      <c r="K199" s="41"/>
      <c r="L199" s="41"/>
      <c r="M199" s="41"/>
      <c r="N199" s="41"/>
      <c r="O199" s="41"/>
      <c r="P199" s="42"/>
      <c r="Q199" s="41"/>
    </row>
    <row r="200" ht="15.75" customHeight="1">
      <c r="A200" s="39"/>
      <c r="B200" s="41"/>
      <c r="C200" s="41"/>
      <c r="D200" s="41"/>
      <c r="E200" s="41"/>
      <c r="F200" s="41"/>
      <c r="G200" s="41"/>
      <c r="H200" s="41"/>
      <c r="I200" s="41"/>
      <c r="J200" s="41"/>
      <c r="K200" s="41"/>
      <c r="L200" s="41"/>
      <c r="M200" s="41"/>
      <c r="N200" s="41"/>
      <c r="O200" s="41"/>
      <c r="P200" s="42"/>
      <c r="Q200" s="41"/>
    </row>
    <row r="201" ht="15.75" customHeight="1">
      <c r="A201" s="39"/>
      <c r="B201" s="41"/>
      <c r="C201" s="41"/>
      <c r="D201" s="41"/>
      <c r="E201" s="41"/>
      <c r="F201" s="41"/>
      <c r="G201" s="41"/>
      <c r="H201" s="41"/>
      <c r="I201" s="41"/>
      <c r="J201" s="41"/>
      <c r="K201" s="41"/>
      <c r="L201" s="41"/>
      <c r="M201" s="41"/>
      <c r="N201" s="41"/>
      <c r="O201" s="41"/>
      <c r="P201" s="42"/>
      <c r="Q201" s="41"/>
    </row>
    <row r="202" ht="15.75" customHeight="1">
      <c r="A202" s="39"/>
      <c r="B202" s="41"/>
      <c r="C202" s="41"/>
      <c r="D202" s="41"/>
      <c r="E202" s="41"/>
      <c r="F202" s="41"/>
      <c r="G202" s="41"/>
      <c r="H202" s="41"/>
      <c r="I202" s="41"/>
      <c r="J202" s="41"/>
      <c r="K202" s="41"/>
      <c r="L202" s="41"/>
      <c r="M202" s="41"/>
      <c r="N202" s="41"/>
      <c r="O202" s="41"/>
      <c r="P202" s="42"/>
      <c r="Q202" s="41"/>
    </row>
    <row r="203" ht="15.75" customHeight="1">
      <c r="A203" s="39"/>
      <c r="B203" s="41"/>
      <c r="C203" s="41"/>
      <c r="D203" s="41"/>
      <c r="E203" s="41"/>
      <c r="F203" s="41"/>
      <c r="G203" s="41"/>
      <c r="H203" s="41"/>
      <c r="I203" s="41"/>
      <c r="J203" s="41"/>
      <c r="K203" s="41"/>
      <c r="L203" s="41"/>
      <c r="M203" s="41"/>
      <c r="N203" s="41"/>
      <c r="O203" s="41"/>
      <c r="P203" s="42"/>
      <c r="Q203" s="41"/>
    </row>
    <row r="204" ht="15.75" customHeight="1">
      <c r="A204" s="39"/>
      <c r="B204" s="41"/>
      <c r="C204" s="41"/>
      <c r="D204" s="41"/>
      <c r="E204" s="41"/>
      <c r="F204" s="41"/>
      <c r="G204" s="41"/>
      <c r="H204" s="41"/>
      <c r="I204" s="41"/>
      <c r="J204" s="41"/>
      <c r="K204" s="41"/>
      <c r="L204" s="41"/>
      <c r="M204" s="41"/>
      <c r="N204" s="41"/>
      <c r="O204" s="41"/>
      <c r="P204" s="42"/>
      <c r="Q204" s="41"/>
    </row>
    <row r="205" ht="15.75" customHeight="1">
      <c r="A205" s="39"/>
      <c r="B205" s="41"/>
      <c r="C205" s="41"/>
      <c r="D205" s="41"/>
      <c r="E205" s="41"/>
      <c r="F205" s="41"/>
      <c r="G205" s="41"/>
      <c r="H205" s="41"/>
      <c r="I205" s="41"/>
      <c r="J205" s="41"/>
      <c r="K205" s="41"/>
      <c r="L205" s="41"/>
      <c r="M205" s="41"/>
      <c r="N205" s="41"/>
      <c r="O205" s="41"/>
      <c r="P205" s="42"/>
      <c r="Q205" s="41"/>
    </row>
    <row r="206" ht="15.75" customHeight="1">
      <c r="A206" s="39"/>
      <c r="B206" s="41"/>
      <c r="C206" s="41"/>
      <c r="D206" s="41"/>
      <c r="E206" s="41"/>
      <c r="F206" s="41"/>
      <c r="G206" s="41"/>
      <c r="H206" s="41"/>
      <c r="I206" s="41"/>
      <c r="J206" s="41"/>
      <c r="K206" s="41"/>
      <c r="L206" s="41"/>
      <c r="M206" s="41"/>
      <c r="N206" s="41"/>
      <c r="O206" s="41"/>
      <c r="P206" s="42"/>
      <c r="Q206" s="41"/>
    </row>
    <row r="207" ht="15.75" customHeight="1">
      <c r="A207" s="39"/>
      <c r="B207" s="41"/>
      <c r="C207" s="41"/>
      <c r="D207" s="41"/>
      <c r="E207" s="41"/>
      <c r="F207" s="41"/>
      <c r="G207" s="41"/>
      <c r="H207" s="41"/>
      <c r="I207" s="41"/>
      <c r="J207" s="41"/>
      <c r="K207" s="41"/>
      <c r="L207" s="41"/>
      <c r="M207" s="41"/>
      <c r="N207" s="41"/>
      <c r="O207" s="41"/>
      <c r="P207" s="42"/>
      <c r="Q207" s="41"/>
    </row>
    <row r="208" ht="15.75" customHeight="1">
      <c r="A208" s="39"/>
      <c r="B208" s="41"/>
      <c r="C208" s="41"/>
      <c r="D208" s="41"/>
      <c r="E208" s="41"/>
      <c r="F208" s="41"/>
      <c r="G208" s="41"/>
      <c r="H208" s="41"/>
      <c r="I208" s="41"/>
      <c r="J208" s="41"/>
      <c r="K208" s="41"/>
      <c r="L208" s="41"/>
      <c r="M208" s="41"/>
      <c r="N208" s="41"/>
      <c r="O208" s="41"/>
      <c r="P208" s="42"/>
      <c r="Q208" s="41"/>
    </row>
    <row r="209" ht="15.75" customHeight="1">
      <c r="A209" s="39"/>
      <c r="B209" s="41"/>
      <c r="C209" s="41"/>
      <c r="D209" s="41"/>
      <c r="E209" s="41"/>
      <c r="F209" s="41"/>
      <c r="G209" s="41"/>
      <c r="H209" s="41"/>
      <c r="I209" s="41"/>
      <c r="J209" s="41"/>
      <c r="K209" s="41"/>
      <c r="L209" s="41"/>
      <c r="M209" s="41"/>
      <c r="N209" s="41"/>
      <c r="O209" s="41"/>
      <c r="P209" s="42"/>
      <c r="Q209" s="41"/>
    </row>
    <row r="210" ht="15.75" customHeight="1">
      <c r="A210" s="39"/>
      <c r="B210" s="41"/>
      <c r="C210" s="41"/>
      <c r="D210" s="41"/>
      <c r="E210" s="41"/>
      <c r="F210" s="41"/>
      <c r="G210" s="41"/>
      <c r="H210" s="41"/>
      <c r="I210" s="41"/>
      <c r="J210" s="41"/>
      <c r="K210" s="41"/>
      <c r="L210" s="41"/>
      <c r="M210" s="41"/>
      <c r="N210" s="41"/>
      <c r="O210" s="41"/>
      <c r="P210" s="42"/>
      <c r="Q210" s="41"/>
    </row>
    <row r="211" ht="15.75" customHeight="1">
      <c r="A211" s="39"/>
      <c r="B211" s="41"/>
      <c r="C211" s="41"/>
      <c r="D211" s="41"/>
      <c r="E211" s="41"/>
      <c r="F211" s="41"/>
      <c r="G211" s="41"/>
      <c r="H211" s="41"/>
      <c r="I211" s="41"/>
      <c r="J211" s="41"/>
      <c r="K211" s="41"/>
      <c r="L211" s="41"/>
      <c r="M211" s="41"/>
      <c r="N211" s="41"/>
      <c r="O211" s="41"/>
      <c r="P211" s="42"/>
      <c r="Q211" s="41"/>
    </row>
    <row r="212" ht="15.75" customHeight="1">
      <c r="A212" s="39"/>
      <c r="B212" s="41"/>
      <c r="C212" s="41"/>
      <c r="D212" s="41"/>
      <c r="E212" s="41"/>
      <c r="F212" s="41"/>
      <c r="G212" s="41"/>
      <c r="H212" s="41"/>
      <c r="I212" s="41"/>
      <c r="J212" s="41"/>
      <c r="K212" s="41"/>
      <c r="L212" s="41"/>
      <c r="M212" s="41"/>
      <c r="N212" s="41"/>
      <c r="O212" s="41"/>
      <c r="P212" s="42"/>
      <c r="Q212" s="41"/>
    </row>
    <row r="213" ht="15.75" customHeight="1">
      <c r="A213" s="39"/>
      <c r="B213" s="41"/>
      <c r="C213" s="41"/>
      <c r="D213" s="41"/>
      <c r="E213" s="41"/>
      <c r="F213" s="41"/>
      <c r="G213" s="41"/>
      <c r="H213" s="41"/>
      <c r="I213" s="41"/>
      <c r="J213" s="41"/>
      <c r="K213" s="41"/>
      <c r="L213" s="41"/>
      <c r="M213" s="41"/>
      <c r="N213" s="41"/>
      <c r="O213" s="41"/>
      <c r="P213" s="42"/>
      <c r="Q213" s="41"/>
    </row>
    <row r="214" ht="15.75" customHeight="1">
      <c r="A214" s="39"/>
      <c r="B214" s="41"/>
      <c r="C214" s="41"/>
      <c r="D214" s="41"/>
      <c r="E214" s="41"/>
      <c r="F214" s="41"/>
      <c r="G214" s="41"/>
      <c r="H214" s="41"/>
      <c r="I214" s="41"/>
      <c r="J214" s="41"/>
      <c r="K214" s="41"/>
      <c r="L214" s="41"/>
      <c r="M214" s="41"/>
      <c r="N214" s="41"/>
      <c r="O214" s="41"/>
      <c r="P214" s="42"/>
      <c r="Q214" s="41"/>
    </row>
    <row r="215" ht="15.75" customHeight="1">
      <c r="A215" s="39"/>
      <c r="B215" s="41"/>
      <c r="C215" s="41"/>
      <c r="D215" s="41"/>
      <c r="E215" s="41"/>
      <c r="F215" s="41"/>
      <c r="G215" s="41"/>
      <c r="H215" s="41"/>
      <c r="I215" s="41"/>
      <c r="J215" s="41"/>
      <c r="K215" s="41"/>
      <c r="L215" s="41"/>
      <c r="M215" s="41"/>
      <c r="N215" s="41"/>
      <c r="O215" s="41"/>
      <c r="P215" s="42"/>
      <c r="Q215" s="41"/>
    </row>
    <row r="216" ht="15.75" customHeight="1">
      <c r="A216" s="39"/>
      <c r="B216" s="41"/>
      <c r="C216" s="41"/>
      <c r="D216" s="41"/>
      <c r="E216" s="41"/>
      <c r="F216" s="41"/>
      <c r="G216" s="41"/>
      <c r="H216" s="41"/>
      <c r="I216" s="41"/>
      <c r="J216" s="41"/>
      <c r="K216" s="41"/>
      <c r="L216" s="41"/>
      <c r="M216" s="41"/>
      <c r="N216" s="41"/>
      <c r="O216" s="41"/>
      <c r="P216" s="42"/>
      <c r="Q216" s="41"/>
    </row>
    <row r="217" ht="15.75" customHeight="1">
      <c r="A217" s="39"/>
      <c r="B217" s="41"/>
      <c r="C217" s="41"/>
      <c r="D217" s="41"/>
      <c r="E217" s="41"/>
      <c r="F217" s="41"/>
      <c r="G217" s="41"/>
      <c r="H217" s="41"/>
      <c r="I217" s="41"/>
      <c r="J217" s="41"/>
      <c r="K217" s="41"/>
      <c r="L217" s="41"/>
      <c r="M217" s="41"/>
      <c r="N217" s="41"/>
      <c r="O217" s="41"/>
      <c r="P217" s="42"/>
      <c r="Q217" s="41"/>
    </row>
    <row r="218" ht="15.75" customHeight="1">
      <c r="A218" s="39"/>
      <c r="B218" s="41"/>
      <c r="C218" s="41"/>
      <c r="D218" s="41"/>
      <c r="E218" s="41"/>
      <c r="F218" s="41"/>
      <c r="G218" s="41"/>
      <c r="H218" s="41"/>
      <c r="I218" s="41"/>
      <c r="J218" s="41"/>
      <c r="K218" s="41"/>
      <c r="L218" s="41"/>
      <c r="M218" s="41"/>
      <c r="N218" s="41"/>
      <c r="O218" s="41"/>
      <c r="P218" s="42"/>
      <c r="Q218" s="41"/>
    </row>
    <row r="219" ht="15.75" customHeight="1">
      <c r="A219" s="39"/>
      <c r="B219" s="41"/>
      <c r="C219" s="41"/>
      <c r="D219" s="41"/>
      <c r="E219" s="41"/>
      <c r="F219" s="41"/>
      <c r="G219" s="41"/>
      <c r="H219" s="41"/>
      <c r="I219" s="41"/>
      <c r="J219" s="41"/>
      <c r="K219" s="41"/>
      <c r="L219" s="41"/>
      <c r="M219" s="41"/>
      <c r="N219" s="41"/>
      <c r="O219" s="41"/>
      <c r="P219" s="42"/>
      <c r="Q219" s="41"/>
    </row>
    <row r="220" ht="15.75" customHeight="1">
      <c r="A220" s="39"/>
      <c r="B220" s="41"/>
      <c r="C220" s="41"/>
      <c r="D220" s="41"/>
      <c r="E220" s="41"/>
      <c r="F220" s="41"/>
      <c r="G220" s="41"/>
      <c r="H220" s="41"/>
      <c r="I220" s="41"/>
      <c r="J220" s="41"/>
      <c r="K220" s="41"/>
      <c r="L220" s="41"/>
      <c r="M220" s="41"/>
      <c r="N220" s="41"/>
      <c r="O220" s="41"/>
      <c r="P220" s="42"/>
      <c r="Q220" s="41"/>
    </row>
    <row r="221" ht="15.75" customHeight="1">
      <c r="A221" s="39"/>
      <c r="B221" s="41"/>
      <c r="C221" s="41"/>
      <c r="D221" s="41"/>
      <c r="E221" s="41"/>
      <c r="F221" s="41"/>
      <c r="G221" s="41"/>
      <c r="H221" s="41"/>
      <c r="I221" s="41"/>
      <c r="J221" s="41"/>
      <c r="K221" s="41"/>
      <c r="L221" s="41"/>
      <c r="M221" s="41"/>
      <c r="N221" s="41"/>
      <c r="O221" s="41"/>
      <c r="P221" s="42"/>
      <c r="Q221" s="41"/>
    </row>
    <row r="222" ht="15.75" customHeight="1">
      <c r="A222" s="39"/>
      <c r="B222" s="41"/>
      <c r="C222" s="41"/>
      <c r="D222" s="41"/>
      <c r="E222" s="41"/>
      <c r="F222" s="41"/>
      <c r="G222" s="41"/>
      <c r="H222" s="41"/>
      <c r="I222" s="41"/>
      <c r="J222" s="41"/>
      <c r="K222" s="41"/>
      <c r="L222" s="41"/>
      <c r="M222" s="41"/>
      <c r="N222" s="41"/>
      <c r="O222" s="41"/>
      <c r="P222" s="42"/>
      <c r="Q222" s="41"/>
    </row>
    <row r="223" ht="15.75" customHeight="1">
      <c r="A223" s="39"/>
      <c r="B223" s="41"/>
      <c r="C223" s="41"/>
      <c r="D223" s="41"/>
      <c r="E223" s="41"/>
      <c r="F223" s="41"/>
      <c r="G223" s="41"/>
      <c r="H223" s="41"/>
      <c r="I223" s="41"/>
      <c r="J223" s="41"/>
      <c r="K223" s="41"/>
      <c r="L223" s="41"/>
      <c r="M223" s="41"/>
      <c r="N223" s="41"/>
      <c r="O223" s="41"/>
      <c r="P223" s="42"/>
      <c r="Q223" s="41"/>
    </row>
    <row r="224" ht="15.75" customHeight="1">
      <c r="A224" s="39"/>
      <c r="B224" s="41"/>
      <c r="C224" s="41"/>
      <c r="D224" s="41"/>
      <c r="E224" s="41"/>
      <c r="F224" s="41"/>
      <c r="G224" s="41"/>
      <c r="H224" s="41"/>
      <c r="I224" s="41"/>
      <c r="J224" s="41"/>
      <c r="K224" s="41"/>
      <c r="L224" s="41"/>
      <c r="M224" s="41"/>
      <c r="N224" s="41"/>
      <c r="O224" s="41"/>
      <c r="P224" s="42"/>
      <c r="Q224" s="41"/>
    </row>
    <row r="225" ht="15.75" customHeight="1">
      <c r="A225" s="39"/>
      <c r="B225" s="41"/>
      <c r="C225" s="41"/>
      <c r="D225" s="41"/>
      <c r="E225" s="41"/>
      <c r="F225" s="41"/>
      <c r="G225" s="41"/>
      <c r="H225" s="41"/>
      <c r="I225" s="41"/>
      <c r="J225" s="41"/>
      <c r="K225" s="41"/>
      <c r="L225" s="41"/>
      <c r="M225" s="41"/>
      <c r="N225" s="41"/>
      <c r="O225" s="41"/>
      <c r="P225" s="42"/>
      <c r="Q225" s="41"/>
    </row>
    <row r="226" ht="15.75" customHeight="1">
      <c r="A226" s="39"/>
      <c r="B226" s="41"/>
      <c r="C226" s="41"/>
      <c r="D226" s="41"/>
      <c r="E226" s="41"/>
      <c r="F226" s="41"/>
      <c r="G226" s="41"/>
      <c r="H226" s="41"/>
      <c r="I226" s="41"/>
      <c r="J226" s="41"/>
      <c r="K226" s="41"/>
      <c r="L226" s="41"/>
      <c r="M226" s="41"/>
      <c r="N226" s="41"/>
      <c r="O226" s="41"/>
      <c r="P226" s="42"/>
      <c r="Q226" s="41"/>
    </row>
    <row r="227" ht="15.75" customHeight="1">
      <c r="A227" s="39"/>
      <c r="B227" s="41"/>
      <c r="C227" s="41"/>
      <c r="D227" s="41"/>
      <c r="E227" s="41"/>
      <c r="F227" s="41"/>
      <c r="G227" s="41"/>
      <c r="H227" s="41"/>
      <c r="I227" s="41"/>
      <c r="J227" s="41"/>
      <c r="K227" s="41"/>
      <c r="L227" s="41"/>
      <c r="M227" s="41"/>
      <c r="N227" s="41"/>
      <c r="O227" s="41"/>
      <c r="P227" s="42"/>
      <c r="Q227" s="41"/>
    </row>
    <row r="228" ht="15.75" customHeight="1">
      <c r="A228" s="39"/>
      <c r="B228" s="41"/>
      <c r="C228" s="41"/>
      <c r="D228" s="41"/>
      <c r="E228" s="41"/>
      <c r="F228" s="41"/>
      <c r="G228" s="41"/>
      <c r="H228" s="41"/>
      <c r="I228" s="41"/>
      <c r="J228" s="41"/>
      <c r="K228" s="41"/>
      <c r="L228" s="41"/>
      <c r="M228" s="41"/>
      <c r="N228" s="41"/>
      <c r="O228" s="41"/>
      <c r="P228" s="42"/>
      <c r="Q228" s="41"/>
    </row>
    <row r="229" ht="15.75" customHeight="1">
      <c r="A229" s="39"/>
      <c r="B229" s="41"/>
      <c r="C229" s="41"/>
      <c r="D229" s="41"/>
      <c r="E229" s="41"/>
      <c r="F229" s="41"/>
      <c r="G229" s="41"/>
      <c r="H229" s="41"/>
      <c r="I229" s="41"/>
      <c r="J229" s="41"/>
      <c r="K229" s="41"/>
      <c r="L229" s="41"/>
      <c r="M229" s="41"/>
      <c r="N229" s="41"/>
      <c r="O229" s="41"/>
      <c r="P229" s="42"/>
      <c r="Q229" s="41"/>
    </row>
    <row r="230" ht="15.75" customHeight="1">
      <c r="A230" s="39"/>
      <c r="B230" s="41"/>
      <c r="C230" s="41"/>
      <c r="D230" s="41"/>
      <c r="E230" s="41"/>
      <c r="F230" s="41"/>
      <c r="G230" s="41"/>
      <c r="H230" s="41"/>
      <c r="I230" s="41"/>
      <c r="J230" s="41"/>
      <c r="K230" s="41"/>
      <c r="L230" s="41"/>
      <c r="M230" s="41"/>
      <c r="N230" s="41"/>
      <c r="O230" s="41"/>
      <c r="P230" s="42"/>
      <c r="Q230" s="41"/>
    </row>
    <row r="231" ht="15.75" customHeight="1">
      <c r="A231" s="39"/>
      <c r="B231" s="41"/>
      <c r="C231" s="41"/>
      <c r="D231" s="41"/>
      <c r="E231" s="41"/>
      <c r="F231" s="41"/>
      <c r="G231" s="41"/>
      <c r="H231" s="41"/>
      <c r="I231" s="41"/>
      <c r="J231" s="41"/>
      <c r="K231" s="41"/>
      <c r="L231" s="41"/>
      <c r="M231" s="41"/>
      <c r="N231" s="41"/>
      <c r="O231" s="41"/>
      <c r="P231" s="42"/>
      <c r="Q231" s="41"/>
    </row>
    <row r="232" ht="15.75" customHeight="1">
      <c r="A232" s="39"/>
      <c r="B232" s="41"/>
      <c r="C232" s="41"/>
      <c r="D232" s="41"/>
      <c r="E232" s="41"/>
      <c r="F232" s="41"/>
      <c r="G232" s="41"/>
      <c r="H232" s="41"/>
      <c r="I232" s="41"/>
      <c r="J232" s="41"/>
      <c r="K232" s="41"/>
      <c r="L232" s="41"/>
      <c r="M232" s="41"/>
      <c r="N232" s="41"/>
      <c r="O232" s="41"/>
      <c r="P232" s="42"/>
      <c r="Q232" s="41"/>
    </row>
    <row r="233" ht="15.75" customHeight="1">
      <c r="A233" s="39"/>
      <c r="B233" s="41"/>
      <c r="C233" s="41"/>
      <c r="D233" s="41"/>
      <c r="E233" s="41"/>
      <c r="F233" s="41"/>
      <c r="G233" s="41"/>
      <c r="H233" s="41"/>
      <c r="I233" s="41"/>
      <c r="J233" s="41"/>
      <c r="K233" s="41"/>
      <c r="L233" s="41"/>
      <c r="M233" s="41"/>
      <c r="N233" s="41"/>
      <c r="O233" s="41"/>
      <c r="P233" s="42"/>
      <c r="Q233" s="41"/>
    </row>
    <row r="234" ht="15.75" customHeight="1">
      <c r="A234" s="39"/>
      <c r="B234" s="41"/>
      <c r="C234" s="41"/>
      <c r="D234" s="41"/>
      <c r="E234" s="41"/>
      <c r="F234" s="41"/>
      <c r="G234" s="41"/>
      <c r="H234" s="41"/>
      <c r="I234" s="41"/>
      <c r="J234" s="41"/>
      <c r="K234" s="41"/>
      <c r="L234" s="41"/>
      <c r="M234" s="41"/>
      <c r="N234" s="41"/>
      <c r="O234" s="41"/>
      <c r="P234" s="42"/>
      <c r="Q234" s="41"/>
    </row>
    <row r="235" ht="15.75" customHeight="1">
      <c r="A235" s="39"/>
      <c r="B235" s="41"/>
      <c r="C235" s="41"/>
      <c r="D235" s="41"/>
      <c r="E235" s="41"/>
      <c r="F235" s="41"/>
      <c r="G235" s="41"/>
      <c r="H235" s="41"/>
      <c r="I235" s="41"/>
      <c r="J235" s="41"/>
      <c r="K235" s="41"/>
      <c r="L235" s="41"/>
      <c r="M235" s="41"/>
      <c r="N235" s="41"/>
      <c r="O235" s="41"/>
      <c r="P235" s="42"/>
      <c r="Q235" s="41"/>
    </row>
    <row r="236" ht="15.75" customHeight="1">
      <c r="A236" s="39"/>
      <c r="B236" s="41"/>
      <c r="C236" s="41"/>
      <c r="D236" s="41"/>
      <c r="E236" s="41"/>
      <c r="F236" s="41"/>
      <c r="G236" s="41"/>
      <c r="H236" s="41"/>
      <c r="I236" s="41"/>
      <c r="J236" s="41"/>
      <c r="K236" s="41"/>
      <c r="L236" s="41"/>
      <c r="M236" s="41"/>
      <c r="N236" s="41"/>
      <c r="O236" s="41"/>
      <c r="P236" s="42"/>
      <c r="Q236" s="41"/>
    </row>
    <row r="237" ht="15.75" customHeight="1">
      <c r="A237" s="39"/>
      <c r="B237" s="41"/>
      <c r="C237" s="41"/>
      <c r="D237" s="41"/>
      <c r="E237" s="41"/>
      <c r="F237" s="41"/>
      <c r="G237" s="41"/>
      <c r="H237" s="41"/>
      <c r="I237" s="41"/>
      <c r="J237" s="41"/>
      <c r="K237" s="41"/>
      <c r="L237" s="41"/>
      <c r="M237" s="41"/>
      <c r="N237" s="41"/>
      <c r="O237" s="41"/>
      <c r="P237" s="42"/>
      <c r="Q237" s="41"/>
    </row>
    <row r="238" ht="15.75" customHeight="1">
      <c r="A238" s="39"/>
      <c r="B238" s="41"/>
      <c r="C238" s="41"/>
      <c r="D238" s="41"/>
      <c r="E238" s="41"/>
      <c r="F238" s="41"/>
      <c r="G238" s="41"/>
      <c r="H238" s="41"/>
      <c r="I238" s="41"/>
      <c r="J238" s="41"/>
      <c r="K238" s="41"/>
      <c r="L238" s="41"/>
      <c r="M238" s="41"/>
      <c r="N238" s="41"/>
      <c r="O238" s="41"/>
      <c r="P238" s="42"/>
      <c r="Q238" s="41"/>
    </row>
    <row r="239" ht="15.75" customHeight="1">
      <c r="A239" s="39"/>
      <c r="B239" s="41"/>
      <c r="C239" s="41"/>
      <c r="D239" s="41"/>
      <c r="E239" s="41"/>
      <c r="F239" s="41"/>
      <c r="G239" s="41"/>
      <c r="H239" s="41"/>
      <c r="I239" s="41"/>
      <c r="J239" s="41"/>
      <c r="K239" s="41"/>
      <c r="L239" s="41"/>
      <c r="M239" s="41"/>
      <c r="N239" s="41"/>
      <c r="O239" s="41"/>
      <c r="P239" s="42"/>
      <c r="Q239" s="41"/>
    </row>
    <row r="240" ht="15.75" customHeight="1">
      <c r="A240" s="39"/>
      <c r="B240" s="41"/>
      <c r="C240" s="41"/>
      <c r="D240" s="41"/>
      <c r="E240" s="41"/>
      <c r="F240" s="41"/>
      <c r="G240" s="41"/>
      <c r="H240" s="41"/>
      <c r="I240" s="41"/>
      <c r="J240" s="41"/>
      <c r="K240" s="41"/>
      <c r="L240" s="41"/>
      <c r="M240" s="41"/>
      <c r="N240" s="41"/>
      <c r="O240" s="41"/>
      <c r="P240" s="42"/>
      <c r="Q240" s="41"/>
    </row>
    <row r="241" ht="15.75" customHeight="1">
      <c r="A241" s="39"/>
      <c r="B241" s="41"/>
      <c r="C241" s="41"/>
      <c r="D241" s="41"/>
      <c r="E241" s="41"/>
      <c r="F241" s="41"/>
      <c r="G241" s="41"/>
      <c r="H241" s="41"/>
      <c r="I241" s="41"/>
      <c r="J241" s="41"/>
      <c r="K241" s="41"/>
      <c r="L241" s="41"/>
      <c r="M241" s="41"/>
      <c r="N241" s="41"/>
      <c r="O241" s="41"/>
      <c r="P241" s="42"/>
      <c r="Q241" s="41"/>
    </row>
    <row r="242" ht="15.75" customHeight="1">
      <c r="A242" s="39"/>
      <c r="B242" s="41"/>
      <c r="C242" s="41"/>
      <c r="D242" s="41"/>
      <c r="E242" s="41"/>
      <c r="F242" s="41"/>
      <c r="G242" s="41"/>
      <c r="H242" s="41"/>
      <c r="I242" s="41"/>
      <c r="J242" s="41"/>
      <c r="K242" s="41"/>
      <c r="L242" s="41"/>
      <c r="M242" s="41"/>
      <c r="N242" s="41"/>
      <c r="O242" s="41"/>
      <c r="P242" s="42"/>
      <c r="Q242" s="41"/>
    </row>
    <row r="243" ht="15.75" customHeight="1">
      <c r="A243" s="39"/>
      <c r="B243" s="41"/>
      <c r="C243" s="41"/>
      <c r="D243" s="41"/>
      <c r="E243" s="41"/>
      <c r="F243" s="41"/>
      <c r="G243" s="41"/>
      <c r="H243" s="41"/>
      <c r="I243" s="41"/>
      <c r="J243" s="41"/>
      <c r="K243" s="41"/>
      <c r="L243" s="41"/>
      <c r="M243" s="41"/>
      <c r="N243" s="41"/>
      <c r="O243" s="41"/>
      <c r="P243" s="42"/>
      <c r="Q243" s="41"/>
    </row>
    <row r="244" ht="15.75" customHeight="1">
      <c r="A244" s="39"/>
      <c r="B244" s="41"/>
      <c r="C244" s="41"/>
      <c r="D244" s="41"/>
      <c r="E244" s="41"/>
      <c r="F244" s="41"/>
      <c r="G244" s="41"/>
      <c r="H244" s="41"/>
      <c r="I244" s="41"/>
      <c r="J244" s="41"/>
      <c r="K244" s="41"/>
      <c r="L244" s="41"/>
      <c r="M244" s="41"/>
      <c r="N244" s="41"/>
      <c r="O244" s="41"/>
      <c r="P244" s="42"/>
      <c r="Q244" s="41"/>
    </row>
    <row r="245" ht="15.75" customHeight="1">
      <c r="A245" s="39"/>
      <c r="B245" s="41"/>
      <c r="C245" s="41"/>
      <c r="D245" s="41"/>
      <c r="E245" s="41"/>
      <c r="F245" s="41"/>
      <c r="G245" s="41"/>
      <c r="H245" s="41"/>
      <c r="I245" s="41"/>
      <c r="J245" s="41"/>
      <c r="K245" s="41"/>
      <c r="L245" s="41"/>
      <c r="M245" s="41"/>
      <c r="N245" s="41"/>
      <c r="O245" s="41"/>
      <c r="P245" s="42"/>
      <c r="Q245" s="41"/>
    </row>
    <row r="246" ht="15.75" customHeight="1">
      <c r="A246" s="39"/>
      <c r="B246" s="41"/>
      <c r="C246" s="41"/>
      <c r="D246" s="41"/>
      <c r="E246" s="41"/>
      <c r="F246" s="41"/>
      <c r="G246" s="41"/>
      <c r="H246" s="41"/>
      <c r="I246" s="41"/>
      <c r="J246" s="41"/>
      <c r="K246" s="41"/>
      <c r="L246" s="41"/>
      <c r="M246" s="41"/>
      <c r="N246" s="41"/>
      <c r="O246" s="41"/>
      <c r="P246" s="42"/>
      <c r="Q246" s="41"/>
    </row>
    <row r="247" ht="15.75" customHeight="1">
      <c r="A247" s="39"/>
      <c r="B247" s="41"/>
      <c r="C247" s="41"/>
      <c r="D247" s="41"/>
      <c r="E247" s="41"/>
      <c r="F247" s="41"/>
      <c r="G247" s="41"/>
      <c r="H247" s="41"/>
      <c r="I247" s="41"/>
      <c r="J247" s="41"/>
      <c r="K247" s="41"/>
      <c r="L247" s="41"/>
      <c r="M247" s="41"/>
      <c r="N247" s="41"/>
      <c r="O247" s="41"/>
      <c r="P247" s="42"/>
      <c r="Q247" s="41"/>
    </row>
    <row r="248" ht="15.75" customHeight="1">
      <c r="A248" s="39"/>
      <c r="B248" s="41"/>
      <c r="C248" s="41"/>
      <c r="D248" s="41"/>
      <c r="E248" s="41"/>
      <c r="F248" s="41"/>
      <c r="G248" s="41"/>
      <c r="H248" s="41"/>
      <c r="I248" s="41"/>
      <c r="J248" s="41"/>
      <c r="K248" s="41"/>
      <c r="L248" s="41"/>
      <c r="M248" s="41"/>
      <c r="N248" s="41"/>
      <c r="O248" s="41"/>
      <c r="P248" s="42"/>
      <c r="Q248" s="41"/>
    </row>
    <row r="249" ht="15.75" customHeight="1">
      <c r="A249" s="39"/>
      <c r="B249" s="41"/>
      <c r="C249" s="41"/>
      <c r="D249" s="41"/>
      <c r="E249" s="41"/>
      <c r="F249" s="41"/>
      <c r="G249" s="41"/>
      <c r="H249" s="41"/>
      <c r="I249" s="41"/>
      <c r="J249" s="41"/>
      <c r="K249" s="41"/>
      <c r="L249" s="41"/>
      <c r="M249" s="41"/>
      <c r="N249" s="41"/>
      <c r="O249" s="41"/>
      <c r="P249" s="42"/>
      <c r="Q249" s="41"/>
    </row>
    <row r="250" ht="15.75" customHeight="1">
      <c r="A250" s="39"/>
      <c r="B250" s="41"/>
      <c r="C250" s="41"/>
      <c r="D250" s="41"/>
      <c r="E250" s="41"/>
      <c r="F250" s="41"/>
      <c r="G250" s="41"/>
      <c r="H250" s="41"/>
      <c r="I250" s="41"/>
      <c r="J250" s="41"/>
      <c r="K250" s="41"/>
      <c r="L250" s="41"/>
      <c r="M250" s="41"/>
      <c r="N250" s="41"/>
      <c r="O250" s="41"/>
      <c r="P250" s="42"/>
      <c r="Q250" s="41"/>
    </row>
    <row r="251" ht="15.75" customHeight="1">
      <c r="A251" s="39"/>
      <c r="B251" s="41"/>
      <c r="C251" s="41"/>
      <c r="D251" s="41"/>
      <c r="E251" s="41"/>
      <c r="F251" s="41"/>
      <c r="G251" s="41"/>
      <c r="H251" s="41"/>
      <c r="I251" s="41"/>
      <c r="J251" s="41"/>
      <c r="K251" s="41"/>
      <c r="L251" s="41"/>
      <c r="M251" s="41"/>
      <c r="N251" s="41"/>
      <c r="O251" s="41"/>
      <c r="P251" s="42"/>
      <c r="Q251" s="41"/>
    </row>
    <row r="252" ht="15.75" customHeight="1">
      <c r="A252" s="39"/>
      <c r="B252" s="41"/>
      <c r="C252" s="41"/>
      <c r="D252" s="41"/>
      <c r="E252" s="41"/>
      <c r="F252" s="41"/>
      <c r="G252" s="41"/>
      <c r="H252" s="41"/>
      <c r="I252" s="41"/>
      <c r="J252" s="41"/>
      <c r="K252" s="41"/>
      <c r="L252" s="41"/>
      <c r="M252" s="41"/>
      <c r="N252" s="41"/>
      <c r="O252" s="41"/>
      <c r="P252" s="42"/>
      <c r="Q252" s="41"/>
    </row>
    <row r="253" ht="15.75" customHeight="1">
      <c r="A253" s="39"/>
      <c r="B253" s="41"/>
      <c r="C253" s="41"/>
      <c r="D253" s="41"/>
      <c r="E253" s="41"/>
      <c r="F253" s="41"/>
      <c r="G253" s="41"/>
      <c r="H253" s="41"/>
      <c r="I253" s="41"/>
      <c r="J253" s="41"/>
      <c r="K253" s="41"/>
      <c r="L253" s="41"/>
      <c r="M253" s="41"/>
      <c r="N253" s="41"/>
      <c r="O253" s="41"/>
      <c r="P253" s="42"/>
      <c r="Q253" s="41"/>
    </row>
    <row r="254" ht="15.75" customHeight="1">
      <c r="A254" s="39"/>
      <c r="B254" s="41"/>
      <c r="C254" s="41"/>
      <c r="D254" s="41"/>
      <c r="E254" s="41"/>
      <c r="F254" s="41"/>
      <c r="G254" s="41"/>
      <c r="H254" s="41"/>
      <c r="I254" s="41"/>
      <c r="J254" s="41"/>
      <c r="K254" s="41"/>
      <c r="L254" s="41"/>
      <c r="M254" s="41"/>
      <c r="N254" s="41"/>
      <c r="O254" s="41"/>
      <c r="P254" s="42"/>
      <c r="Q254" s="41"/>
    </row>
    <row r="255" ht="15.75" customHeight="1">
      <c r="A255" s="39"/>
      <c r="B255" s="41"/>
      <c r="C255" s="41"/>
      <c r="D255" s="41"/>
      <c r="E255" s="41"/>
      <c r="F255" s="41"/>
      <c r="G255" s="41"/>
      <c r="H255" s="41"/>
      <c r="I255" s="41"/>
      <c r="J255" s="41"/>
      <c r="K255" s="41"/>
      <c r="L255" s="41"/>
      <c r="M255" s="41"/>
      <c r="N255" s="41"/>
      <c r="O255" s="41"/>
      <c r="P255" s="42"/>
      <c r="Q255" s="41"/>
    </row>
    <row r="256" ht="15.75" customHeight="1">
      <c r="A256" s="39"/>
      <c r="B256" s="41"/>
      <c r="C256" s="41"/>
      <c r="D256" s="41"/>
      <c r="E256" s="41"/>
      <c r="F256" s="41"/>
      <c r="G256" s="41"/>
      <c r="H256" s="41"/>
      <c r="I256" s="41"/>
      <c r="J256" s="41"/>
      <c r="K256" s="41"/>
      <c r="L256" s="41"/>
      <c r="M256" s="41"/>
      <c r="N256" s="41"/>
      <c r="O256" s="41"/>
      <c r="P256" s="42"/>
      <c r="Q256" s="41"/>
    </row>
    <row r="257" ht="15.75" customHeight="1">
      <c r="A257" s="39"/>
      <c r="B257" s="41"/>
      <c r="C257" s="41"/>
      <c r="D257" s="41"/>
      <c r="E257" s="41"/>
      <c r="F257" s="41"/>
      <c r="G257" s="41"/>
      <c r="H257" s="41"/>
      <c r="I257" s="41"/>
      <c r="J257" s="41"/>
      <c r="K257" s="41"/>
      <c r="L257" s="41"/>
      <c r="M257" s="41"/>
      <c r="N257" s="41"/>
      <c r="O257" s="41"/>
      <c r="P257" s="42"/>
      <c r="Q257" s="41"/>
    </row>
    <row r="258" ht="15.75" customHeight="1">
      <c r="A258" s="39"/>
      <c r="B258" s="41"/>
      <c r="C258" s="41"/>
      <c r="D258" s="41"/>
      <c r="E258" s="41"/>
      <c r="F258" s="41"/>
      <c r="G258" s="41"/>
      <c r="H258" s="41"/>
      <c r="I258" s="41"/>
      <c r="J258" s="41"/>
      <c r="K258" s="41"/>
      <c r="L258" s="41"/>
      <c r="M258" s="41"/>
      <c r="N258" s="41"/>
      <c r="O258" s="41"/>
      <c r="P258" s="42"/>
      <c r="Q258" s="41"/>
    </row>
    <row r="259" ht="15.75" customHeight="1">
      <c r="A259" s="39"/>
      <c r="B259" s="41"/>
      <c r="C259" s="41"/>
      <c r="D259" s="41"/>
      <c r="E259" s="41"/>
      <c r="F259" s="41"/>
      <c r="G259" s="41"/>
      <c r="H259" s="41"/>
      <c r="I259" s="41"/>
      <c r="J259" s="41"/>
      <c r="K259" s="41"/>
      <c r="L259" s="41"/>
      <c r="M259" s="41"/>
      <c r="N259" s="41"/>
      <c r="O259" s="41"/>
      <c r="P259" s="42"/>
      <c r="Q259" s="41"/>
    </row>
    <row r="260" ht="15.75" customHeight="1">
      <c r="A260" s="39"/>
      <c r="B260" s="41"/>
      <c r="C260" s="41"/>
      <c r="D260" s="41"/>
      <c r="E260" s="41"/>
      <c r="F260" s="41"/>
      <c r="G260" s="41"/>
      <c r="H260" s="41"/>
      <c r="I260" s="41"/>
      <c r="J260" s="41"/>
      <c r="K260" s="41"/>
      <c r="L260" s="41"/>
      <c r="M260" s="41"/>
      <c r="N260" s="41"/>
      <c r="O260" s="41"/>
      <c r="P260" s="42"/>
      <c r="Q260" s="41"/>
    </row>
    <row r="261" ht="15.75" customHeight="1">
      <c r="A261" s="39"/>
      <c r="B261" s="41"/>
      <c r="C261" s="41"/>
      <c r="D261" s="41"/>
      <c r="E261" s="41"/>
      <c r="F261" s="41"/>
      <c r="G261" s="41"/>
      <c r="H261" s="41"/>
      <c r="I261" s="41"/>
      <c r="J261" s="41"/>
      <c r="K261" s="41"/>
      <c r="L261" s="41"/>
      <c r="M261" s="41"/>
      <c r="N261" s="41"/>
      <c r="O261" s="41"/>
      <c r="P261" s="42"/>
      <c r="Q261" s="41"/>
    </row>
    <row r="262" ht="15.75" customHeight="1">
      <c r="A262" s="39"/>
      <c r="B262" s="41"/>
      <c r="C262" s="41"/>
      <c r="D262" s="41"/>
      <c r="E262" s="41"/>
      <c r="F262" s="41"/>
      <c r="G262" s="41"/>
      <c r="H262" s="41"/>
      <c r="I262" s="41"/>
      <c r="J262" s="41"/>
      <c r="K262" s="41"/>
      <c r="L262" s="41"/>
      <c r="M262" s="41"/>
      <c r="N262" s="41"/>
      <c r="O262" s="41"/>
      <c r="P262" s="42"/>
      <c r="Q262" s="41"/>
    </row>
    <row r="263" ht="15.75" customHeight="1">
      <c r="A263" s="39"/>
      <c r="B263" s="41"/>
      <c r="C263" s="41"/>
      <c r="D263" s="41"/>
      <c r="E263" s="41"/>
      <c r="F263" s="41"/>
      <c r="G263" s="41"/>
      <c r="H263" s="41"/>
      <c r="I263" s="41"/>
      <c r="J263" s="41"/>
      <c r="K263" s="41"/>
      <c r="L263" s="41"/>
      <c r="M263" s="41"/>
      <c r="N263" s="41"/>
      <c r="O263" s="41"/>
      <c r="P263" s="42"/>
      <c r="Q263" s="41"/>
    </row>
    <row r="264" ht="15.75" customHeight="1">
      <c r="A264" s="39"/>
      <c r="B264" s="41"/>
      <c r="C264" s="41"/>
      <c r="D264" s="41"/>
      <c r="E264" s="41"/>
      <c r="F264" s="41"/>
      <c r="G264" s="41"/>
      <c r="H264" s="41"/>
      <c r="I264" s="41"/>
      <c r="J264" s="41"/>
      <c r="K264" s="41"/>
      <c r="L264" s="41"/>
      <c r="M264" s="41"/>
      <c r="N264" s="41"/>
      <c r="O264" s="41"/>
      <c r="P264" s="42"/>
      <c r="Q264" s="41"/>
    </row>
    <row r="265" ht="15.75" customHeight="1">
      <c r="A265" s="39"/>
      <c r="B265" s="41"/>
      <c r="C265" s="41"/>
      <c r="D265" s="41"/>
      <c r="E265" s="41"/>
      <c r="F265" s="41"/>
      <c r="G265" s="41"/>
      <c r="H265" s="41"/>
      <c r="I265" s="41"/>
      <c r="J265" s="41"/>
      <c r="K265" s="41"/>
      <c r="L265" s="41"/>
      <c r="M265" s="41"/>
      <c r="N265" s="41"/>
      <c r="O265" s="41"/>
      <c r="P265" s="42"/>
      <c r="Q265" s="41"/>
    </row>
    <row r="266" ht="15.75" customHeight="1">
      <c r="A266" s="39"/>
      <c r="B266" s="41"/>
      <c r="C266" s="41"/>
      <c r="D266" s="41"/>
      <c r="E266" s="41"/>
      <c r="F266" s="41"/>
      <c r="G266" s="41"/>
      <c r="H266" s="41"/>
      <c r="I266" s="41"/>
      <c r="J266" s="41"/>
      <c r="K266" s="41"/>
      <c r="L266" s="41"/>
      <c r="M266" s="41"/>
      <c r="N266" s="41"/>
      <c r="O266" s="41"/>
      <c r="P266" s="42"/>
      <c r="Q266" s="41"/>
    </row>
    <row r="267" ht="15.75" customHeight="1">
      <c r="A267" s="39"/>
      <c r="B267" s="41"/>
      <c r="C267" s="41"/>
      <c r="D267" s="41"/>
      <c r="E267" s="41"/>
      <c r="F267" s="41"/>
      <c r="G267" s="41"/>
      <c r="H267" s="41"/>
      <c r="I267" s="41"/>
      <c r="J267" s="41"/>
      <c r="K267" s="41"/>
      <c r="L267" s="41"/>
      <c r="M267" s="41"/>
      <c r="N267" s="41"/>
      <c r="O267" s="41"/>
      <c r="P267" s="42"/>
      <c r="Q267" s="41"/>
    </row>
    <row r="268" ht="15.75" customHeight="1">
      <c r="A268" s="39"/>
      <c r="B268" s="41"/>
      <c r="C268" s="41"/>
      <c r="D268" s="41"/>
      <c r="E268" s="41"/>
      <c r="F268" s="41"/>
      <c r="G268" s="41"/>
      <c r="H268" s="41"/>
      <c r="I268" s="41"/>
      <c r="J268" s="41"/>
      <c r="K268" s="41"/>
      <c r="L268" s="41"/>
      <c r="M268" s="41"/>
      <c r="N268" s="41"/>
      <c r="O268" s="41"/>
      <c r="P268" s="42"/>
      <c r="Q268" s="41"/>
    </row>
    <row r="269" ht="15.75" customHeight="1">
      <c r="A269" s="39"/>
      <c r="B269" s="41"/>
      <c r="C269" s="41"/>
      <c r="D269" s="41"/>
      <c r="E269" s="41"/>
      <c r="F269" s="41"/>
      <c r="G269" s="41"/>
      <c r="H269" s="41"/>
      <c r="I269" s="41"/>
      <c r="J269" s="41"/>
      <c r="K269" s="41"/>
      <c r="L269" s="41"/>
      <c r="M269" s="41"/>
      <c r="N269" s="41"/>
      <c r="O269" s="41"/>
      <c r="P269" s="42"/>
      <c r="Q269" s="41"/>
    </row>
    <row r="270" ht="15.75" customHeight="1">
      <c r="A270" s="39"/>
      <c r="B270" s="41"/>
      <c r="C270" s="41"/>
      <c r="D270" s="41"/>
      <c r="E270" s="41"/>
      <c r="F270" s="41"/>
      <c r="G270" s="41"/>
      <c r="H270" s="41"/>
      <c r="I270" s="41"/>
      <c r="J270" s="41"/>
      <c r="K270" s="41"/>
      <c r="L270" s="41"/>
      <c r="M270" s="41"/>
      <c r="N270" s="41"/>
      <c r="O270" s="41"/>
      <c r="P270" s="42"/>
      <c r="Q270" s="41"/>
    </row>
    <row r="271" ht="15.75" customHeight="1">
      <c r="A271" s="39"/>
      <c r="B271" s="41"/>
      <c r="C271" s="41"/>
      <c r="D271" s="41"/>
      <c r="E271" s="41"/>
      <c r="F271" s="41"/>
      <c r="G271" s="41"/>
      <c r="H271" s="41"/>
      <c r="I271" s="41"/>
      <c r="J271" s="41"/>
      <c r="K271" s="41"/>
      <c r="L271" s="41"/>
      <c r="M271" s="41"/>
      <c r="N271" s="41"/>
      <c r="O271" s="41"/>
      <c r="P271" s="42"/>
      <c r="Q271" s="41"/>
    </row>
    <row r="272" ht="15.75" customHeight="1">
      <c r="A272" s="39"/>
      <c r="B272" s="41"/>
      <c r="C272" s="41"/>
      <c r="D272" s="41"/>
      <c r="E272" s="41"/>
      <c r="F272" s="41"/>
      <c r="G272" s="41"/>
      <c r="H272" s="41"/>
      <c r="I272" s="41"/>
      <c r="J272" s="41"/>
      <c r="K272" s="41"/>
      <c r="L272" s="41"/>
      <c r="M272" s="41"/>
      <c r="N272" s="41"/>
      <c r="O272" s="41"/>
      <c r="P272" s="42"/>
      <c r="Q272" s="41"/>
    </row>
    <row r="273" ht="15.75" customHeight="1">
      <c r="A273" s="39"/>
      <c r="B273" s="41"/>
      <c r="C273" s="41"/>
      <c r="D273" s="41"/>
      <c r="E273" s="41"/>
      <c r="F273" s="41"/>
      <c r="G273" s="41"/>
      <c r="H273" s="41"/>
      <c r="I273" s="41"/>
      <c r="J273" s="41"/>
      <c r="K273" s="41"/>
      <c r="L273" s="41"/>
      <c r="M273" s="41"/>
      <c r="N273" s="41"/>
      <c r="O273" s="41"/>
      <c r="P273" s="42"/>
      <c r="Q273" s="41"/>
    </row>
    <row r="274" ht="15.75" customHeight="1">
      <c r="A274" s="39"/>
      <c r="B274" s="41"/>
      <c r="C274" s="41"/>
      <c r="D274" s="41"/>
      <c r="E274" s="41"/>
      <c r="F274" s="41"/>
      <c r="G274" s="41"/>
      <c r="H274" s="41"/>
      <c r="I274" s="41"/>
      <c r="J274" s="41"/>
      <c r="K274" s="41"/>
      <c r="L274" s="41"/>
      <c r="M274" s="41"/>
      <c r="N274" s="41"/>
      <c r="O274" s="41"/>
      <c r="P274" s="42"/>
      <c r="Q274" s="41"/>
    </row>
    <row r="275" ht="15.75" customHeight="1">
      <c r="A275" s="39"/>
      <c r="B275" s="41"/>
      <c r="C275" s="41"/>
      <c r="D275" s="41"/>
      <c r="E275" s="41"/>
      <c r="F275" s="41"/>
      <c r="G275" s="41"/>
      <c r="H275" s="41"/>
      <c r="I275" s="41"/>
      <c r="J275" s="41"/>
      <c r="K275" s="41"/>
      <c r="L275" s="41"/>
      <c r="M275" s="41"/>
      <c r="N275" s="41"/>
      <c r="O275" s="41"/>
      <c r="P275" s="42"/>
      <c r="Q275" s="41"/>
    </row>
    <row r="276" ht="15.75" customHeight="1">
      <c r="A276" s="39"/>
      <c r="B276" s="41"/>
      <c r="C276" s="41"/>
      <c r="D276" s="41"/>
      <c r="E276" s="41"/>
      <c r="F276" s="41"/>
      <c r="G276" s="41"/>
      <c r="H276" s="41"/>
      <c r="I276" s="41"/>
      <c r="J276" s="41"/>
      <c r="K276" s="41"/>
      <c r="L276" s="41"/>
      <c r="M276" s="41"/>
      <c r="N276" s="41"/>
      <c r="O276" s="41"/>
      <c r="P276" s="42"/>
      <c r="Q276" s="41"/>
    </row>
    <row r="277" ht="15.75" customHeight="1">
      <c r="A277" s="39"/>
      <c r="B277" s="41"/>
      <c r="C277" s="41"/>
      <c r="D277" s="41"/>
      <c r="E277" s="41"/>
      <c r="F277" s="41"/>
      <c r="G277" s="41"/>
      <c r="H277" s="41"/>
      <c r="I277" s="41"/>
      <c r="J277" s="41"/>
      <c r="K277" s="41"/>
      <c r="L277" s="41"/>
      <c r="M277" s="41"/>
      <c r="N277" s="41"/>
      <c r="O277" s="41"/>
      <c r="P277" s="42"/>
      <c r="Q277" s="41"/>
    </row>
    <row r="278" ht="15.75" customHeight="1">
      <c r="A278" s="39"/>
      <c r="B278" s="41"/>
      <c r="C278" s="41"/>
      <c r="D278" s="41"/>
      <c r="E278" s="41"/>
      <c r="F278" s="41"/>
      <c r="G278" s="41"/>
      <c r="H278" s="41"/>
      <c r="I278" s="41"/>
      <c r="J278" s="41"/>
      <c r="K278" s="41"/>
      <c r="L278" s="41"/>
      <c r="M278" s="41"/>
      <c r="N278" s="41"/>
      <c r="O278" s="41"/>
      <c r="P278" s="42"/>
      <c r="Q278" s="41"/>
    </row>
    <row r="279" ht="15.75" customHeight="1">
      <c r="A279" s="39"/>
      <c r="B279" s="41"/>
      <c r="C279" s="41"/>
      <c r="D279" s="41"/>
      <c r="E279" s="41"/>
      <c r="F279" s="41"/>
      <c r="G279" s="41"/>
      <c r="H279" s="41"/>
      <c r="I279" s="41"/>
      <c r="J279" s="41"/>
      <c r="K279" s="41"/>
      <c r="L279" s="41"/>
      <c r="M279" s="41"/>
      <c r="N279" s="41"/>
      <c r="O279" s="41"/>
      <c r="P279" s="42"/>
      <c r="Q279" s="41"/>
    </row>
    <row r="280" ht="15.75" customHeight="1">
      <c r="A280" s="39"/>
      <c r="B280" s="41"/>
      <c r="C280" s="41"/>
      <c r="D280" s="41"/>
      <c r="E280" s="41"/>
      <c r="F280" s="41"/>
      <c r="G280" s="41"/>
      <c r="H280" s="41"/>
      <c r="I280" s="41"/>
      <c r="J280" s="41"/>
      <c r="K280" s="41"/>
      <c r="L280" s="41"/>
      <c r="M280" s="41"/>
      <c r="N280" s="41"/>
      <c r="O280" s="41"/>
      <c r="P280" s="42"/>
      <c r="Q280" s="41"/>
    </row>
    <row r="281" ht="15.75" customHeight="1">
      <c r="A281" s="39"/>
      <c r="B281" s="41"/>
      <c r="C281" s="41"/>
      <c r="D281" s="41"/>
      <c r="E281" s="41"/>
      <c r="F281" s="41"/>
      <c r="G281" s="41"/>
      <c r="H281" s="41"/>
      <c r="I281" s="41"/>
      <c r="J281" s="41"/>
      <c r="K281" s="41"/>
      <c r="L281" s="41"/>
      <c r="M281" s="41"/>
      <c r="N281" s="41"/>
      <c r="O281" s="41"/>
      <c r="P281" s="42"/>
      <c r="Q281" s="41"/>
    </row>
    <row r="282" ht="15.75" customHeight="1">
      <c r="A282" s="39"/>
      <c r="B282" s="41"/>
      <c r="C282" s="41"/>
      <c r="D282" s="41"/>
      <c r="E282" s="41"/>
      <c r="F282" s="41"/>
      <c r="G282" s="41"/>
      <c r="H282" s="41"/>
      <c r="I282" s="41"/>
      <c r="J282" s="41"/>
      <c r="K282" s="41"/>
      <c r="L282" s="41"/>
      <c r="M282" s="41"/>
      <c r="N282" s="41"/>
      <c r="O282" s="41"/>
      <c r="P282" s="42"/>
      <c r="Q282" s="41"/>
    </row>
    <row r="283" ht="15.75" customHeight="1">
      <c r="A283" s="39"/>
      <c r="B283" s="41"/>
      <c r="C283" s="41"/>
      <c r="D283" s="41"/>
      <c r="E283" s="41"/>
      <c r="F283" s="41"/>
      <c r="G283" s="41"/>
      <c r="H283" s="41"/>
      <c r="I283" s="41"/>
      <c r="J283" s="41"/>
      <c r="K283" s="41"/>
      <c r="L283" s="41"/>
      <c r="M283" s="41"/>
      <c r="N283" s="41"/>
      <c r="O283" s="41"/>
      <c r="P283" s="42"/>
      <c r="Q283" s="41"/>
    </row>
    <row r="284" ht="15.75" customHeight="1">
      <c r="A284" s="39"/>
      <c r="B284" s="41"/>
      <c r="C284" s="41"/>
      <c r="D284" s="41"/>
      <c r="E284" s="41"/>
      <c r="F284" s="41"/>
      <c r="G284" s="41"/>
      <c r="H284" s="41"/>
      <c r="I284" s="41"/>
      <c r="J284" s="41"/>
      <c r="K284" s="41"/>
      <c r="L284" s="41"/>
      <c r="M284" s="41"/>
      <c r="N284" s="41"/>
      <c r="O284" s="41"/>
      <c r="P284" s="42"/>
      <c r="Q284" s="41"/>
    </row>
    <row r="285" ht="15.75" customHeight="1">
      <c r="A285" s="39"/>
      <c r="B285" s="41"/>
      <c r="C285" s="41"/>
      <c r="D285" s="41"/>
      <c r="E285" s="41"/>
      <c r="F285" s="41"/>
      <c r="G285" s="41"/>
      <c r="H285" s="41"/>
      <c r="I285" s="41"/>
      <c r="J285" s="41"/>
      <c r="K285" s="41"/>
      <c r="L285" s="41"/>
      <c r="M285" s="41"/>
      <c r="N285" s="41"/>
      <c r="O285" s="41"/>
      <c r="P285" s="42"/>
      <c r="Q285" s="41"/>
    </row>
    <row r="286" ht="15.75" customHeight="1">
      <c r="A286" s="39"/>
      <c r="B286" s="41"/>
      <c r="C286" s="41"/>
      <c r="D286" s="41"/>
      <c r="E286" s="41"/>
      <c r="F286" s="41"/>
      <c r="G286" s="41"/>
      <c r="H286" s="41"/>
      <c r="I286" s="41"/>
      <c r="J286" s="41"/>
      <c r="K286" s="41"/>
      <c r="L286" s="41"/>
      <c r="M286" s="41"/>
      <c r="N286" s="41"/>
      <c r="O286" s="41"/>
      <c r="P286" s="42"/>
      <c r="Q286" s="41"/>
    </row>
    <row r="287" ht="15.75" customHeight="1">
      <c r="A287" s="39"/>
      <c r="B287" s="41"/>
      <c r="C287" s="41"/>
      <c r="D287" s="41"/>
      <c r="E287" s="41"/>
      <c r="F287" s="41"/>
      <c r="G287" s="41"/>
      <c r="H287" s="41"/>
      <c r="I287" s="41"/>
      <c r="J287" s="41"/>
      <c r="K287" s="41"/>
      <c r="L287" s="41"/>
      <c r="M287" s="41"/>
      <c r="N287" s="41"/>
      <c r="O287" s="41"/>
      <c r="P287" s="42"/>
      <c r="Q287" s="41"/>
    </row>
    <row r="288" ht="15.75" customHeight="1">
      <c r="A288" s="39"/>
      <c r="B288" s="41"/>
      <c r="C288" s="41"/>
      <c r="D288" s="41"/>
      <c r="E288" s="41"/>
      <c r="F288" s="41"/>
      <c r="G288" s="41"/>
      <c r="H288" s="41"/>
      <c r="I288" s="41"/>
      <c r="J288" s="41"/>
      <c r="K288" s="41"/>
      <c r="L288" s="41"/>
      <c r="M288" s="41"/>
      <c r="N288" s="41"/>
      <c r="O288" s="41"/>
      <c r="P288" s="42"/>
      <c r="Q288" s="41"/>
    </row>
    <row r="289" ht="15.75" customHeight="1">
      <c r="A289" s="39"/>
      <c r="B289" s="41"/>
      <c r="C289" s="41"/>
      <c r="D289" s="41"/>
      <c r="E289" s="41"/>
      <c r="F289" s="41"/>
      <c r="G289" s="41"/>
      <c r="H289" s="41"/>
      <c r="I289" s="41"/>
      <c r="J289" s="41"/>
      <c r="K289" s="41"/>
      <c r="L289" s="41"/>
      <c r="M289" s="41"/>
      <c r="N289" s="41"/>
      <c r="O289" s="41"/>
      <c r="P289" s="42"/>
      <c r="Q289" s="41"/>
    </row>
    <row r="290" ht="15.75" customHeight="1">
      <c r="A290" s="39"/>
      <c r="B290" s="41"/>
      <c r="C290" s="41"/>
      <c r="D290" s="41"/>
      <c r="E290" s="41"/>
      <c r="F290" s="41"/>
      <c r="G290" s="41"/>
      <c r="H290" s="41"/>
      <c r="I290" s="41"/>
      <c r="J290" s="41"/>
      <c r="K290" s="41"/>
      <c r="L290" s="41"/>
      <c r="M290" s="41"/>
      <c r="N290" s="41"/>
      <c r="O290" s="41"/>
      <c r="P290" s="42"/>
      <c r="Q290" s="41"/>
    </row>
    <row r="291" ht="15.75" customHeight="1">
      <c r="A291" s="39"/>
      <c r="B291" s="41"/>
      <c r="C291" s="41"/>
      <c r="D291" s="41"/>
      <c r="E291" s="41"/>
      <c r="F291" s="41"/>
      <c r="G291" s="41"/>
      <c r="H291" s="41"/>
      <c r="I291" s="41"/>
      <c r="J291" s="41"/>
      <c r="K291" s="41"/>
      <c r="L291" s="41"/>
      <c r="M291" s="41"/>
      <c r="N291" s="41"/>
      <c r="O291" s="41"/>
      <c r="P291" s="42"/>
      <c r="Q291" s="41"/>
    </row>
    <row r="292" ht="15.75" customHeight="1">
      <c r="A292" s="39"/>
      <c r="B292" s="41"/>
      <c r="C292" s="41"/>
      <c r="D292" s="41"/>
      <c r="E292" s="41"/>
      <c r="F292" s="41"/>
      <c r="G292" s="41"/>
      <c r="H292" s="41"/>
      <c r="I292" s="41"/>
      <c r="J292" s="41"/>
      <c r="K292" s="41"/>
      <c r="L292" s="41"/>
      <c r="M292" s="41"/>
      <c r="N292" s="41"/>
      <c r="O292" s="41"/>
      <c r="P292" s="42"/>
      <c r="Q292" s="41"/>
    </row>
    <row r="293" ht="15.75" customHeight="1">
      <c r="A293" s="39"/>
      <c r="B293" s="41"/>
      <c r="C293" s="41"/>
      <c r="D293" s="41"/>
      <c r="E293" s="41"/>
      <c r="F293" s="41"/>
      <c r="G293" s="41"/>
      <c r="H293" s="41"/>
      <c r="I293" s="41"/>
      <c r="J293" s="41"/>
      <c r="K293" s="41"/>
      <c r="L293" s="41"/>
      <c r="M293" s="41"/>
      <c r="N293" s="41"/>
      <c r="O293" s="41"/>
      <c r="P293" s="42"/>
      <c r="Q293" s="41"/>
    </row>
    <row r="294" ht="15.75" customHeight="1">
      <c r="A294" s="39"/>
      <c r="B294" s="41"/>
      <c r="C294" s="41"/>
      <c r="D294" s="41"/>
      <c r="E294" s="41"/>
      <c r="F294" s="41"/>
      <c r="G294" s="41"/>
      <c r="H294" s="41"/>
      <c r="I294" s="41"/>
      <c r="J294" s="41"/>
      <c r="K294" s="41"/>
      <c r="L294" s="41"/>
      <c r="M294" s="41"/>
      <c r="N294" s="41"/>
      <c r="O294" s="41"/>
      <c r="P294" s="42"/>
      <c r="Q294" s="41"/>
    </row>
    <row r="295" ht="15.75" customHeight="1">
      <c r="A295" s="39"/>
      <c r="B295" s="41"/>
      <c r="C295" s="41"/>
      <c r="D295" s="41"/>
      <c r="E295" s="41"/>
      <c r="F295" s="41"/>
      <c r="G295" s="41"/>
      <c r="H295" s="41"/>
      <c r="I295" s="41"/>
      <c r="J295" s="41"/>
      <c r="K295" s="41"/>
      <c r="L295" s="41"/>
      <c r="M295" s="41"/>
      <c r="N295" s="41"/>
      <c r="O295" s="41"/>
      <c r="P295" s="42"/>
      <c r="Q295" s="41"/>
    </row>
    <row r="296" ht="15.75" customHeight="1">
      <c r="A296" s="39"/>
      <c r="B296" s="41"/>
      <c r="C296" s="41"/>
      <c r="D296" s="41"/>
      <c r="E296" s="41"/>
      <c r="F296" s="41"/>
      <c r="G296" s="41"/>
      <c r="H296" s="41"/>
      <c r="I296" s="41"/>
      <c r="J296" s="41"/>
      <c r="K296" s="41"/>
      <c r="L296" s="41"/>
      <c r="M296" s="41"/>
      <c r="N296" s="41"/>
      <c r="O296" s="41"/>
      <c r="P296" s="42"/>
      <c r="Q296" s="41"/>
    </row>
    <row r="297" ht="15.75" customHeight="1">
      <c r="A297" s="39"/>
      <c r="B297" s="41"/>
      <c r="C297" s="41"/>
      <c r="D297" s="41"/>
      <c r="E297" s="41"/>
      <c r="F297" s="41"/>
      <c r="G297" s="41"/>
      <c r="H297" s="41"/>
      <c r="I297" s="41"/>
      <c r="J297" s="41"/>
      <c r="K297" s="41"/>
      <c r="L297" s="41"/>
      <c r="M297" s="41"/>
      <c r="N297" s="41"/>
      <c r="O297" s="41"/>
      <c r="P297" s="42"/>
      <c r="Q297" s="41"/>
    </row>
    <row r="298" ht="15.75" customHeight="1">
      <c r="A298" s="39"/>
      <c r="B298" s="41"/>
      <c r="C298" s="41"/>
      <c r="D298" s="41"/>
      <c r="E298" s="41"/>
      <c r="F298" s="41"/>
      <c r="G298" s="41"/>
      <c r="H298" s="41"/>
      <c r="I298" s="41"/>
      <c r="J298" s="41"/>
      <c r="K298" s="41"/>
      <c r="L298" s="41"/>
      <c r="M298" s="41"/>
      <c r="N298" s="41"/>
      <c r="O298" s="41"/>
      <c r="P298" s="42"/>
      <c r="Q298" s="41"/>
    </row>
    <row r="299" ht="15.75" customHeight="1">
      <c r="A299" s="39"/>
      <c r="B299" s="41"/>
      <c r="C299" s="41"/>
      <c r="D299" s="41"/>
      <c r="E299" s="41"/>
      <c r="F299" s="41"/>
      <c r="G299" s="41"/>
      <c r="H299" s="41"/>
      <c r="I299" s="41"/>
      <c r="J299" s="41"/>
      <c r="K299" s="41"/>
      <c r="L299" s="41"/>
      <c r="M299" s="41"/>
      <c r="N299" s="41"/>
      <c r="O299" s="41"/>
      <c r="P299" s="42"/>
      <c r="Q299" s="41"/>
    </row>
    <row r="300" ht="15.75" customHeight="1">
      <c r="A300" s="39"/>
      <c r="B300" s="41"/>
      <c r="C300" s="41"/>
      <c r="D300" s="41"/>
      <c r="E300" s="41"/>
      <c r="F300" s="41"/>
      <c r="G300" s="41"/>
      <c r="H300" s="41"/>
      <c r="I300" s="41"/>
      <c r="J300" s="41"/>
      <c r="K300" s="41"/>
      <c r="L300" s="41"/>
      <c r="M300" s="41"/>
      <c r="N300" s="41"/>
      <c r="O300" s="41"/>
      <c r="P300" s="42"/>
      <c r="Q300" s="41"/>
    </row>
    <row r="301" ht="15.75" customHeight="1">
      <c r="A301" s="39"/>
      <c r="B301" s="41"/>
      <c r="C301" s="41"/>
      <c r="D301" s="41"/>
      <c r="E301" s="41"/>
      <c r="F301" s="41"/>
      <c r="G301" s="41"/>
      <c r="H301" s="41"/>
      <c r="I301" s="41"/>
      <c r="J301" s="41"/>
      <c r="K301" s="41"/>
      <c r="L301" s="41"/>
      <c r="M301" s="41"/>
      <c r="N301" s="41"/>
      <c r="O301" s="41"/>
      <c r="P301" s="42"/>
      <c r="Q301" s="41"/>
    </row>
    <row r="302" ht="15.75" customHeight="1">
      <c r="A302" s="39"/>
      <c r="B302" s="41"/>
      <c r="C302" s="41"/>
      <c r="D302" s="41"/>
      <c r="E302" s="41"/>
      <c r="F302" s="41"/>
      <c r="G302" s="41"/>
      <c r="H302" s="41"/>
      <c r="I302" s="41"/>
      <c r="J302" s="41"/>
      <c r="K302" s="41"/>
      <c r="L302" s="41"/>
      <c r="M302" s="41"/>
      <c r="N302" s="41"/>
      <c r="O302" s="41"/>
      <c r="P302" s="42"/>
      <c r="Q302" s="41"/>
    </row>
    <row r="303" ht="15.75" customHeight="1">
      <c r="A303" s="39"/>
      <c r="B303" s="41"/>
      <c r="C303" s="41"/>
      <c r="D303" s="41"/>
      <c r="E303" s="41"/>
      <c r="F303" s="41"/>
      <c r="G303" s="41"/>
      <c r="H303" s="41"/>
      <c r="I303" s="41"/>
      <c r="J303" s="41"/>
      <c r="K303" s="41"/>
      <c r="L303" s="41"/>
      <c r="M303" s="41"/>
      <c r="N303" s="41"/>
      <c r="O303" s="41"/>
      <c r="P303" s="42"/>
      <c r="Q303" s="41"/>
    </row>
    <row r="304" ht="15.75" customHeight="1">
      <c r="A304" s="39"/>
    </row>
    <row r="305" ht="15.75" customHeight="1">
      <c r="A305" s="39"/>
    </row>
    <row r="306" ht="15.75" customHeight="1">
      <c r="A306" s="39"/>
    </row>
    <row r="307" ht="15.75" customHeight="1">
      <c r="A307" s="39"/>
    </row>
    <row r="308" ht="15.75" customHeight="1">
      <c r="A308" s="39"/>
    </row>
    <row r="309" ht="15.75" customHeight="1">
      <c r="A309" s="39"/>
    </row>
    <row r="310" ht="15.75" customHeight="1">
      <c r="A310" s="39"/>
    </row>
    <row r="311" ht="15.75" customHeight="1">
      <c r="A311" s="39"/>
    </row>
    <row r="312" ht="15.75" customHeight="1">
      <c r="A312" s="39"/>
    </row>
    <row r="313" ht="15.75" customHeight="1">
      <c r="A313" s="39"/>
    </row>
    <row r="314" ht="15.75" customHeight="1">
      <c r="A314" s="39"/>
    </row>
    <row r="315" ht="15.75" customHeight="1">
      <c r="A315" s="39"/>
    </row>
    <row r="316" ht="15.75" customHeight="1">
      <c r="A316" s="39"/>
    </row>
    <row r="317" ht="15.75" customHeight="1">
      <c r="A317" s="39"/>
    </row>
    <row r="318" ht="15.75" customHeight="1">
      <c r="A318" s="39"/>
    </row>
    <row r="319" ht="15.75" customHeight="1">
      <c r="A319" s="39"/>
    </row>
    <row r="320" ht="15.75" customHeight="1">
      <c r="A320" s="39"/>
    </row>
    <row r="321" ht="15.75" customHeight="1">
      <c r="A321" s="39"/>
    </row>
    <row r="322" ht="15.75" customHeight="1">
      <c r="A322" s="39"/>
    </row>
    <row r="323" ht="15.75" customHeight="1">
      <c r="A323" s="39"/>
    </row>
    <row r="324" ht="15.75" customHeight="1">
      <c r="A324" s="39"/>
    </row>
    <row r="325" ht="15.75" customHeight="1">
      <c r="A325" s="39"/>
    </row>
    <row r="326" ht="15.75" customHeight="1">
      <c r="A326" s="39"/>
    </row>
    <row r="327" ht="15.75" customHeight="1">
      <c r="A327" s="39"/>
    </row>
    <row r="328" ht="15.75" customHeight="1">
      <c r="A328" s="39"/>
    </row>
    <row r="329" ht="15.75" customHeight="1">
      <c r="A329" s="39"/>
    </row>
    <row r="330" ht="15.75" customHeight="1">
      <c r="A330" s="39"/>
    </row>
    <row r="331" ht="15.75" customHeight="1">
      <c r="A331" s="39"/>
    </row>
    <row r="332" ht="15.75" customHeight="1">
      <c r="A332" s="39"/>
    </row>
    <row r="333" ht="15.75" customHeight="1">
      <c r="A333" s="39"/>
    </row>
    <row r="334" ht="15.75" customHeight="1">
      <c r="A334" s="39"/>
    </row>
    <row r="335" ht="15.75" customHeight="1">
      <c r="A335" s="39"/>
    </row>
    <row r="336" ht="15.75" customHeight="1">
      <c r="A336" s="39"/>
    </row>
    <row r="337" ht="15.75" customHeight="1">
      <c r="A337" s="39"/>
    </row>
    <row r="338" ht="15.75" customHeight="1">
      <c r="A338" s="39"/>
    </row>
    <row r="339" ht="15.75" customHeight="1">
      <c r="A339" s="39"/>
    </row>
    <row r="340" ht="15.75" customHeight="1">
      <c r="A340" s="39"/>
    </row>
    <row r="341" ht="15.75" customHeight="1">
      <c r="A341" s="39"/>
    </row>
    <row r="342" ht="15.75" customHeight="1">
      <c r="A342" s="39"/>
    </row>
    <row r="343" ht="15.75" customHeight="1">
      <c r="A343" s="39"/>
    </row>
    <row r="344" ht="15.75" customHeight="1">
      <c r="A344" s="39"/>
    </row>
    <row r="345" ht="15.75" customHeight="1">
      <c r="A345" s="39"/>
    </row>
    <row r="346" ht="15.75" customHeight="1">
      <c r="A346" s="39"/>
    </row>
    <row r="347" ht="15.75" customHeight="1">
      <c r="A347" s="39"/>
    </row>
    <row r="348" ht="15.75" customHeight="1">
      <c r="A348" s="39"/>
    </row>
    <row r="349" ht="15.75" customHeight="1">
      <c r="A349" s="39"/>
    </row>
    <row r="350" ht="15.75" customHeight="1">
      <c r="A350" s="39"/>
    </row>
    <row r="351" ht="15.75" customHeight="1">
      <c r="A351" s="39"/>
    </row>
    <row r="352" ht="15.75" customHeight="1">
      <c r="A352" s="39"/>
    </row>
    <row r="353" ht="15.75" customHeight="1">
      <c r="A353" s="39"/>
    </row>
    <row r="354" ht="15.75" customHeight="1">
      <c r="A354" s="39"/>
    </row>
    <row r="355" ht="15.75" customHeight="1">
      <c r="A355" s="39"/>
    </row>
    <row r="356" ht="15.75" customHeight="1">
      <c r="A356" s="39"/>
    </row>
    <row r="357" ht="15.75" customHeight="1">
      <c r="A357" s="39"/>
    </row>
    <row r="358" ht="15.75" customHeight="1">
      <c r="A358" s="39"/>
    </row>
    <row r="359" ht="15.75" customHeight="1">
      <c r="A359" s="39"/>
    </row>
    <row r="360" ht="15.75" customHeight="1">
      <c r="A360" s="39"/>
    </row>
    <row r="361" ht="15.75" customHeight="1">
      <c r="A361" s="39"/>
    </row>
    <row r="362" ht="15.75" customHeight="1">
      <c r="A362" s="39"/>
    </row>
    <row r="363" ht="15.75" customHeight="1">
      <c r="A363" s="39"/>
    </row>
    <row r="364" ht="15.75" customHeight="1">
      <c r="A364" s="39"/>
    </row>
    <row r="365" ht="15.75" customHeight="1">
      <c r="A365" s="39"/>
    </row>
    <row r="366" ht="15.75" customHeight="1">
      <c r="A366" s="39"/>
    </row>
    <row r="367" ht="15.75" customHeight="1">
      <c r="A367" s="39"/>
    </row>
    <row r="368" ht="15.75" customHeight="1">
      <c r="A368" s="39"/>
    </row>
    <row r="369" ht="15.75" customHeight="1">
      <c r="A369" s="39"/>
    </row>
    <row r="370" ht="15.75" customHeight="1">
      <c r="A370" s="39"/>
    </row>
    <row r="371" ht="15.75" customHeight="1">
      <c r="A371" s="39"/>
    </row>
    <row r="372" ht="15.75" customHeight="1">
      <c r="A372" s="39"/>
    </row>
    <row r="373" ht="15.75" customHeight="1">
      <c r="A373" s="39"/>
    </row>
    <row r="374" ht="15.75" customHeight="1">
      <c r="A374" s="39"/>
    </row>
    <row r="375" ht="15.75" customHeight="1">
      <c r="A375" s="39"/>
    </row>
    <row r="376" ht="15.75" customHeight="1">
      <c r="A376" s="39"/>
    </row>
    <row r="377" ht="15.75" customHeight="1">
      <c r="A377" s="39"/>
    </row>
    <row r="378" ht="15.75" customHeight="1">
      <c r="A378" s="39"/>
    </row>
    <row r="379" ht="15.75" customHeight="1">
      <c r="A379" s="39"/>
    </row>
    <row r="380" ht="15.75" customHeight="1">
      <c r="A380" s="39"/>
    </row>
    <row r="381" ht="15.75" customHeight="1">
      <c r="A381" s="39"/>
    </row>
    <row r="382" ht="15.75" customHeight="1">
      <c r="A382" s="39"/>
    </row>
    <row r="383" ht="15.75" customHeight="1">
      <c r="A383" s="39"/>
    </row>
    <row r="384" ht="15.75" customHeight="1">
      <c r="A384" s="39"/>
    </row>
    <row r="385" ht="15.75" customHeight="1">
      <c r="A385" s="39"/>
    </row>
    <row r="386" ht="15.75" customHeight="1">
      <c r="A386" s="39"/>
    </row>
    <row r="387" ht="15.75" customHeight="1">
      <c r="A387" s="39"/>
    </row>
    <row r="388" ht="15.75" customHeight="1">
      <c r="A388" s="39"/>
    </row>
    <row r="389" ht="15.75" customHeight="1">
      <c r="A389" s="39"/>
    </row>
    <row r="390" ht="15.75" customHeight="1">
      <c r="A390" s="39"/>
    </row>
    <row r="391" ht="15.75" customHeight="1">
      <c r="A391" s="39"/>
    </row>
    <row r="392" ht="15.75" customHeight="1">
      <c r="A392" s="39"/>
    </row>
    <row r="393" ht="15.75" customHeight="1">
      <c r="A393" s="39"/>
    </row>
    <row r="394" ht="15.75" customHeight="1">
      <c r="A394" s="39"/>
    </row>
    <row r="395" ht="15.75" customHeight="1">
      <c r="A395" s="39"/>
    </row>
    <row r="396" ht="15.75" customHeight="1">
      <c r="A396" s="39"/>
    </row>
    <row r="397" ht="15.75" customHeight="1">
      <c r="A397" s="39"/>
    </row>
    <row r="398" ht="15.75" customHeight="1">
      <c r="A398" s="39"/>
    </row>
    <row r="399" ht="15.75" customHeight="1">
      <c r="A399" s="39"/>
    </row>
    <row r="400" ht="15.75" customHeight="1">
      <c r="A400" s="39"/>
    </row>
    <row r="401" ht="15.75" customHeight="1">
      <c r="A401" s="39"/>
    </row>
    <row r="402" ht="15.75" customHeight="1">
      <c r="A402" s="39"/>
    </row>
    <row r="403" ht="15.75" customHeight="1">
      <c r="A403" s="39"/>
    </row>
    <row r="404" ht="15.75" customHeight="1">
      <c r="A404" s="39"/>
    </row>
    <row r="405" ht="15.75" customHeight="1">
      <c r="A405" s="39"/>
    </row>
    <row r="406" ht="15.75" customHeight="1">
      <c r="A406" s="39"/>
    </row>
    <row r="407" ht="15.75" customHeight="1">
      <c r="A407" s="39"/>
    </row>
    <row r="408" ht="15.75" customHeight="1">
      <c r="A408" s="39"/>
    </row>
    <row r="409" ht="15.75" customHeight="1">
      <c r="A409" s="39"/>
    </row>
    <row r="410" ht="15.75" customHeight="1">
      <c r="A410" s="39"/>
    </row>
    <row r="411" ht="15.75" customHeight="1">
      <c r="A411" s="39"/>
    </row>
    <row r="412" ht="15.75" customHeight="1">
      <c r="A412" s="39"/>
    </row>
    <row r="413" ht="15.75" customHeight="1">
      <c r="A413" s="39"/>
    </row>
    <row r="414" ht="15.75" customHeight="1">
      <c r="A414" s="39"/>
    </row>
    <row r="415" ht="15.75" customHeight="1">
      <c r="A415" s="39"/>
    </row>
    <row r="416" ht="15.75" customHeight="1">
      <c r="A416" s="39"/>
    </row>
    <row r="417" ht="15.75" customHeight="1">
      <c r="A417" s="39"/>
    </row>
    <row r="418" ht="15.75" customHeight="1">
      <c r="A418" s="39"/>
    </row>
    <row r="419" ht="15.75" customHeight="1">
      <c r="A419" s="39"/>
    </row>
    <row r="420" ht="15.75" customHeight="1">
      <c r="A420" s="39"/>
    </row>
    <row r="421" ht="15.75" customHeight="1">
      <c r="A421" s="39"/>
    </row>
    <row r="422" ht="15.75" customHeight="1">
      <c r="A422" s="39"/>
    </row>
    <row r="423" ht="15.75" customHeight="1">
      <c r="A423" s="39"/>
    </row>
    <row r="424" ht="15.75" customHeight="1">
      <c r="A424" s="39"/>
    </row>
    <row r="425" ht="15.75" customHeight="1">
      <c r="A425" s="39"/>
    </row>
    <row r="426" ht="15.75" customHeight="1">
      <c r="A426" s="39"/>
    </row>
    <row r="427" ht="15.75" customHeight="1">
      <c r="A427" s="39"/>
    </row>
    <row r="428" ht="15.75" customHeight="1">
      <c r="A428" s="39"/>
    </row>
    <row r="429" ht="15.75" customHeight="1">
      <c r="A429" s="39"/>
    </row>
    <row r="430" ht="15.75" customHeight="1">
      <c r="A430" s="39"/>
    </row>
    <row r="431" ht="15.75" customHeight="1">
      <c r="A431" s="39"/>
    </row>
    <row r="432" ht="15.75" customHeight="1">
      <c r="A432" s="39"/>
    </row>
    <row r="433" ht="15.75" customHeight="1">
      <c r="A433" s="39"/>
    </row>
    <row r="434" ht="15.75" customHeight="1">
      <c r="A434" s="39"/>
    </row>
    <row r="435" ht="15.75" customHeight="1">
      <c r="A435" s="39"/>
    </row>
    <row r="436" ht="15.75" customHeight="1">
      <c r="A436" s="39"/>
    </row>
    <row r="437" ht="15.75" customHeight="1">
      <c r="A437" s="39"/>
    </row>
    <row r="438" ht="15.75" customHeight="1">
      <c r="A438" s="39"/>
    </row>
    <row r="439" ht="15.75" customHeight="1">
      <c r="A439" s="39"/>
    </row>
    <row r="440" ht="15.75" customHeight="1">
      <c r="A440" s="39"/>
    </row>
    <row r="441" ht="15.75" customHeight="1">
      <c r="A441" s="39"/>
    </row>
    <row r="442" ht="15.75" customHeight="1">
      <c r="A442" s="39"/>
    </row>
    <row r="443" ht="15.75" customHeight="1">
      <c r="A443" s="39"/>
    </row>
    <row r="444" ht="15.75" customHeight="1">
      <c r="A444" s="39"/>
    </row>
    <row r="445" ht="15.75" customHeight="1">
      <c r="A445" s="39"/>
    </row>
    <row r="446" ht="15.75" customHeight="1">
      <c r="A446" s="39"/>
    </row>
    <row r="447" ht="15.75" customHeight="1">
      <c r="A447" s="39"/>
    </row>
    <row r="448" ht="15.75" customHeight="1">
      <c r="A448" s="39"/>
    </row>
    <row r="449" ht="15.75" customHeight="1">
      <c r="A449" s="39"/>
    </row>
    <row r="450" ht="15.75" customHeight="1">
      <c r="A450" s="39"/>
    </row>
    <row r="451" ht="15.75" customHeight="1">
      <c r="A451" s="39"/>
    </row>
    <row r="452" ht="15.75" customHeight="1">
      <c r="A452" s="39"/>
    </row>
    <row r="453" ht="15.75" customHeight="1">
      <c r="A453" s="39"/>
    </row>
    <row r="454" ht="15.75" customHeight="1">
      <c r="A454" s="39"/>
    </row>
    <row r="455" ht="15.75" customHeight="1">
      <c r="A455" s="39"/>
    </row>
    <row r="456" ht="15.75" customHeight="1">
      <c r="A456" s="39"/>
    </row>
    <row r="457" ht="15.75" customHeight="1">
      <c r="A457" s="39"/>
    </row>
    <row r="458" ht="15.75" customHeight="1">
      <c r="A458" s="39"/>
    </row>
    <row r="459" ht="15.75" customHeight="1">
      <c r="A459" s="39"/>
    </row>
    <row r="460" ht="15.75" customHeight="1">
      <c r="A460" s="39"/>
    </row>
    <row r="461" ht="15.75" customHeight="1">
      <c r="A461" s="39"/>
    </row>
    <row r="462" ht="15.75" customHeight="1">
      <c r="A462" s="39"/>
    </row>
    <row r="463" ht="15.75" customHeight="1">
      <c r="A463" s="39"/>
    </row>
    <row r="464" ht="15.75" customHeight="1">
      <c r="A464" s="39"/>
    </row>
    <row r="465" ht="15.75" customHeight="1">
      <c r="A465" s="39"/>
    </row>
    <row r="466" ht="15.75" customHeight="1">
      <c r="A466" s="39"/>
    </row>
    <row r="467" ht="15.75" customHeight="1">
      <c r="A467" s="39"/>
    </row>
    <row r="468" ht="15.75" customHeight="1">
      <c r="A468" s="39"/>
    </row>
    <row r="469" ht="15.75" customHeight="1">
      <c r="A469" s="39"/>
    </row>
    <row r="470" ht="15.75" customHeight="1">
      <c r="A470" s="39"/>
    </row>
    <row r="471" ht="15.75" customHeight="1">
      <c r="A471" s="39"/>
    </row>
    <row r="472" ht="15.75" customHeight="1">
      <c r="A472" s="39"/>
    </row>
    <row r="473" ht="15.75" customHeight="1">
      <c r="A473" s="39"/>
    </row>
    <row r="474" ht="15.75" customHeight="1">
      <c r="A474" s="39"/>
    </row>
    <row r="475" ht="15.75" customHeight="1">
      <c r="A475" s="39"/>
    </row>
    <row r="476" ht="15.75" customHeight="1">
      <c r="A476" s="39"/>
    </row>
    <row r="477" ht="15.75" customHeight="1">
      <c r="A477" s="39"/>
    </row>
    <row r="478" ht="15.75" customHeight="1">
      <c r="A478" s="39"/>
    </row>
    <row r="479" ht="15.75" customHeight="1">
      <c r="A479" s="39"/>
    </row>
    <row r="480" ht="15.75" customHeight="1">
      <c r="A480" s="39"/>
    </row>
    <row r="481" ht="15.75" customHeight="1">
      <c r="A481" s="39"/>
    </row>
    <row r="482" ht="15.75" customHeight="1">
      <c r="A482" s="39"/>
    </row>
    <row r="483" ht="15.75" customHeight="1">
      <c r="A483" s="39"/>
    </row>
    <row r="484" ht="15.75" customHeight="1">
      <c r="A484" s="39"/>
    </row>
    <row r="485" ht="15.75" customHeight="1">
      <c r="A485" s="39"/>
    </row>
    <row r="486" ht="15.75" customHeight="1">
      <c r="A486" s="39"/>
    </row>
    <row r="487" ht="15.75" customHeight="1">
      <c r="A487" s="39"/>
    </row>
    <row r="488" ht="15.75" customHeight="1">
      <c r="A488" s="39"/>
    </row>
    <row r="489" ht="15.75" customHeight="1">
      <c r="A489" s="39"/>
    </row>
    <row r="490" ht="15.75" customHeight="1">
      <c r="A490" s="39"/>
    </row>
    <row r="491" ht="15.75" customHeight="1">
      <c r="A491" s="39"/>
    </row>
    <row r="492" ht="15.75" customHeight="1">
      <c r="A492" s="39"/>
    </row>
    <row r="493" ht="15.75" customHeight="1">
      <c r="A493" s="39"/>
    </row>
    <row r="494" ht="15.75" customHeight="1">
      <c r="A494" s="39"/>
    </row>
    <row r="495" ht="15.75" customHeight="1">
      <c r="A495" s="39"/>
    </row>
    <row r="496" ht="15.75" customHeight="1">
      <c r="A496" s="39"/>
    </row>
    <row r="497" ht="15.75" customHeight="1">
      <c r="A497" s="39"/>
    </row>
    <row r="498" ht="15.75" customHeight="1">
      <c r="A498" s="39"/>
    </row>
    <row r="499" ht="15.75" customHeight="1">
      <c r="A499" s="39"/>
    </row>
    <row r="500" ht="15.75" customHeight="1">
      <c r="A500" s="39"/>
    </row>
    <row r="501" ht="15.75" customHeight="1">
      <c r="A501" s="39"/>
    </row>
    <row r="502" ht="15.75" customHeight="1">
      <c r="A502" s="39"/>
    </row>
    <row r="503" ht="15.75" customHeight="1">
      <c r="A503" s="39"/>
    </row>
    <row r="504" ht="15.75" customHeight="1">
      <c r="A504" s="39"/>
    </row>
    <row r="505" ht="15.75" customHeight="1">
      <c r="A505" s="39"/>
    </row>
    <row r="506" ht="15.75" customHeight="1">
      <c r="A506" s="39"/>
    </row>
    <row r="507" ht="15.75" customHeight="1">
      <c r="A507" s="39"/>
    </row>
    <row r="508" ht="15.75" customHeight="1">
      <c r="A508" s="39"/>
    </row>
    <row r="509" ht="15.75" customHeight="1">
      <c r="A509" s="39"/>
    </row>
    <row r="510" ht="15.75" customHeight="1">
      <c r="A510" s="39"/>
    </row>
    <row r="511" ht="15.75" customHeight="1">
      <c r="A511" s="39"/>
    </row>
    <row r="512" ht="15.75" customHeight="1">
      <c r="A512" s="39"/>
    </row>
    <row r="513" ht="15.75" customHeight="1">
      <c r="A513" s="39"/>
    </row>
    <row r="514" ht="15.75" customHeight="1">
      <c r="A514" s="39"/>
    </row>
    <row r="515" ht="15.75" customHeight="1">
      <c r="A515" s="39"/>
    </row>
    <row r="516" ht="15.75" customHeight="1">
      <c r="A516" s="39"/>
    </row>
    <row r="517" ht="15.75" customHeight="1">
      <c r="A517" s="39"/>
    </row>
    <row r="518" ht="15.75" customHeight="1">
      <c r="A518" s="39"/>
    </row>
    <row r="519" ht="15.75" customHeight="1">
      <c r="A519" s="39"/>
    </row>
    <row r="520" ht="15.75" customHeight="1">
      <c r="A520" s="39"/>
    </row>
    <row r="521" ht="15.75" customHeight="1">
      <c r="A521" s="39"/>
    </row>
    <row r="522" ht="15.75" customHeight="1">
      <c r="A522" s="39"/>
    </row>
    <row r="523" ht="15.75" customHeight="1">
      <c r="A523" s="39"/>
    </row>
    <row r="524" ht="15.75" customHeight="1">
      <c r="A524" s="39"/>
    </row>
    <row r="525" ht="15.75" customHeight="1">
      <c r="A525" s="39"/>
    </row>
    <row r="526" ht="15.75" customHeight="1">
      <c r="A526" s="39"/>
    </row>
    <row r="527" ht="15.75" customHeight="1">
      <c r="A527" s="39"/>
    </row>
    <row r="528" ht="15.75" customHeight="1">
      <c r="A528" s="39"/>
    </row>
    <row r="529" ht="15.75" customHeight="1">
      <c r="A529" s="39"/>
    </row>
    <row r="530" ht="15.75" customHeight="1">
      <c r="A530" s="39"/>
    </row>
    <row r="531" ht="15.75" customHeight="1">
      <c r="A531" s="39"/>
    </row>
    <row r="532" ht="15.75" customHeight="1">
      <c r="A532" s="39"/>
    </row>
    <row r="533" ht="15.75" customHeight="1">
      <c r="A533" s="39"/>
    </row>
    <row r="534" ht="15.75" customHeight="1">
      <c r="A534" s="39"/>
    </row>
    <row r="535" ht="15.75" customHeight="1">
      <c r="A535" s="39"/>
    </row>
    <row r="536" ht="15.75" customHeight="1">
      <c r="A536" s="39"/>
    </row>
    <row r="537" ht="15.75" customHeight="1">
      <c r="A537" s="39"/>
    </row>
    <row r="538" ht="15.75" customHeight="1">
      <c r="A538" s="39"/>
    </row>
    <row r="539" ht="15.75" customHeight="1">
      <c r="A539" s="39"/>
    </row>
    <row r="540" ht="15.75" customHeight="1">
      <c r="A540" s="39"/>
    </row>
    <row r="541" ht="15.75" customHeight="1">
      <c r="A541" s="39"/>
    </row>
    <row r="542" ht="15.75" customHeight="1">
      <c r="A542" s="39"/>
    </row>
    <row r="543" ht="15.75" customHeight="1">
      <c r="A543" s="39"/>
    </row>
    <row r="544" ht="15.75" customHeight="1">
      <c r="A544" s="39"/>
    </row>
    <row r="545" ht="15.75" customHeight="1">
      <c r="A545" s="39"/>
    </row>
    <row r="546" ht="15.75" customHeight="1">
      <c r="A546" s="39"/>
    </row>
    <row r="547" ht="15.75" customHeight="1">
      <c r="A547" s="39"/>
    </row>
    <row r="548" ht="15.75" customHeight="1">
      <c r="A548" s="39"/>
    </row>
    <row r="549" ht="15.75" customHeight="1">
      <c r="A549" s="39"/>
    </row>
    <row r="550" ht="15.75" customHeight="1">
      <c r="A550" s="39"/>
    </row>
    <row r="551" ht="15.75" customHeight="1">
      <c r="A551" s="39"/>
    </row>
    <row r="552" ht="15.75" customHeight="1">
      <c r="A552" s="39"/>
    </row>
    <row r="553" ht="15.75" customHeight="1">
      <c r="A553" s="39"/>
    </row>
    <row r="554" ht="15.75" customHeight="1">
      <c r="A554" s="39"/>
    </row>
    <row r="555" ht="15.75" customHeight="1">
      <c r="A555" s="39"/>
    </row>
    <row r="556" ht="15.75" customHeight="1">
      <c r="A556" s="39"/>
    </row>
    <row r="557" ht="15.75" customHeight="1">
      <c r="A557" s="39"/>
    </row>
    <row r="558" ht="15.75" customHeight="1">
      <c r="A558" s="39"/>
    </row>
    <row r="559" ht="15.75" customHeight="1">
      <c r="A559" s="39"/>
    </row>
    <row r="560" ht="15.75" customHeight="1">
      <c r="A560" s="39"/>
    </row>
    <row r="561" ht="15.75" customHeight="1">
      <c r="A561" s="39"/>
    </row>
    <row r="562" ht="15.75" customHeight="1">
      <c r="A562" s="39"/>
    </row>
    <row r="563" ht="15.75" customHeight="1">
      <c r="A563" s="39"/>
    </row>
    <row r="564" ht="15.75" customHeight="1">
      <c r="A564" s="39"/>
    </row>
    <row r="565" ht="15.75" customHeight="1">
      <c r="A565" s="39"/>
    </row>
    <row r="566" ht="15.75" customHeight="1">
      <c r="A566" s="39"/>
    </row>
    <row r="567" ht="15.75" customHeight="1">
      <c r="A567" s="39"/>
    </row>
    <row r="568" ht="15.75" customHeight="1">
      <c r="A568" s="39"/>
    </row>
    <row r="569" ht="15.75" customHeight="1">
      <c r="A569" s="39"/>
    </row>
    <row r="570" ht="15.75" customHeight="1">
      <c r="A570" s="39"/>
    </row>
    <row r="571" ht="15.75" customHeight="1">
      <c r="A571" s="39"/>
    </row>
    <row r="572" ht="15.75" customHeight="1">
      <c r="A572" s="39"/>
    </row>
    <row r="573" ht="15.75" customHeight="1">
      <c r="A573" s="39"/>
    </row>
    <row r="574" ht="15.75" customHeight="1">
      <c r="A574" s="39"/>
    </row>
    <row r="575" ht="15.75" customHeight="1">
      <c r="A575" s="39"/>
    </row>
    <row r="576" ht="15.75" customHeight="1">
      <c r="A576" s="39"/>
    </row>
    <row r="577" ht="15.75" customHeight="1">
      <c r="A577" s="39"/>
    </row>
    <row r="578" ht="15.75" customHeight="1">
      <c r="A578" s="39"/>
    </row>
    <row r="579" ht="15.75" customHeight="1">
      <c r="A579" s="39"/>
    </row>
    <row r="580" ht="15.75" customHeight="1">
      <c r="A580" s="39"/>
    </row>
    <row r="581" ht="15.75" customHeight="1">
      <c r="A581" s="39"/>
    </row>
    <row r="582" ht="15.75" customHeight="1">
      <c r="A582" s="39"/>
    </row>
    <row r="583" ht="15.75" customHeight="1">
      <c r="A583" s="39"/>
    </row>
    <row r="584" ht="15.75" customHeight="1">
      <c r="A584" s="39"/>
    </row>
    <row r="585" ht="15.75" customHeight="1">
      <c r="A585" s="39"/>
    </row>
    <row r="586" ht="15.75" customHeight="1">
      <c r="A586" s="39"/>
    </row>
    <row r="587" ht="15.75" customHeight="1">
      <c r="A587" s="39"/>
    </row>
    <row r="588" ht="15.75" customHeight="1">
      <c r="A588" s="39"/>
    </row>
    <row r="589" ht="15.75" customHeight="1">
      <c r="A589" s="39"/>
    </row>
    <row r="590" ht="15.75" customHeight="1">
      <c r="A590" s="39"/>
    </row>
    <row r="591" ht="15.75" customHeight="1">
      <c r="A591" s="39"/>
    </row>
    <row r="592" ht="15.75" customHeight="1">
      <c r="A592" s="39"/>
    </row>
    <row r="593" ht="15.75" customHeight="1">
      <c r="A593" s="39"/>
    </row>
    <row r="594" ht="15.75" customHeight="1">
      <c r="A594" s="39"/>
    </row>
    <row r="595" ht="15.75" customHeight="1">
      <c r="A595" s="39"/>
    </row>
    <row r="596" ht="15.75" customHeight="1">
      <c r="A596" s="39"/>
    </row>
    <row r="597" ht="15.75" customHeight="1">
      <c r="A597" s="39"/>
    </row>
    <row r="598" ht="15.75" customHeight="1">
      <c r="A598" s="39"/>
    </row>
    <row r="599" ht="15.75" customHeight="1">
      <c r="A599" s="39"/>
    </row>
    <row r="600" ht="15.75" customHeight="1">
      <c r="A600" s="39"/>
    </row>
    <row r="601" ht="15.75" customHeight="1">
      <c r="A601" s="39"/>
    </row>
    <row r="602" ht="15.75" customHeight="1">
      <c r="A602" s="39"/>
    </row>
    <row r="603" ht="15.75" customHeight="1">
      <c r="A603" s="39"/>
    </row>
    <row r="604" ht="15.75" customHeight="1">
      <c r="A604" s="39"/>
    </row>
    <row r="605" ht="15.75" customHeight="1">
      <c r="A605" s="39"/>
    </row>
    <row r="606" ht="15.75" customHeight="1">
      <c r="A606" s="39"/>
    </row>
    <row r="607" ht="15.75" customHeight="1">
      <c r="A607" s="39"/>
    </row>
    <row r="608" ht="15.75" customHeight="1">
      <c r="A608" s="39"/>
    </row>
    <row r="609" ht="15.75" customHeight="1">
      <c r="A609" s="39"/>
    </row>
    <row r="610" ht="15.75" customHeight="1">
      <c r="A610" s="39"/>
    </row>
    <row r="611" ht="15.75" customHeight="1">
      <c r="A611" s="39"/>
    </row>
    <row r="612" ht="15.75" customHeight="1">
      <c r="A612" s="39"/>
    </row>
    <row r="613" ht="15.75" customHeight="1">
      <c r="A613" s="39"/>
    </row>
    <row r="614" ht="15.75" customHeight="1">
      <c r="A614" s="39"/>
    </row>
    <row r="615" ht="15.75" customHeight="1">
      <c r="A615" s="39"/>
    </row>
    <row r="616" ht="15.75" customHeight="1">
      <c r="A616" s="39"/>
    </row>
    <row r="617" ht="15.75" customHeight="1">
      <c r="A617" s="39"/>
    </row>
    <row r="618" ht="15.75" customHeight="1">
      <c r="A618" s="39"/>
    </row>
    <row r="619" ht="15.75" customHeight="1">
      <c r="A619" s="39"/>
    </row>
    <row r="620" ht="15.75" customHeight="1">
      <c r="A620" s="39"/>
    </row>
    <row r="621" ht="15.75" customHeight="1">
      <c r="A621" s="39"/>
    </row>
    <row r="622" ht="15.75" customHeight="1">
      <c r="A622" s="39"/>
    </row>
    <row r="623" ht="15.75" customHeight="1">
      <c r="A623" s="39"/>
    </row>
    <row r="624" ht="15.75" customHeight="1">
      <c r="A624" s="39"/>
    </row>
    <row r="625" ht="15.75" customHeight="1">
      <c r="A625" s="39"/>
    </row>
    <row r="626" ht="15.75" customHeight="1">
      <c r="A626" s="39"/>
    </row>
    <row r="627" ht="15.75" customHeight="1">
      <c r="A627" s="39"/>
    </row>
    <row r="628" ht="15.75" customHeight="1">
      <c r="A628" s="39"/>
    </row>
    <row r="629" ht="15.75" customHeight="1">
      <c r="A629" s="39"/>
    </row>
    <row r="630" ht="15.75" customHeight="1">
      <c r="A630" s="39"/>
    </row>
    <row r="631" ht="15.75" customHeight="1">
      <c r="A631" s="39"/>
    </row>
    <row r="632" ht="15.75" customHeight="1">
      <c r="A632" s="39"/>
    </row>
    <row r="633" ht="15.75" customHeight="1">
      <c r="A633" s="39"/>
    </row>
    <row r="634" ht="15.75" customHeight="1">
      <c r="A634" s="39"/>
    </row>
    <row r="635" ht="15.75" customHeight="1">
      <c r="A635" s="39"/>
    </row>
    <row r="636" ht="15.75" customHeight="1">
      <c r="A636" s="39"/>
    </row>
    <row r="637" ht="15.75" customHeight="1">
      <c r="A637" s="39"/>
    </row>
    <row r="638" ht="15.75" customHeight="1">
      <c r="A638" s="39"/>
    </row>
    <row r="639" ht="15.75" customHeight="1">
      <c r="A639" s="39"/>
    </row>
    <row r="640" ht="15.75" customHeight="1">
      <c r="A640" s="39"/>
    </row>
    <row r="641" ht="15.75" customHeight="1">
      <c r="A641" s="39"/>
    </row>
    <row r="642" ht="15.75" customHeight="1">
      <c r="A642" s="39"/>
    </row>
    <row r="643" ht="15.75" customHeight="1">
      <c r="A643" s="39"/>
    </row>
    <row r="644" ht="15.75" customHeight="1">
      <c r="A644" s="39"/>
    </row>
    <row r="645" ht="15.75" customHeight="1">
      <c r="A645" s="39"/>
    </row>
    <row r="646" ht="15.75" customHeight="1">
      <c r="A646" s="39"/>
    </row>
    <row r="647" ht="15.75" customHeight="1">
      <c r="A647" s="39"/>
    </row>
    <row r="648" ht="15.75" customHeight="1">
      <c r="A648" s="39"/>
    </row>
    <row r="649" ht="15.75" customHeight="1">
      <c r="A649" s="39"/>
    </row>
    <row r="650" ht="15.75" customHeight="1">
      <c r="A650" s="39"/>
    </row>
    <row r="651" ht="15.75" customHeight="1">
      <c r="A651" s="39"/>
    </row>
    <row r="652" ht="15.75" customHeight="1">
      <c r="A652" s="39"/>
    </row>
    <row r="653" ht="15.75" customHeight="1">
      <c r="A653" s="39"/>
    </row>
    <row r="654" ht="15.75" customHeight="1">
      <c r="A654" s="39"/>
    </row>
    <row r="655" ht="15.75" customHeight="1">
      <c r="A655" s="39"/>
    </row>
    <row r="656" ht="15.75" customHeight="1">
      <c r="A656" s="39"/>
    </row>
    <row r="657" ht="15.75" customHeight="1">
      <c r="A657" s="39"/>
    </row>
    <row r="658" ht="15.75" customHeight="1">
      <c r="A658" s="39"/>
    </row>
    <row r="659" ht="15.75" customHeight="1">
      <c r="A659" s="39"/>
    </row>
    <row r="660" ht="15.75" customHeight="1">
      <c r="A660" s="39"/>
    </row>
    <row r="661" ht="15.75" customHeight="1">
      <c r="A661" s="39"/>
    </row>
    <row r="662" ht="15.75" customHeight="1">
      <c r="A662" s="39"/>
    </row>
    <row r="663" ht="15.75" customHeight="1">
      <c r="A663" s="39"/>
    </row>
    <row r="664" ht="15.75" customHeight="1">
      <c r="A664" s="39"/>
    </row>
    <row r="665" ht="15.75" customHeight="1">
      <c r="A665" s="39"/>
    </row>
    <row r="666" ht="15.75" customHeight="1">
      <c r="A666" s="39"/>
    </row>
    <row r="667" ht="15.75" customHeight="1">
      <c r="A667" s="39"/>
    </row>
    <row r="668" ht="15.75" customHeight="1">
      <c r="A668" s="39"/>
    </row>
    <row r="669" ht="15.75" customHeight="1">
      <c r="A669" s="39"/>
    </row>
    <row r="670" ht="15.75" customHeight="1">
      <c r="A670" s="39"/>
    </row>
    <row r="671" ht="15.75" customHeight="1">
      <c r="A671" s="39"/>
    </row>
    <row r="672" ht="15.75" customHeight="1">
      <c r="A672" s="39"/>
    </row>
    <row r="673" ht="15.75" customHeight="1">
      <c r="A673" s="39"/>
    </row>
    <row r="674" ht="15.75" customHeight="1">
      <c r="A674" s="39"/>
    </row>
    <row r="675" ht="15.75" customHeight="1">
      <c r="A675" s="39"/>
    </row>
    <row r="676" ht="15.75" customHeight="1">
      <c r="A676" s="39"/>
    </row>
    <row r="677" ht="15.75" customHeight="1">
      <c r="A677" s="39"/>
    </row>
    <row r="678" ht="15.75" customHeight="1">
      <c r="A678" s="39"/>
    </row>
    <row r="679" ht="15.75" customHeight="1">
      <c r="A679" s="39"/>
    </row>
    <row r="680" ht="15.75" customHeight="1">
      <c r="A680" s="39"/>
    </row>
    <row r="681" ht="15.75" customHeight="1">
      <c r="A681" s="39"/>
    </row>
    <row r="682" ht="15.75" customHeight="1">
      <c r="A682" s="39"/>
    </row>
    <row r="683" ht="15.75" customHeight="1">
      <c r="A683" s="39"/>
    </row>
    <row r="684" ht="15.75" customHeight="1">
      <c r="A684" s="39"/>
    </row>
    <row r="685" ht="15.75" customHeight="1">
      <c r="A685" s="39"/>
    </row>
    <row r="686" ht="15.75" customHeight="1">
      <c r="A686" s="39"/>
    </row>
    <row r="687" ht="15.75" customHeight="1">
      <c r="A687" s="39"/>
    </row>
    <row r="688" ht="15.75" customHeight="1">
      <c r="A688" s="39"/>
    </row>
    <row r="689" ht="15.75" customHeight="1">
      <c r="A689" s="39"/>
    </row>
    <row r="690" ht="15.75" customHeight="1">
      <c r="A690" s="39"/>
    </row>
    <row r="691" ht="15.75" customHeight="1">
      <c r="A691" s="39"/>
    </row>
    <row r="692" ht="15.75" customHeight="1">
      <c r="A692" s="39"/>
    </row>
    <row r="693" ht="15.75" customHeight="1">
      <c r="A693" s="39"/>
    </row>
    <row r="694" ht="15.75" customHeight="1">
      <c r="A694" s="39"/>
    </row>
    <row r="695" ht="15.75" customHeight="1">
      <c r="A695" s="39"/>
    </row>
    <row r="696" ht="15.75" customHeight="1">
      <c r="A696" s="39"/>
    </row>
    <row r="697" ht="15.75" customHeight="1">
      <c r="A697" s="39"/>
    </row>
    <row r="698" ht="15.75" customHeight="1">
      <c r="A698" s="39"/>
    </row>
    <row r="699" ht="15.75" customHeight="1">
      <c r="A699" s="39"/>
    </row>
    <row r="700" ht="15.75" customHeight="1">
      <c r="A700" s="39"/>
    </row>
    <row r="701" ht="15.75" customHeight="1">
      <c r="A701" s="39"/>
    </row>
    <row r="702" ht="15.75" customHeight="1">
      <c r="A702" s="39"/>
    </row>
    <row r="703" ht="15.75" customHeight="1">
      <c r="A703" s="39"/>
    </row>
    <row r="704" ht="15.75" customHeight="1">
      <c r="A704" s="39"/>
    </row>
    <row r="705" ht="15.75" customHeight="1">
      <c r="A705" s="39"/>
    </row>
    <row r="706" ht="15.75" customHeight="1">
      <c r="A706" s="39"/>
    </row>
    <row r="707" ht="15.75" customHeight="1">
      <c r="A707" s="39"/>
    </row>
    <row r="708" ht="15.75" customHeight="1">
      <c r="A708" s="39"/>
    </row>
    <row r="709" ht="15.75" customHeight="1">
      <c r="A709" s="39"/>
    </row>
    <row r="710" ht="15.75" customHeight="1">
      <c r="A710" s="39"/>
    </row>
    <row r="711" ht="15.75" customHeight="1">
      <c r="A711" s="39"/>
    </row>
    <row r="712" ht="15.75" customHeight="1">
      <c r="A712" s="39"/>
    </row>
    <row r="713" ht="15.75" customHeight="1">
      <c r="A713" s="39"/>
    </row>
    <row r="714" ht="15.75" customHeight="1">
      <c r="A714" s="39"/>
    </row>
    <row r="715" ht="15.75" customHeight="1">
      <c r="A715" s="39"/>
    </row>
    <row r="716" ht="15.75" customHeight="1">
      <c r="A716" s="39"/>
    </row>
    <row r="717" ht="15.75" customHeight="1">
      <c r="A717" s="39"/>
    </row>
    <row r="718" ht="15.75" customHeight="1">
      <c r="A718" s="39"/>
    </row>
    <row r="719" ht="15.75" customHeight="1">
      <c r="A719" s="39"/>
    </row>
    <row r="720" ht="15.75" customHeight="1">
      <c r="A720" s="39"/>
    </row>
    <row r="721" ht="15.75" customHeight="1">
      <c r="A721" s="39"/>
    </row>
    <row r="722" ht="15.75" customHeight="1">
      <c r="A722" s="39"/>
    </row>
    <row r="723" ht="15.75" customHeight="1">
      <c r="A723" s="39"/>
    </row>
    <row r="724" ht="15.75" customHeight="1">
      <c r="A724" s="39"/>
    </row>
    <row r="725" ht="15.75" customHeight="1">
      <c r="A725" s="39"/>
    </row>
    <row r="726" ht="15.75" customHeight="1">
      <c r="A726" s="39"/>
    </row>
    <row r="727" ht="15.75" customHeight="1">
      <c r="A727" s="39"/>
    </row>
    <row r="728" ht="15.75" customHeight="1">
      <c r="A728" s="39"/>
    </row>
    <row r="729" ht="15.75" customHeight="1">
      <c r="A729" s="39"/>
    </row>
    <row r="730" ht="15.75" customHeight="1">
      <c r="A730" s="39"/>
    </row>
    <row r="731" ht="15.75" customHeight="1">
      <c r="A731" s="39"/>
    </row>
    <row r="732" ht="15.75" customHeight="1">
      <c r="A732" s="39"/>
    </row>
    <row r="733" ht="15.75" customHeight="1">
      <c r="A733" s="39"/>
    </row>
    <row r="734" ht="15.75" customHeight="1">
      <c r="A734" s="39"/>
    </row>
    <row r="735" ht="15.75" customHeight="1">
      <c r="A735" s="39"/>
    </row>
    <row r="736" ht="15.75" customHeight="1">
      <c r="A736" s="39"/>
    </row>
    <row r="737" ht="15.75" customHeight="1">
      <c r="A737" s="39"/>
    </row>
    <row r="738" ht="15.75" customHeight="1">
      <c r="A738" s="39"/>
    </row>
    <row r="739" ht="15.75" customHeight="1">
      <c r="A739" s="39"/>
    </row>
    <row r="740" ht="15.75" customHeight="1">
      <c r="A740" s="39"/>
    </row>
    <row r="741" ht="15.75" customHeight="1">
      <c r="A741" s="39"/>
    </row>
    <row r="742" ht="15.75" customHeight="1">
      <c r="A742" s="39"/>
    </row>
    <row r="743" ht="15.75" customHeight="1">
      <c r="A743" s="39"/>
    </row>
    <row r="744" ht="15.75" customHeight="1">
      <c r="A744" s="39"/>
    </row>
    <row r="745" ht="15.75" customHeight="1">
      <c r="A745" s="39"/>
    </row>
    <row r="746" ht="15.75" customHeight="1">
      <c r="A746" s="39"/>
    </row>
    <row r="747" ht="15.75" customHeight="1">
      <c r="A747" s="39"/>
    </row>
    <row r="748" ht="15.75" customHeight="1">
      <c r="A748" s="39"/>
    </row>
    <row r="749" ht="15.75" customHeight="1">
      <c r="A749" s="39"/>
    </row>
    <row r="750" ht="15.75" customHeight="1">
      <c r="A750" s="39"/>
    </row>
    <row r="751" ht="15.75" customHeight="1">
      <c r="A751" s="39"/>
    </row>
    <row r="752" ht="15.75" customHeight="1">
      <c r="A752" s="39"/>
    </row>
    <row r="753" ht="15.75" customHeight="1">
      <c r="A753" s="39"/>
    </row>
    <row r="754" ht="15.75" customHeight="1">
      <c r="A754" s="39"/>
    </row>
    <row r="755" ht="15.75" customHeight="1">
      <c r="A755" s="39"/>
    </row>
    <row r="756" ht="15.75" customHeight="1">
      <c r="A756" s="39"/>
    </row>
    <row r="757" ht="15.75" customHeight="1">
      <c r="A757" s="39"/>
    </row>
    <row r="758" ht="15.75" customHeight="1">
      <c r="A758" s="39"/>
    </row>
    <row r="759" ht="15.75" customHeight="1">
      <c r="A759" s="39"/>
    </row>
    <row r="760" ht="15.75" customHeight="1">
      <c r="A760" s="39"/>
    </row>
    <row r="761" ht="15.75" customHeight="1">
      <c r="A761" s="39"/>
    </row>
    <row r="762" ht="15.75" customHeight="1">
      <c r="A762" s="39"/>
    </row>
    <row r="763" ht="15.75" customHeight="1">
      <c r="A763" s="39"/>
    </row>
    <row r="764" ht="15.75" customHeight="1">
      <c r="A764" s="39"/>
    </row>
    <row r="765" ht="15.75" customHeight="1">
      <c r="A765" s="39"/>
    </row>
    <row r="766" ht="15.75" customHeight="1">
      <c r="A766" s="39"/>
    </row>
    <row r="767" ht="15.75" customHeight="1">
      <c r="A767" s="39"/>
    </row>
    <row r="768" ht="15.75" customHeight="1">
      <c r="A768" s="39"/>
    </row>
    <row r="769" ht="15.75" customHeight="1">
      <c r="A769" s="39"/>
    </row>
    <row r="770" ht="15.75" customHeight="1">
      <c r="A770" s="39"/>
    </row>
    <row r="771" ht="15.75" customHeight="1">
      <c r="A771" s="39"/>
    </row>
    <row r="772" ht="15.75" customHeight="1">
      <c r="A772" s="39"/>
    </row>
    <row r="773" ht="15.75" customHeight="1">
      <c r="A773" s="39"/>
    </row>
    <row r="774" ht="15.75" customHeight="1">
      <c r="A774" s="39"/>
    </row>
    <row r="775" ht="15.75" customHeight="1">
      <c r="A775" s="39"/>
    </row>
    <row r="776" ht="15.75" customHeight="1">
      <c r="A776" s="39"/>
    </row>
    <row r="777" ht="15.75" customHeight="1">
      <c r="A777" s="39"/>
    </row>
    <row r="778" ht="15.75" customHeight="1">
      <c r="A778" s="39"/>
    </row>
    <row r="779" ht="15.75" customHeight="1">
      <c r="A779" s="39"/>
    </row>
    <row r="780" ht="15.75" customHeight="1">
      <c r="A780" s="39"/>
    </row>
    <row r="781" ht="15.75" customHeight="1">
      <c r="A781" s="39"/>
    </row>
    <row r="782" ht="15.75" customHeight="1">
      <c r="A782" s="39"/>
    </row>
    <row r="783" ht="15.75" customHeight="1">
      <c r="A783" s="39"/>
    </row>
    <row r="784" ht="15.75" customHeight="1">
      <c r="A784" s="39"/>
    </row>
    <row r="785" ht="15.75" customHeight="1">
      <c r="A785" s="39"/>
    </row>
    <row r="786" ht="15.75" customHeight="1">
      <c r="A786" s="39"/>
    </row>
    <row r="787" ht="15.75" customHeight="1">
      <c r="A787" s="39"/>
    </row>
    <row r="788" ht="15.75" customHeight="1">
      <c r="A788" s="39"/>
    </row>
    <row r="789" ht="15.75" customHeight="1">
      <c r="A789" s="39"/>
    </row>
    <row r="790" ht="15.75" customHeight="1">
      <c r="A790" s="39"/>
    </row>
    <row r="791" ht="15.75" customHeight="1">
      <c r="A791" s="39"/>
    </row>
    <row r="792" ht="15.75" customHeight="1">
      <c r="A792" s="39"/>
    </row>
    <row r="793" ht="15.75" customHeight="1">
      <c r="A793" s="39"/>
    </row>
    <row r="794" ht="15.75" customHeight="1">
      <c r="A794" s="39"/>
    </row>
    <row r="795" ht="15.75" customHeight="1">
      <c r="A795" s="39"/>
    </row>
    <row r="796" ht="15.75" customHeight="1">
      <c r="A796" s="39"/>
    </row>
    <row r="797" ht="15.75" customHeight="1">
      <c r="A797" s="39"/>
    </row>
    <row r="798" ht="15.75" customHeight="1">
      <c r="A798" s="39"/>
    </row>
    <row r="799" ht="15.75" customHeight="1">
      <c r="A799" s="39"/>
    </row>
    <row r="800" ht="15.75" customHeight="1">
      <c r="A800" s="39"/>
    </row>
    <row r="801" ht="15.75" customHeight="1">
      <c r="A801" s="39"/>
    </row>
    <row r="802" ht="15.75" customHeight="1">
      <c r="A802" s="39"/>
    </row>
    <row r="803" ht="15.75" customHeight="1">
      <c r="A803" s="39"/>
    </row>
    <row r="804" ht="15.75" customHeight="1">
      <c r="A804" s="39"/>
    </row>
    <row r="805" ht="15.75" customHeight="1">
      <c r="A805" s="39"/>
    </row>
    <row r="806" ht="15.75" customHeight="1">
      <c r="A806" s="39"/>
    </row>
    <row r="807" ht="15.75" customHeight="1">
      <c r="A807" s="39"/>
    </row>
    <row r="808" ht="15.75" customHeight="1">
      <c r="A808" s="39"/>
    </row>
    <row r="809" ht="15.75" customHeight="1">
      <c r="A809" s="39"/>
    </row>
    <row r="810" ht="15.75" customHeight="1">
      <c r="A810" s="39"/>
    </row>
    <row r="811" ht="15.75" customHeight="1">
      <c r="A811" s="39"/>
    </row>
    <row r="812" ht="15.75" customHeight="1">
      <c r="A812" s="39"/>
    </row>
    <row r="813" ht="15.75" customHeight="1">
      <c r="A813" s="39"/>
    </row>
    <row r="814" ht="15.75" customHeight="1">
      <c r="A814" s="39"/>
    </row>
    <row r="815" ht="15.75" customHeight="1">
      <c r="A815" s="39"/>
    </row>
    <row r="816" ht="15.75" customHeight="1">
      <c r="A816" s="39"/>
    </row>
    <row r="817" ht="15.75" customHeight="1">
      <c r="A817" s="39"/>
    </row>
    <row r="818" ht="15.75" customHeight="1">
      <c r="A818" s="39"/>
    </row>
    <row r="819" ht="15.75" customHeight="1">
      <c r="A819" s="39"/>
    </row>
    <row r="820" ht="15.75" customHeight="1">
      <c r="A820" s="39"/>
    </row>
    <row r="821" ht="15.75" customHeight="1">
      <c r="A821" s="39"/>
    </row>
    <row r="822" ht="15.75" customHeight="1">
      <c r="A822" s="39"/>
    </row>
    <row r="823" ht="15.75" customHeight="1">
      <c r="A823" s="39"/>
    </row>
    <row r="824" ht="15.75" customHeight="1">
      <c r="A824" s="39"/>
    </row>
    <row r="825" ht="15.75" customHeight="1">
      <c r="A825" s="39"/>
    </row>
    <row r="826" ht="15.75" customHeight="1">
      <c r="A826" s="39"/>
    </row>
    <row r="827" ht="15.75" customHeight="1">
      <c r="A827" s="39"/>
    </row>
    <row r="828" ht="15.75" customHeight="1">
      <c r="A828" s="39"/>
    </row>
    <row r="829" ht="15.75" customHeight="1">
      <c r="A829" s="39"/>
    </row>
    <row r="830" ht="15.75" customHeight="1">
      <c r="A830" s="39"/>
    </row>
    <row r="831" ht="15.75" customHeight="1">
      <c r="A831" s="39"/>
    </row>
    <row r="832" ht="15.75" customHeight="1">
      <c r="A832" s="39"/>
    </row>
    <row r="833" ht="15.75" customHeight="1">
      <c r="A833" s="39"/>
    </row>
    <row r="834" ht="15.75" customHeight="1">
      <c r="A834" s="39"/>
    </row>
    <row r="835" ht="15.75" customHeight="1">
      <c r="A835" s="39"/>
    </row>
    <row r="836" ht="15.75" customHeight="1">
      <c r="A836" s="39"/>
    </row>
    <row r="837" ht="15.75" customHeight="1">
      <c r="A837" s="39"/>
    </row>
    <row r="838" ht="15.75" customHeight="1">
      <c r="A838" s="39"/>
    </row>
    <row r="839" ht="15.75" customHeight="1">
      <c r="A839" s="39"/>
    </row>
    <row r="840" ht="15.75" customHeight="1">
      <c r="A840" s="39"/>
    </row>
    <row r="841" ht="15.75" customHeight="1">
      <c r="A841" s="39"/>
    </row>
    <row r="842" ht="15.75" customHeight="1">
      <c r="A842" s="39"/>
    </row>
    <row r="843" ht="15.75" customHeight="1">
      <c r="A843" s="39"/>
    </row>
    <row r="844" ht="15.75" customHeight="1">
      <c r="A844" s="39"/>
    </row>
    <row r="845" ht="15.75" customHeight="1">
      <c r="A845" s="39"/>
    </row>
    <row r="846" ht="15.75" customHeight="1">
      <c r="A846" s="39"/>
    </row>
    <row r="847" ht="15.75" customHeight="1">
      <c r="A847" s="39"/>
    </row>
    <row r="848" ht="15.75" customHeight="1">
      <c r="A848" s="39"/>
    </row>
    <row r="849" ht="15.75" customHeight="1">
      <c r="A849" s="39"/>
    </row>
    <row r="850" ht="15.75" customHeight="1">
      <c r="A850" s="39"/>
    </row>
    <row r="851" ht="15.75" customHeight="1">
      <c r="A851" s="39"/>
    </row>
    <row r="852" ht="15.75" customHeight="1">
      <c r="A852" s="39"/>
    </row>
    <row r="853" ht="15.75" customHeight="1">
      <c r="A853" s="39"/>
    </row>
    <row r="854" ht="15.75" customHeight="1">
      <c r="A854" s="39"/>
    </row>
    <row r="855" ht="15.75" customHeight="1">
      <c r="A855" s="39"/>
    </row>
    <row r="856" ht="15.75" customHeight="1">
      <c r="A856" s="39"/>
    </row>
    <row r="857" ht="15.75" customHeight="1">
      <c r="A857" s="39"/>
    </row>
    <row r="858" ht="15.75" customHeight="1">
      <c r="A858" s="39"/>
    </row>
    <row r="859" ht="15.75" customHeight="1">
      <c r="A859" s="39"/>
    </row>
    <row r="860" ht="15.75" customHeight="1">
      <c r="A860" s="39"/>
    </row>
    <row r="861" ht="15.75" customHeight="1">
      <c r="A861" s="39"/>
    </row>
    <row r="862" ht="15.75" customHeight="1">
      <c r="A862" s="39"/>
    </row>
    <row r="863" ht="15.75" customHeight="1">
      <c r="A863" s="39"/>
    </row>
    <row r="864" ht="15.75" customHeight="1">
      <c r="A864" s="39"/>
    </row>
    <row r="865" ht="15.75" customHeight="1">
      <c r="A865" s="39"/>
    </row>
    <row r="866" ht="15.75" customHeight="1">
      <c r="A866" s="39"/>
    </row>
    <row r="867" ht="15.75" customHeight="1">
      <c r="A867" s="39"/>
    </row>
    <row r="868" ht="15.75" customHeight="1">
      <c r="A868" s="39"/>
    </row>
    <row r="869" ht="15.75" customHeight="1">
      <c r="A869" s="39"/>
    </row>
    <row r="870" ht="15.75" customHeight="1">
      <c r="A870" s="39"/>
    </row>
    <row r="871" ht="15.75" customHeight="1">
      <c r="A871" s="39"/>
    </row>
    <row r="872" ht="15.75" customHeight="1">
      <c r="A872" s="39"/>
    </row>
    <row r="873" ht="15.75" customHeight="1">
      <c r="A873" s="39"/>
    </row>
    <row r="874" ht="15.75" customHeight="1">
      <c r="A874" s="39"/>
    </row>
    <row r="875" ht="15.75" customHeight="1">
      <c r="A875" s="39"/>
    </row>
    <row r="876" ht="15.75" customHeight="1">
      <c r="A876" s="39"/>
    </row>
    <row r="877" ht="15.75" customHeight="1">
      <c r="A877" s="39"/>
    </row>
    <row r="878" ht="15.75" customHeight="1">
      <c r="A878" s="39"/>
    </row>
    <row r="879" ht="15.75" customHeight="1">
      <c r="A879" s="39"/>
    </row>
    <row r="880" ht="15.75" customHeight="1">
      <c r="A880" s="39"/>
    </row>
    <row r="881" ht="15.75" customHeight="1">
      <c r="A881" s="39"/>
    </row>
    <row r="882" ht="15.75" customHeight="1">
      <c r="A882" s="39"/>
    </row>
    <row r="883" ht="15.75" customHeight="1">
      <c r="A883" s="39"/>
    </row>
    <row r="884" ht="15.75" customHeight="1">
      <c r="A884" s="39"/>
    </row>
    <row r="885" ht="15.75" customHeight="1">
      <c r="A885" s="39"/>
    </row>
    <row r="886" ht="15.75" customHeight="1">
      <c r="A886" s="39"/>
    </row>
    <row r="887" ht="15.75" customHeight="1">
      <c r="A887" s="39"/>
    </row>
    <row r="888" ht="15.75" customHeight="1">
      <c r="A888" s="39"/>
    </row>
    <row r="889" ht="15.75" customHeight="1">
      <c r="A889" s="39"/>
    </row>
    <row r="890" ht="15.75" customHeight="1">
      <c r="A890" s="39"/>
    </row>
    <row r="891" ht="15.75" customHeight="1">
      <c r="A891" s="39"/>
    </row>
    <row r="892" ht="15.75" customHeight="1">
      <c r="A892" s="39"/>
    </row>
    <row r="893" ht="15.75" customHeight="1">
      <c r="A893" s="39"/>
    </row>
    <row r="894" ht="15.75" customHeight="1">
      <c r="A894" s="39"/>
    </row>
    <row r="895" ht="15.75" customHeight="1">
      <c r="A895" s="39"/>
    </row>
    <row r="896" ht="15.75" customHeight="1">
      <c r="A896" s="39"/>
    </row>
    <row r="897" ht="15.75" customHeight="1">
      <c r="A897" s="39"/>
    </row>
    <row r="898" ht="15.75" customHeight="1">
      <c r="A898" s="39"/>
    </row>
    <row r="899" ht="15.75" customHeight="1">
      <c r="A899" s="39"/>
    </row>
    <row r="900" ht="15.75" customHeight="1">
      <c r="A900" s="39"/>
    </row>
    <row r="901" ht="15.75" customHeight="1">
      <c r="A901" s="39"/>
    </row>
    <row r="902" ht="15.75" customHeight="1">
      <c r="A902" s="39"/>
    </row>
    <row r="903" ht="15.75" customHeight="1">
      <c r="A903" s="39"/>
    </row>
    <row r="904" ht="15.75" customHeight="1">
      <c r="A904" s="39"/>
    </row>
    <row r="905" ht="15.75" customHeight="1">
      <c r="A905" s="39"/>
    </row>
    <row r="906" ht="15.75" customHeight="1">
      <c r="A906" s="39"/>
    </row>
    <row r="907" ht="15.75" customHeight="1">
      <c r="A907" s="39"/>
    </row>
    <row r="908" ht="15.75" customHeight="1">
      <c r="A908" s="39"/>
    </row>
    <row r="909" ht="15.75" customHeight="1">
      <c r="A909" s="39"/>
    </row>
    <row r="910" ht="15.75" customHeight="1">
      <c r="A910" s="39"/>
    </row>
    <row r="911" ht="15.75" customHeight="1">
      <c r="A911" s="39"/>
    </row>
    <row r="912" ht="15.75" customHeight="1">
      <c r="A912" s="39"/>
    </row>
    <row r="913" ht="15.75" customHeight="1">
      <c r="A913" s="39"/>
    </row>
    <row r="914" ht="15.75" customHeight="1">
      <c r="A914" s="39"/>
    </row>
    <row r="915" ht="15.75" customHeight="1">
      <c r="A915" s="39"/>
    </row>
    <row r="916" ht="15.75" customHeight="1">
      <c r="A916" s="39"/>
    </row>
    <row r="917" ht="15.75" customHeight="1">
      <c r="A917" s="39"/>
    </row>
    <row r="918" ht="15.75" customHeight="1">
      <c r="A918" s="39"/>
    </row>
    <row r="919" ht="15.75" customHeight="1">
      <c r="A919" s="39"/>
    </row>
    <row r="920" ht="15.75" customHeight="1">
      <c r="A920" s="39"/>
    </row>
    <row r="921" ht="15.75" customHeight="1">
      <c r="A921" s="39"/>
    </row>
    <row r="922" ht="15.75" customHeight="1">
      <c r="A922" s="39"/>
    </row>
    <row r="923" ht="15.75" customHeight="1">
      <c r="A923" s="39"/>
    </row>
    <row r="924" ht="15.75" customHeight="1">
      <c r="A924" s="39"/>
    </row>
    <row r="925" ht="15.75" customHeight="1">
      <c r="A925" s="39"/>
    </row>
    <row r="926" ht="15.75" customHeight="1">
      <c r="A926" s="39"/>
    </row>
    <row r="927" ht="15.75" customHeight="1">
      <c r="A927" s="39"/>
    </row>
    <row r="928" ht="15.75" customHeight="1">
      <c r="A928" s="39"/>
    </row>
    <row r="929" ht="15.75" customHeight="1">
      <c r="A929" s="39"/>
    </row>
    <row r="930" ht="15.75" customHeight="1">
      <c r="A930" s="39"/>
    </row>
    <row r="931" ht="15.75" customHeight="1">
      <c r="A931" s="39"/>
    </row>
    <row r="932" ht="15.75" customHeight="1">
      <c r="A932" s="39"/>
    </row>
    <row r="933" ht="15.75" customHeight="1">
      <c r="A933" s="39"/>
    </row>
    <row r="934" ht="15.75" customHeight="1">
      <c r="A934" s="39"/>
    </row>
    <row r="935" ht="15.75" customHeight="1">
      <c r="A935" s="39"/>
    </row>
    <row r="936" ht="15.75" customHeight="1">
      <c r="A936" s="39"/>
    </row>
    <row r="937" ht="15.75" customHeight="1">
      <c r="A937" s="39"/>
    </row>
    <row r="938" ht="15.75" customHeight="1">
      <c r="A938" s="39"/>
    </row>
    <row r="939" ht="15.75" customHeight="1">
      <c r="A939" s="39"/>
    </row>
    <row r="940" ht="15.75" customHeight="1">
      <c r="A940" s="39"/>
    </row>
    <row r="941" ht="15.75" customHeight="1">
      <c r="A941" s="39"/>
    </row>
    <row r="942" ht="15.75" customHeight="1">
      <c r="A942" s="39"/>
    </row>
    <row r="943" ht="15.75" customHeight="1">
      <c r="A943" s="39"/>
    </row>
    <row r="944" ht="15.75" customHeight="1">
      <c r="A944" s="39"/>
    </row>
    <row r="945" ht="15.75" customHeight="1">
      <c r="A945" s="39"/>
    </row>
    <row r="946" ht="15.75" customHeight="1">
      <c r="A946" s="39"/>
    </row>
    <row r="947" ht="15.75" customHeight="1">
      <c r="A947" s="39"/>
    </row>
    <row r="948" ht="15.75" customHeight="1">
      <c r="A948" s="39"/>
    </row>
    <row r="949" ht="15.75" customHeight="1">
      <c r="A949" s="39"/>
    </row>
    <row r="950" ht="15.75" customHeight="1">
      <c r="A950" s="39"/>
    </row>
    <row r="951" ht="15.75" customHeight="1">
      <c r="A951" s="39"/>
    </row>
    <row r="952" ht="15.75" customHeight="1">
      <c r="A952" s="39"/>
    </row>
    <row r="953" ht="15.75" customHeight="1">
      <c r="A953" s="39"/>
    </row>
    <row r="954" ht="15.75" customHeight="1">
      <c r="A954" s="39"/>
    </row>
    <row r="955" ht="15.75" customHeight="1">
      <c r="A955" s="39"/>
    </row>
    <row r="956" ht="15.75" customHeight="1">
      <c r="A956" s="39"/>
    </row>
    <row r="957" ht="15.75" customHeight="1">
      <c r="A957" s="39"/>
    </row>
    <row r="958" ht="15.75" customHeight="1">
      <c r="A958" s="39"/>
    </row>
    <row r="959" ht="15.75" customHeight="1">
      <c r="A959" s="39"/>
    </row>
    <row r="960" ht="15.75" customHeight="1">
      <c r="A960" s="39"/>
    </row>
    <row r="961" ht="15.75" customHeight="1">
      <c r="A961" s="39"/>
    </row>
    <row r="962" ht="15.75" customHeight="1">
      <c r="A962" s="39"/>
    </row>
    <row r="963" ht="15.75" customHeight="1">
      <c r="A963" s="39"/>
    </row>
    <row r="964" ht="15.75" customHeight="1">
      <c r="A964" s="39"/>
    </row>
    <row r="965" ht="15.75" customHeight="1">
      <c r="A965" s="39"/>
    </row>
    <row r="966" ht="15.75" customHeight="1">
      <c r="A966" s="39"/>
    </row>
    <row r="967" ht="15.75" customHeight="1">
      <c r="A967" s="39"/>
    </row>
    <row r="968" ht="15.75" customHeight="1">
      <c r="A968" s="39"/>
    </row>
    <row r="969" ht="15.75" customHeight="1">
      <c r="A969" s="39"/>
    </row>
    <row r="970" ht="15.75" customHeight="1">
      <c r="A970" s="39"/>
    </row>
    <row r="971" ht="15.75" customHeight="1">
      <c r="A971" s="39"/>
    </row>
    <row r="972" ht="15.75" customHeight="1">
      <c r="A972" s="39"/>
    </row>
    <row r="973" ht="15.75" customHeight="1">
      <c r="A973" s="39"/>
    </row>
    <row r="974" ht="15.75" customHeight="1">
      <c r="A974" s="39"/>
    </row>
    <row r="975" ht="15.75" customHeight="1">
      <c r="A975" s="39"/>
    </row>
    <row r="976" ht="15.75" customHeight="1">
      <c r="A976" s="39"/>
    </row>
    <row r="977" ht="15.75" customHeight="1">
      <c r="A977" s="39"/>
    </row>
    <row r="978" ht="15.75" customHeight="1">
      <c r="A978" s="39"/>
    </row>
    <row r="979" ht="15.75" customHeight="1">
      <c r="A979" s="39"/>
    </row>
    <row r="980" ht="15.75" customHeight="1">
      <c r="A980" s="39"/>
    </row>
    <row r="981" ht="15.75" customHeight="1">
      <c r="A981" s="39"/>
    </row>
    <row r="982" ht="15.75" customHeight="1">
      <c r="A982" s="39"/>
    </row>
    <row r="983" ht="15.75" customHeight="1">
      <c r="A983" s="39"/>
    </row>
    <row r="984" ht="15.75" customHeight="1">
      <c r="A984" s="39"/>
    </row>
    <row r="985" ht="15.75" customHeight="1">
      <c r="A985" s="39"/>
    </row>
    <row r="986" ht="15.75" customHeight="1">
      <c r="A986" s="39"/>
    </row>
    <row r="987" ht="15.75" customHeight="1">
      <c r="A987" s="39"/>
    </row>
    <row r="988" ht="15.75" customHeight="1">
      <c r="A988" s="39"/>
    </row>
    <row r="989" ht="15.75" customHeight="1">
      <c r="A989" s="39"/>
    </row>
    <row r="990" ht="15.75" customHeight="1">
      <c r="A990" s="39"/>
    </row>
    <row r="991" ht="15.75" customHeight="1">
      <c r="A991" s="39"/>
    </row>
    <row r="992" ht="15.75" customHeight="1">
      <c r="A992" s="39"/>
    </row>
    <row r="993" ht="15.75" customHeight="1">
      <c r="A993" s="39"/>
    </row>
    <row r="994" ht="15.75" customHeight="1">
      <c r="A994" s="39"/>
    </row>
    <row r="995" ht="15.75" customHeight="1">
      <c r="A995" s="39"/>
    </row>
    <row r="996" ht="15.75" customHeight="1">
      <c r="A996" s="39"/>
    </row>
    <row r="997" ht="15.75" customHeight="1">
      <c r="A997" s="39"/>
    </row>
    <row r="998" ht="15.75" customHeight="1">
      <c r="A998" s="39"/>
    </row>
    <row r="999" ht="15.75" customHeight="1">
      <c r="A999" s="39"/>
    </row>
    <row r="1000" ht="15.75" customHeight="1">
      <c r="A1000" s="39"/>
    </row>
  </sheetData>
  <mergeCells count="3">
    <mergeCell ref="E2:F2"/>
    <mergeCell ref="G2:I2"/>
    <mergeCell ref="J2:O2"/>
  </mergeCells>
  <printOptions/>
  <pageMargins bottom="0.75" footer="0.0" header="0.0" left="0.699305555555556" right="0.699305555555556"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4">
        <f>IFERROR(__xludf.DUMMYFUNCTION("{ QUERY({ 'Copy of TCF-WebNLG'!A54:O103 }, ""SELECT * LIMIT 50"",0)}"),83.0)</f>
        <v>83</v>
      </c>
      <c r="B1" s="99" t="str">
        <f>IFERROR(__xludf.DUMMYFUNCTION("""COMPUTED_VALUE"""),"asterix was created by rené goscinny and albert uderzo, the former being a french national.")</f>
        <v>asterix was created by rené goscinny and albert uderzo, the former being a french national.</v>
      </c>
      <c r="C1" s="99" t="str">
        <f>IFERROR(__xludf.DUMMYFUNCTION("""COMPUTED_VALUE"""),"Asterix_(comicsCharacter)|creator|René_Goscinny ++ René_Goscinny|nationality|French_people ++ Asterix_(comicsCharacter)|creator|Albert_Uderzo")</f>
        <v>Asterix_(comicsCharacter)|creator|René_Goscinny ++ René_Goscinny|nationality|French_people ++ Asterix_(comicsCharacter)|creator|Albert_Uderzo</v>
      </c>
      <c r="D1" s="99" t="str">
        <f>IFERROR(__xludf.DUMMYFUNCTION("""COMPUTED_VALUE"""),"0.167")</f>
        <v>0.167</v>
      </c>
      <c r="E1" s="99" t="str">
        <f>IFERROR(__xludf.DUMMYFUNCTION("""COMPUTED_VALUE"""),"not OK")</f>
        <v>not OK</v>
      </c>
      <c r="F1" s="99" t="str">
        <f>IFERROR(__xludf.DUMMYFUNCTION("""COMPUTED_VALUE"""),"omission")</f>
        <v>omission</v>
      </c>
      <c r="G1" s="99"/>
      <c r="H1" s="99"/>
      <c r="I1" s="99" t="str">
        <f>IFERROR(__xludf.DUMMYFUNCTION("""COMPUTED_VALUE"""),"x")</f>
        <v>x</v>
      </c>
      <c r="J1" s="99"/>
      <c r="K1" s="99"/>
      <c r="L1" s="99"/>
      <c r="M1" s="99"/>
      <c r="N1" s="99"/>
      <c r="O1" s="99" t="str">
        <f>IFERROR(__xludf.DUMMYFUNCTION("""COMPUTED_VALUE"""),"ok")</f>
        <v>ok</v>
      </c>
    </row>
    <row r="2">
      <c r="A2" s="99">
        <f>IFERROR(__xludf.DUMMYFUNCTION("""COMPUTED_VALUE"""),100.0)</f>
        <v>100</v>
      </c>
      <c r="B2" s="99" t="str">
        <f>IFERROR(__xludf.DUMMYFUNCTION("""COMPUTED_VALUE"""),"levan khomeriki manages fc dinamo batumi and plays for aleksandre guruli.")</f>
        <v>levan khomeriki manages fc dinamo batumi and plays for aleksandre guruli.</v>
      </c>
      <c r="C2" s="99" t="str">
        <f>IFERROR(__xludf.DUMMYFUNCTION("""COMPUTED_VALUE"""),"FC_Dinamo_Batumi|manager|Levan_Khomeriki ++ Aleksandre_Guruli|club|FC_Dinamo_Batumi")</f>
        <v>FC_Dinamo_Batumi|manager|Levan_Khomeriki ++ Aleksandre_Guruli|club|FC_Dinamo_Batumi</v>
      </c>
      <c r="D2" s="99" t="str">
        <f>IFERROR(__xludf.DUMMYFUNCTION("""COMPUTED_VALUE"""),"0.714")</f>
        <v>0.714</v>
      </c>
      <c r="E2" s="99" t="str">
        <f>IFERROR(__xludf.DUMMYFUNCTION("""COMPUTED_VALUE"""),"not OK")</f>
        <v>not OK</v>
      </c>
      <c r="F2" s="99" t="str">
        <f>IFERROR(__xludf.DUMMYFUNCTION("""COMPUTED_VALUE"""),"OK")</f>
        <v>OK</v>
      </c>
      <c r="G2" s="99"/>
      <c r="H2" s="99" t="str">
        <f>IFERROR(__xludf.DUMMYFUNCTION("""COMPUTED_VALUE"""),"x")</f>
        <v>x</v>
      </c>
      <c r="I2" s="99"/>
      <c r="J2" s="99"/>
      <c r="K2" s="99"/>
      <c r="L2" s="99"/>
      <c r="M2" s="99"/>
      <c r="N2" s="99"/>
      <c r="O2" s="99"/>
    </row>
    <row r="3">
      <c r="A3" s="99">
        <f>IFERROR(__xludf.DUMMYFUNCTION("""COMPUTED_VALUE"""),18.0)</f>
        <v>18</v>
      </c>
      <c r="B3" s="99" t="str">
        <f>IFERROR(__xludf.DUMMYFUNCTION("""COMPUTED_VALUE"""),"asterix was created by albert uderzo and rene goscinny who is a french national .")</f>
        <v>asterix was created by albert uderzo and rene goscinny who is a french national .</v>
      </c>
      <c r="C3" s="99" t="str">
        <f>IFERROR(__xludf.DUMMYFUNCTION("""COMPUTED_VALUE"""),"Asterix_(comicsCharacter)|creator|René_Goscinny ++ René_Goscinny|nationality|French_people ++ Asterix_(comicsCharacter)|creator|Albert_Uderzo")</f>
        <v>Asterix_(comicsCharacter)|creator|René_Goscinny ++ René_Goscinny|nationality|French_people ++ Asterix_(comicsCharacter)|creator|Albert_Uderzo</v>
      </c>
      <c r="D3" s="99" t="str">
        <f>IFERROR(__xludf.DUMMYFUNCTION("""COMPUTED_VALUE"""),"0.140")</f>
        <v>0.140</v>
      </c>
      <c r="E3" s="99" t="str">
        <f>IFERROR(__xludf.DUMMYFUNCTION("""COMPUTED_VALUE"""),"OK")</f>
        <v>OK</v>
      </c>
      <c r="F3" s="99" t="str">
        <f>IFERROR(__xludf.DUMMYFUNCTION("""COMPUTED_VALUE"""),"omission")</f>
        <v>omission</v>
      </c>
      <c r="G3" s="99" t="str">
        <f>IFERROR(__xludf.DUMMYFUNCTION("""COMPUTED_VALUE"""),"x")</f>
        <v>x</v>
      </c>
      <c r="H3" s="99"/>
      <c r="I3" s="99"/>
      <c r="J3" s="99"/>
      <c r="K3" s="99"/>
      <c r="L3" s="99"/>
      <c r="M3" s="99"/>
      <c r="N3" s="99"/>
      <c r="O3" s="99"/>
    </row>
    <row r="4">
      <c r="A4" s="99">
        <f>IFERROR(__xludf.DUMMYFUNCTION("""COMPUTED_VALUE"""),99.0)</f>
        <v>99</v>
      </c>
      <c r="B4" s="99" t="str">
        <f>IFERROR(__xludf.DUMMYFUNCTION("""COMPUTED_VALUE"""),"baku is the capital of azerbaijan where the leader is artur rasizade and the capital city is baku. the country is the location of the baku turkish martyrs memorial which is dedicated to the ottoman army soldiers killed in the battle of baku.")</f>
        <v>baku is the capital of azerbaijan where the leader is artur rasizade and the capital city is baku. the country is the location of the baku turkish martyrs memorial which is dedicated to the ottoman army soldiers killed in the battle of baku.</v>
      </c>
      <c r="C4" s="99" t="str">
        <f>IFERROR(__xludf.DUMMYFUNCTION("""COMPUTED_VALUE"""),"Azerbaijan|capital|Baku ++ Azerbaijan|leaderTitle|Prime_Minister_of_Azerbaijan ++ Baku_Turkish_Martyrs'_Memorial|dedicatedTo|""Ottoman Army soldiers killed in the Battle of Baku"" ++ Baku_Turkish_Martyrs'_Memorial|location|Azerbaijan ++ Azerbaijan|leaderN"&amp;"ame|Artur_Rasizade")</f>
        <v>Azerbaijan|capital|Baku ++ Azerbaijan|leaderTitle|Prime_Minister_of_Azerbaijan ++ Baku_Turkish_Martyrs'_Memorial|dedicatedTo|"Ottoman Army soldiers killed in the Battle of Baku" ++ Baku_Turkish_Martyrs'_Memorial|location|Azerbaijan ++ Azerbaijan|leaderName|Artur_Rasizade</v>
      </c>
      <c r="D4" s="99" t="str">
        <f>IFERROR(__xludf.DUMMYFUNCTION("""COMPUTED_VALUE"""),"0.161")</f>
        <v>0.161</v>
      </c>
      <c r="E4" s="99" t="str">
        <f>IFERROR(__xludf.DUMMYFUNCTION("""COMPUTED_VALUE"""),"OK")</f>
        <v>OK</v>
      </c>
      <c r="F4" s="99" t="str">
        <f>IFERROR(__xludf.DUMMYFUNCTION("""COMPUTED_VALUE"""),"omission")</f>
        <v>omission</v>
      </c>
      <c r="G4" s="99" t="str">
        <f>IFERROR(__xludf.DUMMYFUNCTION("""COMPUTED_VALUE"""),"x")</f>
        <v>x</v>
      </c>
      <c r="H4" s="99"/>
      <c r="I4" s="99"/>
      <c r="J4" s="99"/>
      <c r="K4" s="99"/>
      <c r="L4" s="99"/>
      <c r="M4" s="99"/>
      <c r="N4" s="99"/>
      <c r="O4" s="99"/>
    </row>
    <row r="5">
      <c r="A5" s="99">
        <f>IFERROR(__xludf.DUMMYFUNCTION("""COMPUTED_VALUE"""),1.0)</f>
        <v>1</v>
      </c>
      <c r="B5" s="99" t="str">
        <f>IFERROR(__xludf.DUMMYFUNCTION("""COMPUTED_VALUE"""),"aenir is written in english.")</f>
        <v>aenir is written in english.</v>
      </c>
      <c r="C5" s="99" t="str">
        <f>IFERROR(__xludf.DUMMYFUNCTION("""COMPUTED_VALUE"""),"Aenir|language|English_language")</f>
        <v>Aenir|language|English_language</v>
      </c>
      <c r="D5" s="99" t="str">
        <f>IFERROR(__xludf.DUMMYFUNCTION("""COMPUTED_VALUE"""),"0.125")</f>
        <v>0.125</v>
      </c>
      <c r="E5" s="99" t="str">
        <f>IFERROR(__xludf.DUMMYFUNCTION("""COMPUTED_VALUE"""),"OK")</f>
        <v>OK</v>
      </c>
      <c r="F5" s="99" t="str">
        <f>IFERROR(__xludf.DUMMYFUNCTION("""COMPUTED_VALUE"""),"hallucination")</f>
        <v>hallucination</v>
      </c>
      <c r="G5" s="99" t="str">
        <f>IFERROR(__xludf.DUMMYFUNCTION("""COMPUTED_VALUE"""),"x")</f>
        <v>x</v>
      </c>
      <c r="H5" s="99"/>
      <c r="I5" s="99"/>
      <c r="J5" s="99"/>
      <c r="K5" s="99"/>
      <c r="L5" s="99"/>
      <c r="M5" s="99"/>
      <c r="N5" s="99"/>
      <c r="O5" s="99"/>
    </row>
    <row r="6">
      <c r="A6" s="99">
        <f>IFERROR(__xludf.DUMMYFUNCTION("""COMPUTED_VALUE"""),28.0)</f>
        <v>28</v>
      </c>
      <c r="B6" s="99" t="str">
        <f>IFERROR(__xludf.DUMMYFUNCTION("""COMPUTED_VALUE"""),"california is well known for the benitoite gemstone.")</f>
        <v>california is well known for the benitoite gemstone.</v>
      </c>
      <c r="C6" s="99" t="str">
        <f>IFERROR(__xludf.DUMMYFUNCTION("""COMPUTED_VALUE"""),"California|gemstone|Benitoite")</f>
        <v>California|gemstone|Benitoite</v>
      </c>
      <c r="D6" s="99" t="str">
        <f>IFERROR(__xludf.DUMMYFUNCTION("""COMPUTED_VALUE"""),"0.229")</f>
        <v>0.229</v>
      </c>
      <c r="E6" s="99" t="str">
        <f>IFERROR(__xludf.DUMMYFUNCTION("""COMPUTED_VALUE"""),"OK")</f>
        <v>OK</v>
      </c>
      <c r="F6" s="99" t="str">
        <f>IFERROR(__xludf.DUMMYFUNCTION("""COMPUTED_VALUE"""),"hallucination")</f>
        <v>hallucination</v>
      </c>
      <c r="G6" s="99" t="str">
        <f>IFERROR(__xludf.DUMMYFUNCTION("""COMPUTED_VALUE"""),"x")</f>
        <v>x</v>
      </c>
      <c r="H6" s="99"/>
      <c r="I6" s="99"/>
      <c r="J6" s="99"/>
      <c r="K6" s="99"/>
      <c r="L6" s="99"/>
      <c r="M6" s="99"/>
      <c r="N6" s="99"/>
      <c r="O6" s="99"/>
    </row>
    <row r="7">
      <c r="A7" s="99">
        <f>IFERROR(__xludf.DUMMYFUNCTION("""COMPUTED_VALUE"""),26.0)</f>
        <v>26</v>
      </c>
      <c r="B7" s="99" t="str">
        <f>IFERROR(__xludf.DUMMYFUNCTION("""COMPUTED_VALUE"""),"john van den brom is manager of az alkmaar and is affiliated with jong ajax. he is currently at the i ̇ stanbulspor a. ş. club.")</f>
        <v>john van den brom is manager of az alkmaar and is affiliated with jong ajax. he is currently at the i ̇ stanbulspor a. ş. club.</v>
      </c>
      <c r="C7" s="99" t="str">
        <f>IFERROR(__xludf.DUMMYFUNCTION("""COMPUTED_VALUE"""),"AZ_Alkmaar|manager|John_van_den_Brom ++ John_van_den_Brom|club|Jong_Ajax ++ John_van_den_Brom|club|İstanbulspor_A.Ş.")</f>
        <v>AZ_Alkmaar|manager|John_van_den_Brom ++ John_van_den_Brom|club|Jong_Ajax ++ John_van_den_Brom|club|İstanbulspor_A.Ş.</v>
      </c>
      <c r="D7" s="99" t="str">
        <f>IFERROR(__xludf.DUMMYFUNCTION("""COMPUTED_VALUE"""),"0.070")</f>
        <v>0.070</v>
      </c>
      <c r="E7" s="99" t="str">
        <f>IFERROR(__xludf.DUMMYFUNCTION("""COMPUTED_VALUE"""),"OK")</f>
        <v>OK</v>
      </c>
      <c r="F7" s="99" t="str">
        <f>IFERROR(__xludf.DUMMYFUNCTION("""COMPUTED_VALUE"""),"omission")</f>
        <v>omission</v>
      </c>
      <c r="G7" s="99" t="str">
        <f>IFERROR(__xludf.DUMMYFUNCTION("""COMPUTED_VALUE"""),"x")</f>
        <v>x</v>
      </c>
      <c r="H7" s="99"/>
      <c r="I7" s="99"/>
      <c r="J7" s="99"/>
      <c r="K7" s="99"/>
      <c r="L7" s="99"/>
      <c r="M7" s="99"/>
      <c r="N7" s="99"/>
      <c r="O7" s="99"/>
    </row>
    <row r="8">
      <c r="A8" s="99">
        <f>IFERROR(__xludf.DUMMYFUNCTION("""COMPUTED_VALUE"""),63.0)</f>
        <v>63</v>
      </c>
      <c r="B8" s="99" t="str">
        <f>IFERROR(__xludf.DUMMYFUNCTION("""COMPUTED_VALUE"""),"a severed wasp ( from the united states ) is written in english , which is the language spoken in great britain .")</f>
        <v>a severed wasp ( from the united states ) is written in english , which is the language spoken in great britain .</v>
      </c>
      <c r="C8" s="99" t="str">
        <f>IFERROR(__xludf.DUMMYFUNCTION("""COMPUTED_VALUE"""),"A_Severed_Wasp|language|English_language ++ English_language|spokenIn|Great_Britain ++ A_Severed_Wasp|country|United_States")</f>
        <v>A_Severed_Wasp|language|English_language ++ English_language|spokenIn|Great_Britain ++ A_Severed_Wasp|country|United_States</v>
      </c>
      <c r="D8" s="99" t="str">
        <f>IFERROR(__xludf.DUMMYFUNCTION("""COMPUTED_VALUE"""),"0.413")</f>
        <v>0.413</v>
      </c>
      <c r="E8" s="99" t="str">
        <f>IFERROR(__xludf.DUMMYFUNCTION("""COMPUTED_VALUE"""),"OK")</f>
        <v>OK</v>
      </c>
      <c r="F8" s="99" t="str">
        <f>IFERROR(__xludf.DUMMYFUNCTION("""COMPUTED_VALUE"""),"hallucination")</f>
        <v>hallucination</v>
      </c>
      <c r="G8" s="99" t="str">
        <f>IFERROR(__xludf.DUMMYFUNCTION("""COMPUTED_VALUE"""),"x")</f>
        <v>x</v>
      </c>
      <c r="H8" s="99"/>
      <c r="I8" s="99"/>
      <c r="J8" s="99"/>
      <c r="K8" s="99"/>
      <c r="L8" s="99"/>
      <c r="M8" s="99"/>
      <c r="N8" s="99"/>
      <c r="O8" s="99"/>
    </row>
    <row r="9">
      <c r="A9" s="99">
        <f>IFERROR(__xludf.DUMMYFUNCTION("""COMPUTED_VALUE"""),65.0)</f>
        <v>65</v>
      </c>
      <c r="B9" s="99" t="str">
        <f>IFERROR(__xludf.DUMMYFUNCTION("""COMPUTED_VALUE"""),"marriott international is the tenant of ac hotel bella sky and is located in copenhagen .")</f>
        <v>marriott international is the tenant of ac hotel bella sky and is located in copenhagen .</v>
      </c>
      <c r="C9" s="99" t="str">
        <f>IFERROR(__xludf.DUMMYFUNCTION("""COMPUTED_VALUE"""),"AC_Hotel_Bella_Sky_Copenhagen|tenant|Marriott_International ++ AC_Hotel_Bella_Sky_Copenhagen|location|Copenhagen")</f>
        <v>AC_Hotel_Bella_Sky_Copenhagen|tenant|Marriott_International ++ AC_Hotel_Bella_Sky_Copenhagen|location|Copenhagen</v>
      </c>
      <c r="D9" s="99" t="str">
        <f>IFERROR(__xludf.DUMMYFUNCTION("""COMPUTED_VALUE"""),"0.003")</f>
        <v>0.003</v>
      </c>
      <c r="E9" s="99" t="str">
        <f>IFERROR(__xludf.DUMMYFUNCTION("""COMPUTED_VALUE"""),"OK")</f>
        <v>OK</v>
      </c>
      <c r="F9" s="99" t="str">
        <f>IFERROR(__xludf.DUMMYFUNCTION("""COMPUTED_VALUE"""),"hallucination+omission")</f>
        <v>hallucination+omission</v>
      </c>
      <c r="G9" s="99" t="str">
        <f>IFERROR(__xludf.DUMMYFUNCTION("""COMPUTED_VALUE"""),"x")</f>
        <v>x</v>
      </c>
      <c r="H9" s="99"/>
      <c r="I9" s="99"/>
      <c r="J9" s="99"/>
      <c r="K9" s="99"/>
      <c r="L9" s="99"/>
      <c r="M9" s="99"/>
      <c r="N9" s="99"/>
      <c r="O9" s="99"/>
    </row>
    <row r="10">
      <c r="A10" s="99">
        <f>IFERROR(__xludf.DUMMYFUNCTION("""COMPUTED_VALUE"""),50.0)</f>
        <v>50</v>
      </c>
      <c r="B10" s="99" t="str">
        <f>IFERROR(__xludf.DUMMYFUNCTION("""COMPUTED_VALUE"""),"the comic character blockbuster , aka mark desmond , was created by gardner fox and carmine infantino .")</f>
        <v>the comic character blockbuster , aka mark desmond , was created by gardner fox and carmine infantino .</v>
      </c>
      <c r="C10" s="99" t="str">
        <f>IFERROR(__xludf.DUMMYFUNCTION("""COMPUTED_VALUE"""),"Blockbuster_(comicsCharacter)|creator|Gardner_Fox ++ Blockbuster_(comicsCharacter)|alternativeName|""Mark Desmond"" ++ Blockbuster_(comicsCharacter)|creator|Carmine_Infantino")</f>
        <v>Blockbuster_(comicsCharacter)|creator|Gardner_Fox ++ Blockbuster_(comicsCharacter)|alternativeName|"Mark Desmond" ++ Blockbuster_(comicsCharacter)|creator|Carmine_Infantino</v>
      </c>
      <c r="D10" s="99" t="str">
        <f>IFERROR(__xludf.DUMMYFUNCTION("""COMPUTED_VALUE"""),"0.317")</f>
        <v>0.317</v>
      </c>
      <c r="E10" s="99" t="str">
        <f>IFERROR(__xludf.DUMMYFUNCTION("""COMPUTED_VALUE"""),"OK")</f>
        <v>OK</v>
      </c>
      <c r="F10" s="99" t="str">
        <f>IFERROR(__xludf.DUMMYFUNCTION("""COMPUTED_VALUE"""),"omission")</f>
        <v>omission</v>
      </c>
      <c r="G10" s="99" t="str">
        <f>IFERROR(__xludf.DUMMYFUNCTION("""COMPUTED_VALUE"""),"x")</f>
        <v>x</v>
      </c>
      <c r="H10" s="99"/>
      <c r="I10" s="99"/>
      <c r="J10" s="99"/>
      <c r="K10" s="99"/>
      <c r="L10" s="99"/>
      <c r="M10" s="99"/>
      <c r="N10" s="99"/>
      <c r="O10" s="99"/>
    </row>
    <row r="11">
      <c r="A11" s="99">
        <f>IFERROR(__xludf.DUMMYFUNCTION("""COMPUTED_VALUE"""),35.0)</f>
        <v>35</v>
      </c>
      <c r="B11" s="99" t="str">
        <f>IFERROR(__xludf.DUMMYFUNCTION("""COMPUTED_VALUE"""),"guiana space centre is headquartered in french guiana. arianespace is located in courcouronnes. ela-3 is operated by arianespace.")</f>
        <v>guiana space centre is headquartered in french guiana. arianespace is located in courcouronnes. ela-3 is operated by arianespace.</v>
      </c>
      <c r="C11" s="99" t="str">
        <f>IFERROR(__xludf.DUMMYFUNCTION("""COMPUTED_VALUE"""),"Arianespace|locationCity|Courcouronnes ++ Guiana_Space_Centre|headquarter|French_Guiana ++ ELA-3|site|Guiana_Space_Centre ++ Ariane_5|launchSite|ELA-3 ++ ELA-3|operator|Arianespace")</f>
        <v>Arianespace|locationCity|Courcouronnes ++ Guiana_Space_Centre|headquarter|French_Guiana ++ ELA-3|site|Guiana_Space_Centre ++ Ariane_5|launchSite|ELA-3 ++ ELA-3|operator|Arianespace</v>
      </c>
      <c r="D11" s="99" t="str">
        <f>IFERROR(__xludf.DUMMYFUNCTION("""COMPUTED_VALUE"""),"0.068")</f>
        <v>0.068</v>
      </c>
      <c r="E11" s="99" t="str">
        <f>IFERROR(__xludf.DUMMYFUNCTION("""COMPUTED_VALUE"""),"OK")</f>
        <v>OK</v>
      </c>
      <c r="F11" s="99" t="str">
        <f>IFERROR(__xludf.DUMMYFUNCTION("""COMPUTED_VALUE"""),"omission")</f>
        <v>omission</v>
      </c>
      <c r="G11" s="99"/>
      <c r="H11" s="99" t="str">
        <f>IFERROR(__xludf.DUMMYFUNCTION("""COMPUTED_VALUE"""),"x")</f>
        <v>x</v>
      </c>
      <c r="I11" s="99"/>
      <c r="J11" s="99"/>
      <c r="K11" s="99"/>
      <c r="L11" s="99"/>
      <c r="M11" s="99"/>
      <c r="N11" s="99"/>
      <c r="O11" s="99"/>
    </row>
    <row r="12">
      <c r="A12" s="99">
        <f>IFERROR(__xludf.DUMMYFUNCTION("""COMPUTED_VALUE"""),53.0)</f>
        <v>53</v>
      </c>
      <c r="B12" s="99" t="str">
        <f>IFERROR(__xludf.DUMMYFUNCTION("""COMPUTED_VALUE"""),"akita museum of art is located in akita, akita, japan, at the following addres : 142 nakadori. akita museum of art are three floors at akita prefecture.")</f>
        <v>akita museum of art is located in akita, akita, japan, at the following addres : 142 nakadori. akita museum of art are three floors at akita prefecture.</v>
      </c>
      <c r="C12" s="99" t="str">
        <f>IFERROR(__xludf.DUMMYFUNCTION("""COMPUTED_VALUE"""),"Akita_Museum_of_Art|country|Japan ++ Akita_Museum_of_Art|floorCount|3 ++ Akita_Museum_of_Art|location|Akita,_Akita ++ Akita_Museum_of_Art|location|Akita_Prefecture ++ Akita_Museum_of_Art|address|""1-4-2 Nakadori""")</f>
        <v>Akita_Museum_of_Art|country|Japan ++ Akita_Museum_of_Art|floorCount|3 ++ Akita_Museum_of_Art|location|Akita,_Akita ++ Akita_Museum_of_Art|location|Akita_Prefecture ++ Akita_Museum_of_Art|address|"1-4-2 Nakadori"</v>
      </c>
      <c r="D12" s="99" t="str">
        <f>IFERROR(__xludf.DUMMYFUNCTION("""COMPUTED_VALUE"""),"0.013")</f>
        <v>0.013</v>
      </c>
      <c r="E12" s="99" t="str">
        <f>IFERROR(__xludf.DUMMYFUNCTION("""COMPUTED_VALUE"""),"OK")</f>
        <v>OK</v>
      </c>
      <c r="F12" s="99" t="str">
        <f>IFERROR(__xludf.DUMMYFUNCTION("""COMPUTED_VALUE"""),"omission")</f>
        <v>omission</v>
      </c>
      <c r="G12" s="99" t="str">
        <f>IFERROR(__xludf.DUMMYFUNCTION("""COMPUTED_VALUE"""),"x")</f>
        <v>x</v>
      </c>
      <c r="H12" s="99"/>
      <c r="I12" s="99"/>
      <c r="J12" s="99"/>
      <c r="K12" s="99"/>
      <c r="L12" s="99"/>
      <c r="M12" s="99"/>
      <c r="N12" s="99"/>
      <c r="O12" s="99"/>
    </row>
    <row r="13">
      <c r="A13" s="99">
        <f>IFERROR(__xludf.DUMMYFUNCTION("""COMPUTED_VALUE"""),66.0)</f>
        <v>66</v>
      </c>
      <c r="B13" s="99" t="str">
        <f>IFERROR(__xludf.DUMMYFUNCTION("""COMPUTED_VALUE"""),"binignit is dessert which contains sago. cookies is dessert.")</f>
        <v>binignit is dessert which contains sago. cookies is dessert.</v>
      </c>
      <c r="C13" s="99" t="str">
        <f>IFERROR(__xludf.DUMMYFUNCTION("""COMPUTED_VALUE"""),"Binignit|ingredient|Sago ++ Binignit|course|Dessert ++ Dessert|dishVariation|Cookie")</f>
        <v>Binignit|ingredient|Sago ++ Binignit|course|Dessert ++ Dessert|dishVariation|Cookie</v>
      </c>
      <c r="D13" s="99" t="str">
        <f>IFERROR(__xludf.DUMMYFUNCTION("""COMPUTED_VALUE"""),"0.271")</f>
        <v>0.271</v>
      </c>
      <c r="E13" s="99" t="str">
        <f>IFERROR(__xludf.DUMMYFUNCTION("""COMPUTED_VALUE"""),"OK")</f>
        <v>OK</v>
      </c>
      <c r="F13" s="99" t="str">
        <f>IFERROR(__xludf.DUMMYFUNCTION("""COMPUTED_VALUE"""),"omission")</f>
        <v>omission</v>
      </c>
      <c r="G13" s="99" t="str">
        <f>IFERROR(__xludf.DUMMYFUNCTION("""COMPUTED_VALUE"""),"x")</f>
        <v>x</v>
      </c>
      <c r="H13" s="99"/>
      <c r="I13" s="99"/>
      <c r="J13" s="99"/>
      <c r="K13" s="99"/>
      <c r="L13" s="99"/>
      <c r="M13" s="99"/>
      <c r="N13" s="99"/>
      <c r="O13" s="99"/>
    </row>
    <row r="14">
      <c r="A14" s="99">
        <f>IFERROR(__xludf.DUMMYFUNCTION("""COMPUTED_VALUE"""),69.0)</f>
        <v>69</v>
      </c>
      <c r="B14" s="99" t="str">
        <f>IFERROR(__xludf.DUMMYFUNCTION("""COMPUTED_VALUE"""),"gardner fox created the character blockbuster, which is also known as mark desmond. carmine infantino created it.")</f>
        <v>gardner fox created the character blockbuster, which is also known as mark desmond. carmine infantino created it.</v>
      </c>
      <c r="C14" s="99" t="str">
        <f>IFERROR(__xludf.DUMMYFUNCTION("""COMPUTED_VALUE"""),"Blockbuster_(comicsCharacter)|creator|Gardner_Fox ++ Blockbuster_(comicsCharacter)|alternativeName|""Mark Desmond"" ++ Blockbuster_(comicsCharacter)|creator|Carmine_Infantino")</f>
        <v>Blockbuster_(comicsCharacter)|creator|Gardner_Fox ++ Blockbuster_(comicsCharacter)|alternativeName|"Mark Desmond" ++ Blockbuster_(comicsCharacter)|creator|Carmine_Infantino</v>
      </c>
      <c r="D14" s="99" t="str">
        <f>IFERROR(__xludf.DUMMYFUNCTION("""COMPUTED_VALUE"""),"0.468")</f>
        <v>0.468</v>
      </c>
      <c r="E14" s="99" t="str">
        <f>IFERROR(__xludf.DUMMYFUNCTION("""COMPUTED_VALUE"""),"OK")</f>
        <v>OK</v>
      </c>
      <c r="F14" s="99" t="str">
        <f>IFERROR(__xludf.DUMMYFUNCTION("""COMPUTED_VALUE"""),"hallucination")</f>
        <v>hallucination</v>
      </c>
      <c r="G14" s="99" t="str">
        <f>IFERROR(__xludf.DUMMYFUNCTION("""COMPUTED_VALUE"""),"x")</f>
        <v>x</v>
      </c>
      <c r="H14" s="99"/>
      <c r="I14" s="99"/>
      <c r="J14" s="99"/>
      <c r="K14" s="99"/>
      <c r="L14" s="99"/>
      <c r="M14" s="99"/>
      <c r="N14" s="99"/>
      <c r="O14" s="99"/>
    </row>
    <row r="15">
      <c r="A15" s="99">
        <f>IFERROR(__xludf.DUMMYFUNCTION("""COMPUTED_VALUE"""),75.0)</f>
        <v>75</v>
      </c>
      <c r="B15" s="99" t="str">
        <f>IFERROR(__xludf.DUMMYFUNCTION("""COMPUTED_VALUE"""),"tomato is an ingredient of amatriciana sauce which is a member of the solanaceae family. tomato is a fruit of solanales.")</f>
        <v>tomato is an ingredient of amatriciana sauce which is a member of the solanaceae family. tomato is a fruit of solanales.</v>
      </c>
      <c r="C15" s="99" t="str">
        <f>IFERROR(__xludf.DUMMYFUNCTION("""COMPUTED_VALUE"""),"Tomato|family|Solanaceae ++ Amatriciana_sauce|ingredient|Tomato ++ Tomato|order|Solanales")</f>
        <v>Tomato|family|Solanaceae ++ Amatriciana_sauce|ingredient|Tomato ++ Tomato|order|Solanales</v>
      </c>
      <c r="D15" s="99" t="str">
        <f>IFERROR(__xludf.DUMMYFUNCTION("""COMPUTED_VALUE"""),"0.825")</f>
        <v>0.825</v>
      </c>
      <c r="E15" s="99" t="str">
        <f>IFERROR(__xludf.DUMMYFUNCTION("""COMPUTED_VALUE"""),"not OK")</f>
        <v>not OK</v>
      </c>
      <c r="F15" s="99" t="str">
        <f>IFERROR(__xludf.DUMMYFUNCTION("""COMPUTED_VALUE"""),"OK")</f>
        <v>OK</v>
      </c>
      <c r="G15" s="99" t="str">
        <f>IFERROR(__xludf.DUMMYFUNCTION("""COMPUTED_VALUE"""),"x")</f>
        <v>x</v>
      </c>
      <c r="H15" s="99"/>
      <c r="I15" s="99"/>
      <c r="J15" s="99"/>
      <c r="K15" s="99"/>
      <c r="L15" s="99" t="str">
        <f>IFERROR(__xludf.DUMMYFUNCTION("""COMPUTED_VALUE"""),"x")</f>
        <v>x</v>
      </c>
      <c r="M15" s="99"/>
      <c r="N15" s="99"/>
      <c r="O15" s="99"/>
    </row>
    <row r="16">
      <c r="A16" s="99">
        <f>IFERROR(__xludf.DUMMYFUNCTION("""COMPUTED_VALUE"""),58.0)</f>
        <v>58</v>
      </c>
      <c r="B16" s="99" t="str">
        <f>IFERROR(__xludf.DUMMYFUNCTION("""COMPUTED_VALUE"""),"ajoblanco is a spanish dish that originates andalusia , where the leader is susana diaz . felipe vi is the leader of spain , where the people that live there are called spaniards .")</f>
        <v>ajoblanco is a spanish dish that originates andalusia , where the leader is susana diaz . felipe vi is the leader of spain , where the people that live there are called spaniards .</v>
      </c>
      <c r="C16" s="99" t="str">
        <f>IFERROR(__xludf.DUMMYFUNCTION("""COMPUTED_VALUE"""),"Spain|leaderName|Felipe_VI_of_Spain ++ Ajoblanco|region|Andalusia ++ Andalusia|leaderName|Susana_Díaz ++ Ajoblanco|country|Spain ++ Spain|demonym|Spaniards")</f>
        <v>Spain|leaderName|Felipe_VI_of_Spain ++ Ajoblanco|region|Andalusia ++ Andalusia|leaderName|Susana_Díaz ++ Ajoblanco|country|Spain ++ Spain|demonym|Spaniards</v>
      </c>
      <c r="D16" s="99" t="str">
        <f>IFERROR(__xludf.DUMMYFUNCTION("""COMPUTED_VALUE"""),"0.524")</f>
        <v>0.524</v>
      </c>
      <c r="E16" s="99" t="str">
        <f>IFERROR(__xludf.DUMMYFUNCTION("""COMPUTED_VALUE"""),"not OK")</f>
        <v>not OK</v>
      </c>
      <c r="F16" s="99" t="str">
        <f>IFERROR(__xludf.DUMMYFUNCTION("""COMPUTED_VALUE"""),"OK")</f>
        <v>OK</v>
      </c>
      <c r="G16" s="99"/>
      <c r="H16" s="99" t="str">
        <f>IFERROR(__xludf.DUMMYFUNCTION("""COMPUTED_VALUE"""),"x")</f>
        <v>x</v>
      </c>
      <c r="I16" s="99"/>
      <c r="J16" s="99"/>
      <c r="K16" s="99"/>
      <c r="L16" s="99"/>
      <c r="M16" s="99"/>
      <c r="N16" s="99"/>
      <c r="O16" s="99"/>
    </row>
    <row r="17">
      <c r="A17" s="99">
        <f>IFERROR(__xludf.DUMMYFUNCTION("""COMPUTED_VALUE"""),12.0)</f>
        <v>12</v>
      </c>
      <c r="B17" s="99" t="str">
        <f>IFERROR(__xludf.DUMMYFUNCTION("""COMPUTED_VALUE"""),"shumai is a variation of batagor.")</f>
        <v>shumai is a variation of batagor.</v>
      </c>
      <c r="C17" s="99" t="str">
        <f>IFERROR(__xludf.DUMMYFUNCTION("""COMPUTED_VALUE"""),"Batagor|dishVariation|Shumai")</f>
        <v>Batagor|dishVariation|Shumai</v>
      </c>
      <c r="D17" s="99" t="str">
        <f>IFERROR(__xludf.DUMMYFUNCTION("""COMPUTED_VALUE"""),"0.524")</f>
        <v>0.524</v>
      </c>
      <c r="E17" s="99" t="str">
        <f>IFERROR(__xludf.DUMMYFUNCTION("""COMPUTED_VALUE"""),"not OK")</f>
        <v>not OK</v>
      </c>
      <c r="F17" s="99" t="str">
        <f>IFERROR(__xludf.DUMMYFUNCTION("""COMPUTED_VALUE"""),"OK")</f>
        <v>OK</v>
      </c>
      <c r="G17" s="99"/>
      <c r="H17" s="99" t="str">
        <f>IFERROR(__xludf.DUMMYFUNCTION("""COMPUTED_VALUE"""),"x")</f>
        <v>x</v>
      </c>
      <c r="I17" s="99"/>
      <c r="J17" s="99"/>
      <c r="K17" s="99"/>
      <c r="L17" s="99"/>
      <c r="M17" s="99"/>
      <c r="N17" s="99"/>
      <c r="O17" s="99"/>
    </row>
    <row r="18">
      <c r="A18" s="99">
        <f>IFERROR(__xludf.DUMMYFUNCTION("""COMPUTED_VALUE"""),10.0)</f>
        <v>10</v>
      </c>
      <c r="B18" s="99" t="str">
        <f>IFERROR(__xludf.DUMMYFUNCTION("""COMPUTED_VALUE"""),"allama iqbal international airport is located in pakistan where anwar zaheer jamali is a leader .")</f>
        <v>allama iqbal international airport is located in pakistan where anwar zaheer jamali is a leader .</v>
      </c>
      <c r="C18" s="99" t="str">
        <f>IFERROR(__xludf.DUMMYFUNCTION("""COMPUTED_VALUE"""),"Allama_Iqbal_International_Airport|location|Pakistan ++ Pakistan|leaderName|Anwar_Zaheer_Jamali")</f>
        <v>Allama_Iqbal_International_Airport|location|Pakistan ++ Pakistan|leaderName|Anwar_Zaheer_Jamali</v>
      </c>
      <c r="D18" s="99" t="str">
        <f>IFERROR(__xludf.DUMMYFUNCTION("""COMPUTED_VALUE"""),"0.961")</f>
        <v>0.961</v>
      </c>
      <c r="E18" s="99" t="str">
        <f>IFERROR(__xludf.DUMMYFUNCTION("""COMPUTED_VALUE"""),"not OK")</f>
        <v>not OK</v>
      </c>
      <c r="F18" s="99" t="str">
        <f>IFERROR(__xludf.DUMMYFUNCTION("""COMPUTED_VALUE"""),"OK")</f>
        <v>OK</v>
      </c>
      <c r="G18" s="99"/>
      <c r="H18" s="99" t="str">
        <f>IFERROR(__xludf.DUMMYFUNCTION("""COMPUTED_VALUE"""),"x")</f>
        <v>x</v>
      </c>
      <c r="I18" s="99"/>
      <c r="J18" s="99"/>
      <c r="K18" s="99"/>
      <c r="L18" s="99"/>
      <c r="M18" s="99"/>
      <c r="N18" s="99"/>
      <c r="O18" s="99"/>
    </row>
    <row r="19">
      <c r="A19" s="99">
        <f>IFERROR(__xludf.DUMMYFUNCTION("""COMPUTED_VALUE"""),39.0)</f>
        <v>39</v>
      </c>
      <c r="B19" s="99" t="str">
        <f>IFERROR(__xludf.DUMMYFUNCTION("""COMPUTED_VALUE"""),"the leader of the united states is john sánchez, it is where asian americans are an ethnic group and the country is where the leader is called the new mexico senate. the country is the location of albuquerque, new mexico.")</f>
        <v>the leader of the united states is john sánchez, it is where asian americans are an ethnic group and the country is where the leader is called the new mexico senate. the country is the location of albuquerque, new mexico.</v>
      </c>
      <c r="C19" s="99" t="str">
        <f>IFERROR(__xludf.DUMMYFUNCTION("""COMPUTED_VALUE"""),"United_States|ethnicGroup|Asian_Americans ++ Albuquerque,_New_Mexico|leaderTitle|New_Mexico_Senate ++ New_Mexico_Senate|leader|John_Sánchez ++ Albuquerque,_New_Mexico|country|United_States")</f>
        <v>United_States|ethnicGroup|Asian_Americans ++ Albuquerque,_New_Mexico|leaderTitle|New_Mexico_Senate ++ New_Mexico_Senate|leader|John_Sánchez ++ Albuquerque,_New_Mexico|country|United_States</v>
      </c>
      <c r="D19" s="99" t="str">
        <f>IFERROR(__xludf.DUMMYFUNCTION("""COMPUTED_VALUE"""),"0.529")</f>
        <v>0.529</v>
      </c>
      <c r="E19" s="99" t="str">
        <f>IFERROR(__xludf.DUMMYFUNCTION("""COMPUTED_VALUE"""),"not OK")</f>
        <v>not OK</v>
      </c>
      <c r="F19" s="99" t="str">
        <f>IFERROR(__xludf.DUMMYFUNCTION("""COMPUTED_VALUE"""),"OK")</f>
        <v>OK</v>
      </c>
      <c r="G19" s="99" t="str">
        <f>IFERROR(__xludf.DUMMYFUNCTION("""COMPUTED_VALUE"""),"x")</f>
        <v>x</v>
      </c>
      <c r="H19" s="99"/>
      <c r="I19" s="99"/>
      <c r="J19" s="99"/>
      <c r="K19" s="99"/>
      <c r="L19" s="99" t="str">
        <f>IFERROR(__xludf.DUMMYFUNCTION("""COMPUTED_VALUE"""),"x")</f>
        <v>x</v>
      </c>
      <c r="M19" s="99"/>
      <c r="N19" s="99"/>
      <c r="O19" s="99"/>
    </row>
    <row r="20">
      <c r="A20" s="99">
        <f>IFERROR(__xludf.DUMMYFUNCTION("""COMPUTED_VALUE"""),70.0)</f>
        <v>70</v>
      </c>
      <c r="B20" s="99" t="str">
        <f>IFERROR(__xludf.DUMMYFUNCTION("""COMPUTED_VALUE"""),"the languages spoken in philippines are philippine spanish and arabic. batchoy is eaten there and philippines ethnic groups are zamboangans and chinese filipino.")</f>
        <v>the languages spoken in philippines are philippine spanish and arabic. batchoy is eaten there and philippines ethnic groups are zamboangans and chinese filipino.</v>
      </c>
      <c r="C20" s="99" t="str">
        <f>IFERROR(__xludf.DUMMYFUNCTION("""COMPUTED_VALUE"""),"Philippines|language|Arabic ++ Philippines|ethnicGroup|Zamboangans ++ Philippines|language|Philippine_Spanish ++ Batchoy|country|Philippines ++ Philippines|ethnicGroup|Chinese_Filipino")</f>
        <v>Philippines|language|Arabic ++ Philippines|ethnicGroup|Zamboangans ++ Philippines|language|Philippine_Spanish ++ Batchoy|country|Philippines ++ Philippines|ethnicGroup|Chinese_Filipino</v>
      </c>
      <c r="D20" s="99" t="str">
        <f>IFERROR(__xludf.DUMMYFUNCTION("""COMPUTED_VALUE"""),"0.222")</f>
        <v>0.222</v>
      </c>
      <c r="E20" s="99" t="str">
        <f>IFERROR(__xludf.DUMMYFUNCTION("""COMPUTED_VALUE"""),"OK")</f>
        <v>OK</v>
      </c>
      <c r="F20" s="99" t="str">
        <f>IFERROR(__xludf.DUMMYFUNCTION("""COMPUTED_VALUE"""),"hallucination")</f>
        <v>hallucination</v>
      </c>
      <c r="G20" s="99" t="str">
        <f>IFERROR(__xludf.DUMMYFUNCTION("""COMPUTED_VALUE"""),"x")</f>
        <v>x</v>
      </c>
      <c r="H20" s="99"/>
      <c r="I20" s="99"/>
      <c r="J20" s="99"/>
      <c r="K20" s="99"/>
      <c r="L20" s="99"/>
      <c r="M20" s="99"/>
      <c r="N20" s="99"/>
      <c r="O20" s="99"/>
    </row>
    <row r="21">
      <c r="A21" s="99">
        <f>IFERROR(__xludf.DUMMYFUNCTION("""COMPUTED_VALUE"""),30.0)</f>
        <v>30</v>
      </c>
      <c r="B21" s="99" t="str">
        <f>IFERROR(__xludf.DUMMYFUNCTION("""COMPUTED_VALUE"""),"the main ingredients of beef kway teow are kway teow, beef tender loin, gula melaka, sliced, dried black beans, garlic, dark soy sauce, lengkuas, oyster sauce, soya sauce, chilli and sesame oil.")</f>
        <v>the main ingredients of beef kway teow are kway teow, beef tender loin, gula melaka, sliced, dried black beans, garlic, dark soy sauce, lengkuas, oyster sauce, soya sauce, chilli and sesame oil.</v>
      </c>
      <c r="C21" s="99" t="str">
        <f>IFERROR(__xludf.DUMMYFUNCTION("""COMPUTED_VALUE"""),"Beef_kway_teow|mainIngredients|""Kway teow, beef tender loin, gula Melaka, sliced, dried black beans, garlic, dark soy sauce, lengkuas, oyster sauce, soya sauce, chilli and sesame oil"" ++ Beef_kway_teow|country|""Singapore and Indonesia""")</f>
        <v>Beef_kway_teow|mainIngredients|"Kway teow, beef tender loin, gula Melaka, sliced, dried black beans, garlic, dark soy sauce, lengkuas, oyster sauce, soya sauce, chilli and sesame oil" ++ Beef_kway_teow|country|"Singapore and Indonesia"</v>
      </c>
      <c r="D21" s="99" t="str">
        <f>IFERROR(__xludf.DUMMYFUNCTION("""COMPUTED_VALUE"""),"0.002")</f>
        <v>0.002</v>
      </c>
      <c r="E21" s="99" t="str">
        <f>IFERROR(__xludf.DUMMYFUNCTION("""COMPUTED_VALUE"""),"OK")</f>
        <v>OK</v>
      </c>
      <c r="F21" s="99" t="str">
        <f>IFERROR(__xludf.DUMMYFUNCTION("""COMPUTED_VALUE"""),"omission")</f>
        <v>omission</v>
      </c>
      <c r="G21" s="99"/>
      <c r="H21" s="99" t="str">
        <f>IFERROR(__xludf.DUMMYFUNCTION("""COMPUTED_VALUE"""),"x")</f>
        <v>x</v>
      </c>
      <c r="I21" s="99"/>
      <c r="J21" s="99"/>
      <c r="K21" s="99"/>
      <c r="L21" s="99"/>
      <c r="M21" s="99"/>
      <c r="N21" s="99"/>
      <c r="O21" s="99"/>
    </row>
    <row r="22">
      <c r="A22" s="99">
        <f>IFERROR(__xludf.DUMMYFUNCTION("""COMPUTED_VALUE"""),90.0)</f>
        <v>90</v>
      </c>
      <c r="B22" s="99" t="str">
        <f>IFERROR(__xludf.DUMMYFUNCTION("""COMPUTED_VALUE"""),"the 14th new jersey volunteer infantry monument is near frederick , maryland in the district of the monocacy national battlefield .")</f>
        <v>the 14th new jersey volunteer infantry monument is near frederick , maryland in the district of the monocacy national battlefield .</v>
      </c>
      <c r="C22" s="99" t="str">
        <f>IFERROR(__xludf.DUMMYFUNCTION("""COMPUTED_VALUE"""),"14th_New_Jersey_Volunteer_Infantry_Monument|district|Monocacy_National_Battlefield ++ Monocacy_National_Battlefield|nearestCity|Frederick,_Maryland")</f>
        <v>14th_New_Jersey_Volunteer_Infantry_Monument|district|Monocacy_National_Battlefield ++ Monocacy_National_Battlefield|nearestCity|Frederick,_Maryland</v>
      </c>
      <c r="D22" s="99" t="str">
        <f>IFERROR(__xludf.DUMMYFUNCTION("""COMPUTED_VALUE"""),"0.730")</f>
        <v>0.730</v>
      </c>
      <c r="E22" s="99" t="str">
        <f>IFERROR(__xludf.DUMMYFUNCTION("""COMPUTED_VALUE"""),"not OK")</f>
        <v>not OK</v>
      </c>
      <c r="F22" s="99" t="str">
        <f>IFERROR(__xludf.DUMMYFUNCTION("""COMPUTED_VALUE"""),"OK")</f>
        <v>OK</v>
      </c>
      <c r="G22" s="99"/>
      <c r="H22" s="99" t="str">
        <f>IFERROR(__xludf.DUMMYFUNCTION("""COMPUTED_VALUE"""),"x")</f>
        <v>x</v>
      </c>
      <c r="I22" s="99"/>
      <c r="J22" s="99"/>
      <c r="K22" s="99"/>
      <c r="L22" s="99"/>
      <c r="M22" s="99"/>
      <c r="N22" s="99"/>
      <c r="O22" s="99"/>
    </row>
    <row r="23">
      <c r="A23" s="99">
        <f>IFERROR(__xludf.DUMMYFUNCTION("""COMPUTED_VALUE"""),74.0)</f>
        <v>74</v>
      </c>
      <c r="B23" s="99" t="str">
        <f>IFERROR(__xludf.DUMMYFUNCTION("""COMPUTED_VALUE"""),"aleksandra kovač (new zealand) can be found in the country of rhythm and blues, which is lead by k2 and kristina kovač.")</f>
        <v>aleksandra kovač (new zealand) can be found in the country of rhythm and blues, which is lead by k2 and kristina kovač.</v>
      </c>
      <c r="C23" s="99" t="str">
        <f>IFERROR(__xludf.DUMMYFUNCTION("""COMPUTED_VALUE"""),"Aleksandra_Kovač|genre|Rhythm_and_blues ++ Aleksandra_Kovač|associatedBand/associatedMusicalArtist|K2_(Kovač_sisters_duo) ++ Aleksandra_Kovač|associatedBand/associatedMusicalArtist|Kristina_Kovač")</f>
        <v>Aleksandra_Kovač|genre|Rhythm_and_blues ++ Aleksandra_Kovač|associatedBand/associatedMusicalArtist|K2_(Kovač_sisters_duo) ++ Aleksandra_Kovač|associatedBand/associatedMusicalArtist|Kristina_Kovač</v>
      </c>
      <c r="D23" s="99" t="str">
        <f>IFERROR(__xludf.DUMMYFUNCTION("""COMPUTED_VALUE"""),"0.553")</f>
        <v>0.553</v>
      </c>
      <c r="E23" s="99" t="str">
        <f>IFERROR(__xludf.DUMMYFUNCTION("""COMPUTED_VALUE"""),"not OK")</f>
        <v>not OK</v>
      </c>
      <c r="F23" s="99" t="str">
        <f>IFERROR(__xludf.DUMMYFUNCTION("""COMPUTED_VALUE"""),"OK")</f>
        <v>OK</v>
      </c>
      <c r="G23" s="99" t="str">
        <f>IFERROR(__xludf.DUMMYFUNCTION("""COMPUTED_VALUE"""),"x")</f>
        <v>x</v>
      </c>
      <c r="H23" s="99"/>
      <c r="I23" s="99"/>
      <c r="J23" s="99"/>
      <c r="K23" s="99"/>
      <c r="L23" s="99"/>
      <c r="M23" s="99"/>
      <c r="N23" s="99"/>
      <c r="O23" s="99"/>
    </row>
    <row r="24">
      <c r="A24" s="99">
        <f>IFERROR(__xludf.DUMMYFUNCTION("""COMPUTED_VALUE"""),62.0)</f>
        <v>62</v>
      </c>
      <c r="B24" s="99" t="str">
        <f>IFERROR(__xludf.DUMMYFUNCTION("""COMPUTED_VALUE"""),". english is spoken in the united states and great britain. the capital of the united states is washington, d.c. a severed wasp is from the united states where the native americans are an ethnic group.")</f>
        <v>. english is spoken in the united states and great britain. the capital of the united states is washington, d.c. a severed wasp is from the united states where the native americans are an ethnic group.</v>
      </c>
      <c r="C24" s="99" t="str">
        <f>IFERROR(__xludf.DUMMYFUNCTION("""COMPUTED_VALUE"""),"English_language|spokenIn|Great_Britain ++ United_States|language|English_language ++ United_States|capital|Washington,_D.C. ++ A_Severed_Wasp|country|United_States ++ United_States|ethnicGroup|Native_Americans_in_the_United_States")</f>
        <v>English_language|spokenIn|Great_Britain ++ United_States|language|English_language ++ United_States|capital|Washington,_D.C. ++ A_Severed_Wasp|country|United_States ++ United_States|ethnicGroup|Native_Americans_in_the_United_States</v>
      </c>
      <c r="D24" s="99" t="str">
        <f>IFERROR(__xludf.DUMMYFUNCTION("""COMPUTED_VALUE"""),"0.921")</f>
        <v>0.921</v>
      </c>
      <c r="E24" s="99" t="str">
        <f>IFERROR(__xludf.DUMMYFUNCTION("""COMPUTED_VALUE"""),"not OK")</f>
        <v>not OK</v>
      </c>
      <c r="F24" s="99" t="str">
        <f>IFERROR(__xludf.DUMMYFUNCTION("""COMPUTED_VALUE"""),"OK")</f>
        <v>OK</v>
      </c>
      <c r="G24" s="99"/>
      <c r="H24" s="99" t="str">
        <f>IFERROR(__xludf.DUMMYFUNCTION("""COMPUTED_VALUE"""),"x")</f>
        <v>x</v>
      </c>
      <c r="I24" s="99"/>
      <c r="J24" s="99"/>
      <c r="K24" s="99"/>
      <c r="L24" s="99"/>
      <c r="M24" s="99"/>
      <c r="N24" s="99"/>
      <c r="O24" s="99"/>
    </row>
    <row r="25">
      <c r="A25" s="99">
        <f>IFERROR(__xludf.DUMMYFUNCTION("""COMPUTED_VALUE"""),23.0)</f>
        <v>23</v>
      </c>
      <c r="B25" s="99" t="str">
        <f>IFERROR(__xludf.DUMMYFUNCTION("""COMPUTED_VALUE"""),"gus poyet, who plays for real zaragoza and chelsea f.c., is the manager of aek athens f.c.. it plays in olympic stadium (athens). it is in marousi.")</f>
        <v>gus poyet, who plays for real zaragoza and chelsea f.c., is the manager of aek athens f.c.. it plays in olympic stadium (athens). it is in marousi.</v>
      </c>
      <c r="C25" s="99" t="str">
        <f>IFERROR(__xludf.DUMMYFUNCTION("""COMPUTED_VALUE"""),"AEK_Athens_F.C.|manager|Gus_Poyet ++ Gus_Poyet|club|Real_Zaragoza ++ Olympic_Stadium_(Athens)|location|Marousi ++ AEK_Athens_F.C.|ground|Olympic_Stadium_(Athens) ++ Gus_Poyet|club|Chelsea_F.C.")</f>
        <v>AEK_Athens_F.C.|manager|Gus_Poyet ++ Gus_Poyet|club|Real_Zaragoza ++ Olympic_Stadium_(Athens)|location|Marousi ++ AEK_Athens_F.C.|ground|Olympic_Stadium_(Athens) ++ Gus_Poyet|club|Chelsea_F.C.</v>
      </c>
      <c r="D25" s="99" t="str">
        <f>IFERROR(__xludf.DUMMYFUNCTION("""COMPUTED_VALUE"""),"0.417")</f>
        <v>0.417</v>
      </c>
      <c r="E25" s="99" t="str">
        <f>IFERROR(__xludf.DUMMYFUNCTION("""COMPUTED_VALUE"""),"OK")</f>
        <v>OK</v>
      </c>
      <c r="F25" s="99" t="str">
        <f>IFERROR(__xludf.DUMMYFUNCTION("""COMPUTED_VALUE"""),"hallucination")</f>
        <v>hallucination</v>
      </c>
      <c r="G25" s="99" t="str">
        <f>IFERROR(__xludf.DUMMYFUNCTION("""COMPUTED_VALUE"""),"x")</f>
        <v>x</v>
      </c>
      <c r="H25" s="99"/>
      <c r="I25" s="99"/>
      <c r="J25" s="99"/>
      <c r="K25" s="99"/>
      <c r="L25" s="99"/>
      <c r="M25" s="99"/>
      <c r="N25" s="99"/>
      <c r="O25" s="99"/>
    </row>
    <row r="26">
      <c r="A26" s="99">
        <f>IFERROR(__xludf.DUMMYFUNCTION("""COMPUTED_VALUE"""),55.0)</f>
        <v>55</v>
      </c>
      <c r="B26" s="99" t="str">
        <f>IFERROR(__xludf.DUMMYFUNCTION("""COMPUTED_VALUE"""),"john van den brom, manager of az alkmaar, plays for jong ajax john van den brom plays for istanbulspor a.s.")</f>
        <v>john van den brom, manager of az alkmaar, plays for jong ajax john van den brom plays for istanbulspor a.s.</v>
      </c>
      <c r="C26" s="99" t="str">
        <f>IFERROR(__xludf.DUMMYFUNCTION("""COMPUTED_VALUE"""),"AZ_Alkmaar|manager|John_van_den_Brom ++ John_van_den_Brom|club|Jong_Ajax ++ John_van_den_Brom|club|İstanbulspor_A.Ş.")</f>
        <v>AZ_Alkmaar|manager|John_van_den_Brom ++ John_van_den_Brom|club|Jong_Ajax ++ John_van_den_Brom|club|İstanbulspor_A.Ş.</v>
      </c>
      <c r="D26" s="99" t="str">
        <f>IFERROR(__xludf.DUMMYFUNCTION("""COMPUTED_VALUE"""),"0.692")</f>
        <v>0.692</v>
      </c>
      <c r="E26" s="99" t="str">
        <f>IFERROR(__xludf.DUMMYFUNCTION("""COMPUTED_VALUE"""),"not OK")</f>
        <v>not OK</v>
      </c>
      <c r="F26" s="99" t="str">
        <f>IFERROR(__xludf.DUMMYFUNCTION("""COMPUTED_VALUE"""),"OK")</f>
        <v>OK</v>
      </c>
      <c r="G26" s="99" t="str">
        <f>IFERROR(__xludf.DUMMYFUNCTION("""COMPUTED_VALUE"""),"x")</f>
        <v>x</v>
      </c>
      <c r="H26" s="99"/>
      <c r="I26" s="99"/>
      <c r="J26" s="99"/>
      <c r="K26" s="99"/>
      <c r="L26" s="99" t="str">
        <f>IFERROR(__xludf.DUMMYFUNCTION("""COMPUTED_VALUE"""),"x")</f>
        <v>x</v>
      </c>
      <c r="M26" s="99"/>
      <c r="N26" s="99"/>
      <c r="O26" s="99"/>
    </row>
    <row r="27">
      <c r="A27" s="99">
        <f>IFERROR(__xludf.DUMMYFUNCTION("""COMPUTED_VALUE"""),4.0)</f>
        <v>4</v>
      </c>
      <c r="B27" s="99" t="str">
        <f>IFERROR(__xludf.DUMMYFUNCTION("""COMPUTED_VALUE"""),"elliot see died in st louis in france on february 28th 1966.")</f>
        <v>elliot see died in st louis in france on february 28th 1966.</v>
      </c>
      <c r="C27" s="99" t="str">
        <f>IFERROR(__xludf.DUMMYFUNCTION("""COMPUTED_VALUE"""),"Elliot_See|deathPlace|St._Louis ++ St._Louis|isPartOf|Kingdom_of_France ++ Elliot_See|deathDate|""1966-02-28""")</f>
        <v>Elliot_See|deathPlace|St._Louis ++ St._Louis|isPartOf|Kingdom_of_France ++ Elliot_See|deathDate|"1966-02-28"</v>
      </c>
      <c r="D27" s="99" t="str">
        <f>IFERROR(__xludf.DUMMYFUNCTION("""COMPUTED_VALUE"""),"0.500")</f>
        <v>0.500</v>
      </c>
      <c r="E27" s="99" t="str">
        <f>IFERROR(__xludf.DUMMYFUNCTION("""COMPUTED_VALUE"""),"not OK")</f>
        <v>not OK</v>
      </c>
      <c r="F27" s="99" t="str">
        <f>IFERROR(__xludf.DUMMYFUNCTION("""COMPUTED_VALUE"""),"OK")</f>
        <v>OK</v>
      </c>
      <c r="G27" s="99"/>
      <c r="H27" s="99" t="str">
        <f>IFERROR(__xludf.DUMMYFUNCTION("""COMPUTED_VALUE"""),"x")</f>
        <v>x</v>
      </c>
      <c r="I27" s="99"/>
      <c r="J27" s="99"/>
      <c r="K27" s="99"/>
      <c r="L27" s="99"/>
      <c r="M27" s="99"/>
      <c r="N27" s="99"/>
      <c r="O27" s="99"/>
    </row>
    <row r="28">
      <c r="A28" s="99">
        <f>IFERROR(__xludf.DUMMYFUNCTION("""COMPUTED_VALUE"""),22.0)</f>
        <v>22</v>
      </c>
      <c r="B28" s="99" t="str">
        <f>IFERROR(__xludf.DUMMYFUNCTION("""COMPUTED_VALUE"""),"the languages spoken in the philippines are philippine spanish and arabic. batchoy is eaten there and the ethnic groups are the zamboangans and the chinese filipino.")</f>
        <v>the languages spoken in the philippines are philippine spanish and arabic. batchoy is eaten there and the ethnic groups are the zamboangans and the chinese filipino.</v>
      </c>
      <c r="C28" s="99" t="str">
        <f>IFERROR(__xludf.DUMMYFUNCTION("""COMPUTED_VALUE"""),"Philippines|language|Arabic ++ Philippines|ethnicGroup|Zamboangans ++ Philippines|language|Philippine_Spanish ++ Batchoy|country|Philippines ++ Philippines|ethnicGroup|Chinese_Filipino")</f>
        <v>Philippines|language|Arabic ++ Philippines|ethnicGroup|Zamboangans ++ Philippines|language|Philippine_Spanish ++ Batchoy|country|Philippines ++ Philippines|ethnicGroup|Chinese_Filipino</v>
      </c>
      <c r="D28" s="99" t="str">
        <f>IFERROR(__xludf.DUMMYFUNCTION("""COMPUTED_VALUE"""),"0.122")</f>
        <v>0.122</v>
      </c>
      <c r="E28" s="99" t="str">
        <f>IFERROR(__xludf.DUMMYFUNCTION("""COMPUTED_VALUE"""),"OK")</f>
        <v>OK</v>
      </c>
      <c r="F28" s="99" t="str">
        <f>IFERROR(__xludf.DUMMYFUNCTION("""COMPUTED_VALUE"""),"hallucination")</f>
        <v>hallucination</v>
      </c>
      <c r="G28" s="99" t="str">
        <f>IFERROR(__xludf.DUMMYFUNCTION("""COMPUTED_VALUE"""),"x")</f>
        <v>x</v>
      </c>
      <c r="H28" s="99"/>
      <c r="I28" s="99"/>
      <c r="J28" s="99"/>
      <c r="K28" s="99"/>
      <c r="L28" s="99"/>
      <c r="M28" s="99"/>
      <c r="N28" s="99"/>
      <c r="O28" s="99"/>
    </row>
    <row r="29">
      <c r="A29" s="99">
        <f>IFERROR(__xludf.DUMMYFUNCTION("""COMPUTED_VALUE"""),84.0)</f>
        <v>84</v>
      </c>
      <c r="B29" s="99" t="str">
        <f>IFERROR(__xludf.DUMMYFUNCTION("""COMPUTED_VALUE"""),"107 camilla discoverer n. r. pogson n. r. pogson was born in nottingham n. r. pogson, england")</f>
        <v>107 camilla discoverer n. r. pogson n. r. pogson was born in nottingham n. r. pogson, england</v>
      </c>
      <c r="C29" s="99" t="str">
        <f>IFERROR(__xludf.DUMMYFUNCTION("""COMPUTED_VALUE"""),"107_Camilla|discoverer|N._R._Pogson ++ N._R._Pogson|birthPlace|Nottingham ++ N._R._Pogson|nationality|England")</f>
        <v>107_Camilla|discoverer|N._R._Pogson ++ N._R._Pogson|birthPlace|Nottingham ++ N._R._Pogson|nationality|England</v>
      </c>
      <c r="D29" s="99" t="str">
        <f>IFERROR(__xludf.DUMMYFUNCTION("""COMPUTED_VALUE"""),"0.911")</f>
        <v>0.911</v>
      </c>
      <c r="E29" s="99" t="str">
        <f>IFERROR(__xludf.DUMMYFUNCTION("""COMPUTED_VALUE"""),"not OK")</f>
        <v>not OK</v>
      </c>
      <c r="F29" s="99" t="str">
        <f>IFERROR(__xludf.DUMMYFUNCTION("""COMPUTED_VALUE"""),"OK")</f>
        <v>OK</v>
      </c>
      <c r="G29" s="99"/>
      <c r="H29" s="99" t="str">
        <f>IFERROR(__xludf.DUMMYFUNCTION("""COMPUTED_VALUE"""),"x")</f>
        <v>x</v>
      </c>
      <c r="I29" s="99"/>
      <c r="J29" s="99"/>
      <c r="K29" s="99"/>
      <c r="L29" s="99"/>
      <c r="M29" s="99"/>
      <c r="N29" s="99"/>
      <c r="O29" s="99"/>
    </row>
    <row r="30">
      <c r="A30" s="99">
        <f>IFERROR(__xludf.DUMMYFUNCTION("""COMPUTED_VALUE"""),51.0)</f>
        <v>51</v>
      </c>
      <c r="B30" s="99" t="str">
        <f>IFERROR(__xludf.DUMMYFUNCTION("""COMPUTED_VALUE"""),"albert jennings fountain was born in new york city and died in new mexico territory. albert jennings fountain was born in staten island.")</f>
        <v>albert jennings fountain was born in new york city and died in new mexico territory. albert jennings fountain was born in staten island.</v>
      </c>
      <c r="C30" s="99" t="str">
        <f>IFERROR(__xludf.DUMMYFUNCTION("""COMPUTED_VALUE"""),"Albert_Jennings_Fountain|deathPlace|New_Mexico_Territory ++ Albert_Jennings_Fountain|birthPlace|New_York_City ++ Albert_Jennings_Fountain|birthPlace|Staten_Island")</f>
        <v>Albert_Jennings_Fountain|deathPlace|New_Mexico_Territory ++ Albert_Jennings_Fountain|birthPlace|New_York_City ++ Albert_Jennings_Fountain|birthPlace|Staten_Island</v>
      </c>
      <c r="D30" s="99" t="str">
        <f>IFERROR(__xludf.DUMMYFUNCTION("""COMPUTED_VALUE"""),"0.166")</f>
        <v>0.166</v>
      </c>
      <c r="E30" s="99" t="str">
        <f>IFERROR(__xludf.DUMMYFUNCTION("""COMPUTED_VALUE"""),"OK")</f>
        <v>OK</v>
      </c>
      <c r="F30" s="99" t="str">
        <f>IFERROR(__xludf.DUMMYFUNCTION("""COMPUTED_VALUE"""),"hallucination")</f>
        <v>hallucination</v>
      </c>
      <c r="G30" s="99" t="str">
        <f>IFERROR(__xludf.DUMMYFUNCTION("""COMPUTED_VALUE"""),"x")</f>
        <v>x</v>
      </c>
      <c r="H30" s="99"/>
      <c r="I30" s="99"/>
      <c r="J30" s="99"/>
      <c r="K30" s="99"/>
      <c r="L30" s="99"/>
      <c r="M30" s="99"/>
      <c r="N30" s="99"/>
      <c r="O30" s="99"/>
    </row>
    <row r="31">
      <c r="A31" s="99">
        <f>IFERROR(__xludf.DUMMYFUNCTION("""COMPUTED_VALUE"""),68.0)</f>
        <v>68</v>
      </c>
      <c r="B31" s="99" t="str">
        <f>IFERROR(__xludf.DUMMYFUNCTION("""COMPUTED_VALUE"""),"new york city is in new netherland.")</f>
        <v>new york city is in new netherland.</v>
      </c>
      <c r="C31" s="99" t="str">
        <f>IFERROR(__xludf.DUMMYFUNCTION("""COMPUTED_VALUE"""),"New_York_City|isPartOf|New_Netherland")</f>
        <v>New_York_City|isPartOf|New_Netherland</v>
      </c>
      <c r="D31" s="99" t="str">
        <f>IFERROR(__xludf.DUMMYFUNCTION("""COMPUTED_VALUE"""),"0.910")</f>
        <v>0.910</v>
      </c>
      <c r="E31" s="99" t="str">
        <f>IFERROR(__xludf.DUMMYFUNCTION("""COMPUTED_VALUE"""),"not OK")</f>
        <v>not OK</v>
      </c>
      <c r="F31" s="99" t="str">
        <f>IFERROR(__xludf.DUMMYFUNCTION("""COMPUTED_VALUE"""),"OK")</f>
        <v>OK</v>
      </c>
      <c r="G31" s="99"/>
      <c r="H31" s="99" t="str">
        <f>IFERROR(__xludf.DUMMYFUNCTION("""COMPUTED_VALUE"""),"x")</f>
        <v>x</v>
      </c>
      <c r="I31" s="99"/>
      <c r="J31" s="99"/>
      <c r="K31" s="99"/>
      <c r="L31" s="99"/>
      <c r="M31" s="99"/>
      <c r="N31" s="99"/>
      <c r="O31" s="99"/>
    </row>
    <row r="32">
      <c r="A32" s="99">
        <f>IFERROR(__xludf.DUMMYFUNCTION("""COMPUTED_VALUE"""),43.0)</f>
        <v>43</v>
      </c>
      <c r="B32" s="99" t="str">
        <f>IFERROR(__xludf.DUMMYFUNCTION("""COMPUTED_VALUE"""),"amsterdam-centrum and eberhard van der laan are part of amsterdam where afc ajax is based.")</f>
        <v>amsterdam-centrum and eberhard van der laan are part of amsterdam where afc ajax is based.</v>
      </c>
      <c r="C32" s="99" t="str">
        <f>IFERROR(__xludf.DUMMYFUNCTION("""COMPUTED_VALUE"""),"AFC_Ajax_(amateurs)|ground|Amsterdam ++ Amsterdam|leader|Eberhard_van_der_Laan ++ Amsterdam|part|Amsterdam-Centrum")</f>
        <v>AFC_Ajax_(amateurs)|ground|Amsterdam ++ Amsterdam|leader|Eberhard_van_der_Laan ++ Amsterdam|part|Amsterdam-Centrum</v>
      </c>
      <c r="D32" s="99" t="str">
        <f>IFERROR(__xludf.DUMMYFUNCTION("""COMPUTED_VALUE"""),"0.107")</f>
        <v>0.107</v>
      </c>
      <c r="E32" s="99" t="str">
        <f>IFERROR(__xludf.DUMMYFUNCTION("""COMPUTED_VALUE"""),"OK")</f>
        <v>OK</v>
      </c>
      <c r="F32" s="99" t="str">
        <f>IFERROR(__xludf.DUMMYFUNCTION("""COMPUTED_VALUE"""),"omission")</f>
        <v>omission</v>
      </c>
      <c r="G32" s="99"/>
      <c r="H32" s="99"/>
      <c r="I32" s="99" t="str">
        <f>IFERROR(__xludf.DUMMYFUNCTION("""COMPUTED_VALUE"""),"x")</f>
        <v>x</v>
      </c>
      <c r="J32" s="99"/>
      <c r="K32" s="99"/>
      <c r="L32" s="99" t="str">
        <f>IFERROR(__xludf.DUMMYFUNCTION("""COMPUTED_VALUE"""),"x")</f>
        <v>x</v>
      </c>
      <c r="M32" s="99"/>
      <c r="N32" s="99" t="str">
        <f>IFERROR(__xludf.DUMMYFUNCTION("""COMPUTED_VALUE"""),"x")</f>
        <v>x</v>
      </c>
      <c r="O32" s="99"/>
    </row>
    <row r="33">
      <c r="A33" s="99">
        <f>IFERROR(__xludf.DUMMYFUNCTION("""COMPUTED_VALUE"""),89.0)</f>
        <v>89</v>
      </c>
      <c r="B33" s="99" t="str">
        <f>IFERROR(__xludf.DUMMYFUNCTION("""COMPUTED_VALUE"""),"adams county, pennsylvania is southwest of carroll county, maryland.")</f>
        <v>adams county, pennsylvania is southwest of carroll county, maryland.</v>
      </c>
      <c r="C33" s="99" t="str">
        <f>IFERROR(__xludf.DUMMYFUNCTION("""COMPUTED_VALUE"""),"Adams_County,_Pennsylvania|has to its southeast|Carroll_County,_Maryland")</f>
        <v>Adams_County,_Pennsylvania|has to its southeast|Carroll_County,_Maryland</v>
      </c>
      <c r="D33" s="99" t="str">
        <f>IFERROR(__xludf.DUMMYFUNCTION("""COMPUTED_VALUE"""),"0.559")</f>
        <v>0.559</v>
      </c>
      <c r="E33" s="99" t="str">
        <f>IFERROR(__xludf.DUMMYFUNCTION("""COMPUTED_VALUE"""),"not OK")</f>
        <v>not OK</v>
      </c>
      <c r="F33" s="99" t="str">
        <f>IFERROR(__xludf.DUMMYFUNCTION("""COMPUTED_VALUE"""),"OK")</f>
        <v>OK</v>
      </c>
      <c r="G33" s="99"/>
      <c r="H33" s="99" t="str">
        <f>IFERROR(__xludf.DUMMYFUNCTION("""COMPUTED_VALUE"""),"x")</f>
        <v>x</v>
      </c>
      <c r="I33" s="99"/>
      <c r="J33" s="99"/>
      <c r="K33" s="99"/>
      <c r="L33" s="99"/>
      <c r="M33" s="99"/>
      <c r="N33" s="99"/>
      <c r="O33" s="99"/>
    </row>
    <row r="34">
      <c r="A34" s="99">
        <f>IFERROR(__xludf.DUMMYFUNCTION("""COMPUTED_VALUE"""),40.0)</f>
        <v>40</v>
      </c>
      <c r="B34" s="99" t="str">
        <f>IFERROR(__xludf.DUMMYFUNCTION("""COMPUTED_VALUE"""),"the apoapsis of 101 helena is 4.41092e8 kilometers.")</f>
        <v>the apoapsis of 101 helena is 4.41092e8 kilometers.</v>
      </c>
      <c r="C34" s="99" t="str">
        <f>IFERROR(__xludf.DUMMYFUNCTION("""COMPUTED_VALUE"""),"101_Helena|apoapsis|441092000.0 (kilometres)")</f>
        <v>101_Helena|apoapsis|441092000.0 (kilometres)</v>
      </c>
      <c r="D34" s="99" t="str">
        <f>IFERROR(__xludf.DUMMYFUNCTION("""COMPUTED_VALUE"""),"0.459")</f>
        <v>0.459</v>
      </c>
      <c r="E34" s="99" t="str">
        <f>IFERROR(__xludf.DUMMYFUNCTION("""COMPUTED_VALUE"""),"OK")</f>
        <v>OK</v>
      </c>
      <c r="F34" s="99" t="str">
        <f>IFERROR(__xludf.DUMMYFUNCTION("""COMPUTED_VALUE"""),"hallucination")</f>
        <v>hallucination</v>
      </c>
      <c r="G34" s="99" t="str">
        <f>IFERROR(__xludf.DUMMYFUNCTION("""COMPUTED_VALUE"""),"x")</f>
        <v>x</v>
      </c>
      <c r="H34" s="99"/>
      <c r="I34" s="99"/>
      <c r="J34" s="99"/>
      <c r="K34" s="99"/>
      <c r="L34" s="99"/>
      <c r="M34" s="99"/>
      <c r="N34" s="99"/>
      <c r="O34" s="99"/>
    </row>
    <row r="35">
      <c r="A35" s="99">
        <f>IFERROR(__xludf.DUMMYFUNCTION("""COMPUTED_VALUE"""),67.0)</f>
        <v>67</v>
      </c>
      <c r="B35" s="99" t="str">
        <f>IFERROR(__xludf.DUMMYFUNCTION("""COMPUTED_VALUE"""),"akita museum of art is located in akita, akita, akita prefecture, japan. the brazilians are an ethnic group in japan.")</f>
        <v>akita museum of art is located in akita, akita, akita prefecture, japan. the brazilians are an ethnic group in japan.</v>
      </c>
      <c r="C35" s="99" t="str">
        <f>IFERROR(__xludf.DUMMYFUNCTION("""COMPUTED_VALUE"""),"Akita_Museum_of_Art|country|Japan ++ Akita_Museum_of_Art|location|Akita,_Akita ++ Akita,_Akita|isPartOf|Akita_Prefecture ++ Japan|ethnicGroup|Brazilians_in_Japan")</f>
        <v>Akita_Museum_of_Art|country|Japan ++ Akita_Museum_of_Art|location|Akita,_Akita ++ Akita,_Akita|isPartOf|Akita_Prefecture ++ Japan|ethnicGroup|Brazilians_in_Japan</v>
      </c>
      <c r="D35" s="99" t="str">
        <f>IFERROR(__xludf.DUMMYFUNCTION("""COMPUTED_VALUE"""),"0.908")</f>
        <v>0.908</v>
      </c>
      <c r="E35" s="99" t="str">
        <f>IFERROR(__xludf.DUMMYFUNCTION("""COMPUTED_VALUE"""),"not OK")</f>
        <v>not OK</v>
      </c>
      <c r="F35" s="99" t="str">
        <f>IFERROR(__xludf.DUMMYFUNCTION("""COMPUTED_VALUE"""),"OK")</f>
        <v>OK</v>
      </c>
      <c r="G35" s="99"/>
      <c r="H35" s="99" t="str">
        <f>IFERROR(__xludf.DUMMYFUNCTION("""COMPUTED_VALUE"""),"x")</f>
        <v>x</v>
      </c>
      <c r="I35" s="99"/>
      <c r="J35" s="99"/>
      <c r="K35" s="99"/>
      <c r="L35" s="99"/>
      <c r="M35" s="99"/>
      <c r="N35" s="99"/>
      <c r="O35" s="99"/>
    </row>
    <row r="36">
      <c r="A36" s="99">
        <f>IFERROR(__xludf.DUMMYFUNCTION("""COMPUTED_VALUE"""),86.0)</f>
        <v>86</v>
      </c>
      <c r="B36" s="99" t="str">
        <f>IFERROR(__xludf.DUMMYFUNCTION("""COMPUTED_VALUE"""),"the inhabitants of the united states are known as americans and the language spoken is english. the country is inhabited by americans and the population is known as americans. the country is the location of angola, indiana which is part of steuben county,"&amp;" in indiana.")</f>
        <v>the inhabitants of the united states are known as americans and the language spoken is english. the country is inhabited by americans and the population is known as americans. the country is the location of angola, indiana which is part of steuben county, in indiana.</v>
      </c>
      <c r="C36" s="99" t="str">
        <f>IFERROR(__xludf.DUMMYFUNCTION("""COMPUTED_VALUE"""),"United_States|language|English_language ++ Angola,_Indiana|isPartOf|Steuben_County,_Indiana ++ United_States|demonym|Americans ++ Angola,_Indiana|country|United_States ++ United_States|ethnicGroup|Asian_Americans")</f>
        <v>United_States|language|English_language ++ Angola,_Indiana|isPartOf|Steuben_County,_Indiana ++ United_States|demonym|Americans ++ Angola,_Indiana|country|United_States ++ United_States|ethnicGroup|Asian_Americans</v>
      </c>
      <c r="D36" s="99" t="str">
        <f>IFERROR(__xludf.DUMMYFUNCTION("""COMPUTED_VALUE"""),"0.579")</f>
        <v>0.579</v>
      </c>
      <c r="E36" s="99" t="str">
        <f>IFERROR(__xludf.DUMMYFUNCTION("""COMPUTED_VALUE"""),"not OK")</f>
        <v>not OK</v>
      </c>
      <c r="F36" s="99" t="str">
        <f>IFERROR(__xludf.DUMMYFUNCTION("""COMPUTED_VALUE"""),"OK")</f>
        <v>OK</v>
      </c>
      <c r="G36" s="99" t="str">
        <f>IFERROR(__xludf.DUMMYFUNCTION("""COMPUTED_VALUE"""),"x")</f>
        <v>x</v>
      </c>
      <c r="H36" s="99"/>
      <c r="I36" s="99"/>
      <c r="J36" s="99"/>
      <c r="K36" s="99"/>
      <c r="L36" s="99"/>
      <c r="M36" s="99"/>
      <c r="N36" s="99"/>
      <c r="O36" s="99"/>
    </row>
    <row r="37">
      <c r="A37" s="99">
        <f>IFERROR(__xludf.DUMMYFUNCTION("""COMPUTED_VALUE"""),72.0)</f>
        <v>72</v>
      </c>
      <c r="B37" s="99" t="str">
        <f>IFERROR(__xludf.DUMMYFUNCTION("""COMPUTED_VALUE"""),"abdulsalami abubakar, who graduated from technical institute (kaduna), was born in minna.")</f>
        <v>abdulsalami abubakar, who graduated from technical institute (kaduna), was born in minna.</v>
      </c>
      <c r="C37" s="99" t="str">
        <f>IFERROR(__xludf.DUMMYFUNCTION("""COMPUTED_VALUE"""),"Abdulsalami_Abubakar|birthPlace|Minna ++ Abdulsalami_Abubakar|almaMater|Technical_Institute,_Kaduna")</f>
        <v>Abdulsalami_Abubakar|birthPlace|Minna ++ Abdulsalami_Abubakar|almaMater|Technical_Institute,_Kaduna</v>
      </c>
      <c r="D37" s="99" t="str">
        <f>IFERROR(__xludf.DUMMYFUNCTION("""COMPUTED_VALUE"""),"0.012")</f>
        <v>0.012</v>
      </c>
      <c r="E37" s="99" t="str">
        <f>IFERROR(__xludf.DUMMYFUNCTION("""COMPUTED_VALUE"""),"OK")</f>
        <v>OK</v>
      </c>
      <c r="F37" s="99" t="str">
        <f>IFERROR(__xludf.DUMMYFUNCTION("""COMPUTED_VALUE"""),"hallucination")</f>
        <v>hallucination</v>
      </c>
      <c r="G37" s="99" t="str">
        <f>IFERROR(__xludf.DUMMYFUNCTION("""COMPUTED_VALUE"""),"x")</f>
        <v>x</v>
      </c>
      <c r="H37" s="99"/>
      <c r="I37" s="99"/>
      <c r="J37" s="99"/>
      <c r="K37" s="99"/>
      <c r="L37" s="99"/>
      <c r="M37" s="99"/>
      <c r="N37" s="99"/>
      <c r="O37" s="99"/>
    </row>
    <row r="38">
      <c r="A38" s="99">
        <f>IFERROR(__xludf.DUMMYFUNCTION("""COMPUTED_VALUE"""),80.0)</f>
        <v>80</v>
      </c>
      <c r="B38" s="99" t="str">
        <f>IFERROR(__xludf.DUMMYFUNCTION("""COMPUTED_VALUE"""),"carl a. wirtanen discovered (29075) 1950 da.")</f>
        <v>carl a. wirtanen discovered (29075) 1950 da.</v>
      </c>
      <c r="C38" s="99" t="str">
        <f>IFERROR(__xludf.DUMMYFUNCTION("""COMPUTED_VALUE"""),"(29075)_1950_DA|discoverer|Carl_A._Wirtanen")</f>
        <v>(29075)_1950_DA|discoverer|Carl_A._Wirtanen</v>
      </c>
      <c r="D38" s="99" t="str">
        <f>IFERROR(__xludf.DUMMYFUNCTION("""COMPUTED_VALUE"""),"0.982")</f>
        <v>0.982</v>
      </c>
      <c r="E38" s="99" t="str">
        <f>IFERROR(__xludf.DUMMYFUNCTION("""COMPUTED_VALUE"""),"not OK")</f>
        <v>not OK</v>
      </c>
      <c r="F38" s="99" t="str">
        <f>IFERROR(__xludf.DUMMYFUNCTION("""COMPUTED_VALUE"""),"OK")</f>
        <v>OK</v>
      </c>
      <c r="G38" s="99"/>
      <c r="H38" s="99" t="str">
        <f>IFERROR(__xludf.DUMMYFUNCTION("""COMPUTED_VALUE"""),"x")</f>
        <v>x</v>
      </c>
      <c r="I38" s="99"/>
      <c r="J38" s="99"/>
      <c r="K38" s="99"/>
      <c r="L38" s="99"/>
      <c r="M38" s="99"/>
      <c r="N38" s="99"/>
      <c r="O38" s="99"/>
    </row>
    <row r="39">
      <c r="A39" s="99">
        <f>IFERROR(__xludf.DUMMYFUNCTION("""COMPUTED_VALUE"""),61.0)</f>
        <v>61</v>
      </c>
      <c r="B39" s="99" t="str">
        <f>IFERROR(__xludf.DUMMYFUNCTION("""COMPUTED_VALUE"""),"athens international airport serves athens in greece. alexis tsipras and prokopis pavlopoulos are leaders in greece where the people there are called greek.")</f>
        <v>athens international airport serves athens in greece. alexis tsipras and prokopis pavlopoulos are leaders in greece where the people there are called greek.</v>
      </c>
      <c r="C39" s="99" t="str">
        <f>IFERROR(__xludf.DUMMYFUNCTION("""COMPUTED_VALUE"""),"Athens_International_Airport|cityServed|Athens ++ Athens|country|Greece ++ Greece|leaderName|Alexis_Tsipras ++ Greece|language|Greek_language ++ Greece|leaderName|Prokopis_Pavlopoulos")</f>
        <v>Athens_International_Airport|cityServed|Athens ++ Athens|country|Greece ++ Greece|leaderName|Alexis_Tsipras ++ Greece|language|Greek_language ++ Greece|leaderName|Prokopis_Pavlopoulos</v>
      </c>
      <c r="D39" s="99" t="str">
        <f>IFERROR(__xludf.DUMMYFUNCTION("""COMPUTED_VALUE"""),"0.307")</f>
        <v>0.307</v>
      </c>
      <c r="E39" s="99" t="str">
        <f>IFERROR(__xludf.DUMMYFUNCTION("""COMPUTED_VALUE"""),"OK")</f>
        <v>OK</v>
      </c>
      <c r="F39" s="99" t="str">
        <f>IFERROR(__xludf.DUMMYFUNCTION("""COMPUTED_VALUE"""),"hallucination+omission")</f>
        <v>hallucination+omission</v>
      </c>
      <c r="G39" s="99"/>
      <c r="H39" s="99" t="str">
        <f>IFERROR(__xludf.DUMMYFUNCTION("""COMPUTED_VALUE"""),"x")</f>
        <v>x</v>
      </c>
      <c r="I39" s="99"/>
      <c r="J39" s="99"/>
      <c r="K39" s="99"/>
      <c r="L39" s="99"/>
      <c r="M39" s="99"/>
      <c r="N39" s="99"/>
      <c r="O39" s="99"/>
    </row>
    <row r="40">
      <c r="A40" s="99">
        <f>IFERROR(__xludf.DUMMYFUNCTION("""COMPUTED_VALUE"""),48.0)</f>
        <v>48</v>
      </c>
      <c r="B40" s="99" t="str">
        <f>IFERROR(__xludf.DUMMYFUNCTION("""COMPUTED_VALUE"""),"aenir is in english.")</f>
        <v>aenir is in english.</v>
      </c>
      <c r="C40" s="99" t="str">
        <f>IFERROR(__xludf.DUMMYFUNCTION("""COMPUTED_VALUE"""),"Aenir|language|English_language")</f>
        <v>Aenir|language|English_language</v>
      </c>
      <c r="D40" s="99" t="str">
        <f>IFERROR(__xludf.DUMMYFUNCTION("""COMPUTED_VALUE"""),"0.800")</f>
        <v>0.800</v>
      </c>
      <c r="E40" s="99" t="str">
        <f>IFERROR(__xludf.DUMMYFUNCTION("""COMPUTED_VALUE"""),"not OK")</f>
        <v>not OK</v>
      </c>
      <c r="F40" s="99" t="str">
        <f>IFERROR(__xludf.DUMMYFUNCTION("""COMPUTED_VALUE"""),"OK")</f>
        <v>OK</v>
      </c>
      <c r="G40" s="99"/>
      <c r="H40" s="99" t="str">
        <f>IFERROR(__xludf.DUMMYFUNCTION("""COMPUTED_VALUE"""),"x")</f>
        <v>x</v>
      </c>
      <c r="I40" s="99"/>
      <c r="J40" s="99"/>
      <c r="K40" s="99"/>
      <c r="L40" s="99"/>
      <c r="M40" s="99"/>
      <c r="N40" s="99"/>
      <c r="O40" s="99"/>
    </row>
    <row r="41">
      <c r="A41" s="99">
        <f>IFERROR(__xludf.DUMMYFUNCTION("""COMPUTED_VALUE"""),77.0)</f>
        <v>77</v>
      </c>
      <c r="B41" s="99" t="str">
        <f>IFERROR(__xludf.DUMMYFUNCTION("""COMPUTED_VALUE"""),"baku turkish martyrs ' memorial is located in azerbaijan, which has artur rasizade as prime minister. baku is the capital of azerbaijan.")</f>
        <v>baku turkish martyrs ' memorial is located in azerbaijan, which has artur rasizade as prime minister. baku is the capital of azerbaijan.</v>
      </c>
      <c r="C41" s="99" t="str">
        <f>IFERROR(__xludf.DUMMYFUNCTION("""COMPUTED_VALUE"""),"Azerbaijan|capital|Baku ++ Azerbaijan|leaderTitle|Prime_Minister_of_Azerbaijan ++ Baku_Turkish_Martyrs'_Memorial|location|Azerbaijan ++ Azerbaijan|leaderName|Artur_Rasizade")</f>
        <v>Azerbaijan|capital|Baku ++ Azerbaijan|leaderTitle|Prime_Minister_of_Azerbaijan ++ Baku_Turkish_Martyrs'_Memorial|location|Azerbaijan ++ Azerbaijan|leaderName|Artur_Rasizade</v>
      </c>
      <c r="D41" s="99" t="str">
        <f>IFERROR(__xludf.DUMMYFUNCTION("""COMPUTED_VALUE"""),"0.475")</f>
        <v>0.475</v>
      </c>
      <c r="E41" s="99" t="str">
        <f>IFERROR(__xludf.DUMMYFUNCTION("""COMPUTED_VALUE"""),"OK")</f>
        <v>OK</v>
      </c>
      <c r="F41" s="99" t="str">
        <f>IFERROR(__xludf.DUMMYFUNCTION("""COMPUTED_VALUE"""),"omission")</f>
        <v>omission</v>
      </c>
      <c r="G41" s="99" t="str">
        <f>IFERROR(__xludf.DUMMYFUNCTION("""COMPUTED_VALUE"""),"x")</f>
        <v>x</v>
      </c>
      <c r="H41" s="99"/>
      <c r="I41" s="99"/>
      <c r="J41" s="99"/>
      <c r="K41" s="99"/>
      <c r="L41" s="99"/>
      <c r="M41" s="99"/>
      <c r="N41" s="99"/>
      <c r="O41" s="99"/>
    </row>
    <row r="42">
      <c r="A42" s="99">
        <f>IFERROR(__xludf.DUMMYFUNCTION("""COMPUTED_VALUE"""),64.0)</f>
        <v>64</v>
      </c>
      <c r="B42" s="99" t="str">
        <f>IFERROR(__xludf.DUMMYFUNCTION("""COMPUTED_VALUE"""),"atlantic city, new jersey is published in united states, the capital of which is washington dc")</f>
        <v>atlantic city, new jersey is published in united states, the capital of which is washington dc</v>
      </c>
      <c r="C42" s="99" t="str">
        <f>IFERROR(__xludf.DUMMYFUNCTION("""COMPUTED_VALUE"""),"Atlantic_City,_New_Jersey|country|United_States ++ United_States|capital|Washington,_D.C.")</f>
        <v>Atlantic_City,_New_Jersey|country|United_States ++ United_States|capital|Washington,_D.C.</v>
      </c>
      <c r="D42" s="99" t="str">
        <f>IFERROR(__xludf.DUMMYFUNCTION("""COMPUTED_VALUE"""),"0.824")</f>
        <v>0.824</v>
      </c>
      <c r="E42" s="99" t="str">
        <f>IFERROR(__xludf.DUMMYFUNCTION("""COMPUTED_VALUE"""),"not OK")</f>
        <v>not OK</v>
      </c>
      <c r="F42" s="99" t="str">
        <f>IFERROR(__xludf.DUMMYFUNCTION("""COMPUTED_VALUE"""),"OK")</f>
        <v>OK</v>
      </c>
      <c r="G42" s="99" t="str">
        <f>IFERROR(__xludf.DUMMYFUNCTION("""COMPUTED_VALUE"""),"x")</f>
        <v>x</v>
      </c>
      <c r="H42" s="99"/>
      <c r="I42" s="99"/>
      <c r="J42" s="99" t="str">
        <f>IFERROR(__xludf.DUMMYFUNCTION("""COMPUTED_VALUE"""),"x")</f>
        <v>x</v>
      </c>
      <c r="K42" s="99"/>
      <c r="L42" s="99"/>
      <c r="M42" s="99"/>
      <c r="N42" s="99"/>
      <c r="O42" s="99"/>
    </row>
    <row r="43">
      <c r="A43" s="99">
        <f>IFERROR(__xludf.DUMMYFUNCTION("""COMPUTED_VALUE"""),97.0)</f>
        <v>97</v>
      </c>
      <c r="B43" s="99" t="str">
        <f>IFERROR(__xludf.DUMMYFUNCTION("""COMPUTED_VALUE"""),"1 decembrie 1918 university is in the state of alba.")</f>
        <v>1 decembrie 1918 university is in the state of alba.</v>
      </c>
      <c r="C43" s="99" t="str">
        <f>IFERROR(__xludf.DUMMYFUNCTION("""COMPUTED_VALUE"""),"1_Decembrie_1918_University|state|Alba")</f>
        <v>1_Decembrie_1918_University|state|Alba</v>
      </c>
      <c r="D43" s="99" t="str">
        <f>IFERROR(__xludf.DUMMYFUNCTION("""COMPUTED_VALUE"""),"0.978")</f>
        <v>0.978</v>
      </c>
      <c r="E43" s="99" t="str">
        <f>IFERROR(__xludf.DUMMYFUNCTION("""COMPUTED_VALUE"""),"not OK")</f>
        <v>not OK</v>
      </c>
      <c r="F43" s="99" t="str">
        <f>IFERROR(__xludf.DUMMYFUNCTION("""COMPUTED_VALUE"""),"OK")</f>
        <v>OK</v>
      </c>
      <c r="G43" s="99"/>
      <c r="H43" s="99" t="str">
        <f>IFERROR(__xludf.DUMMYFUNCTION("""COMPUTED_VALUE"""),"x")</f>
        <v>x</v>
      </c>
      <c r="I43" s="99"/>
      <c r="J43" s="99"/>
      <c r="K43" s="99"/>
      <c r="L43" s="99"/>
      <c r="M43" s="99"/>
      <c r="N43" s="99"/>
      <c r="O43" s="99"/>
    </row>
    <row r="44">
      <c r="A44" s="99">
        <f>IFERROR(__xludf.DUMMYFUNCTION("""COMPUTED_VALUE"""),96.0)</f>
        <v>96</v>
      </c>
      <c r="B44" s="99" t="str">
        <f>IFERROR(__xludf.DUMMYFUNCTION("""COMPUTED_VALUE"""),"the comic character asterix was created by albert uderzo and rene goscinny, who is french.")</f>
        <v>the comic character asterix was created by albert uderzo and rene goscinny, who is french.</v>
      </c>
      <c r="C44" s="99" t="str">
        <f>IFERROR(__xludf.DUMMYFUNCTION("""COMPUTED_VALUE"""),"Asterix_(comicsCharacter)|creator|René_Goscinny ++ René_Goscinny|nationality|French_people ++ Asterix_(comicsCharacter)|creator|Albert_Uderzo")</f>
        <v>Asterix_(comicsCharacter)|creator|René_Goscinny ++ René_Goscinny|nationality|French_people ++ Asterix_(comicsCharacter)|creator|Albert_Uderzo</v>
      </c>
      <c r="D44" s="99" t="str">
        <f>IFERROR(__xludf.DUMMYFUNCTION("""COMPUTED_VALUE"""),"0.137")</f>
        <v>0.137</v>
      </c>
      <c r="E44" s="99" t="str">
        <f>IFERROR(__xludf.DUMMYFUNCTION("""COMPUTED_VALUE"""),"OK")</f>
        <v>OK</v>
      </c>
      <c r="F44" s="99" t="str">
        <f>IFERROR(__xludf.DUMMYFUNCTION("""COMPUTED_VALUE"""),"omission")</f>
        <v>omission</v>
      </c>
      <c r="G44" s="99" t="str">
        <f>IFERROR(__xludf.DUMMYFUNCTION("""COMPUTED_VALUE"""),"x")</f>
        <v>x</v>
      </c>
      <c r="H44" s="99"/>
      <c r="I44" s="99"/>
      <c r="J44" s="99"/>
      <c r="K44" s="99"/>
      <c r="L44" s="99"/>
      <c r="M44" s="99"/>
      <c r="N44" s="99"/>
      <c r="O44" s="99"/>
    </row>
    <row r="45">
      <c r="A45" s="99">
        <f>IFERROR(__xludf.DUMMYFUNCTION("""COMPUTED_VALUE"""),94.0)</f>
        <v>94</v>
      </c>
      <c r="B45" s="99" t="str">
        <f>IFERROR(__xludf.DUMMYFUNCTION("""COMPUTED_VALUE"""),"associazione calcio lumezzane spa is the nickname of ac lumezzane. lumezzane have 4150 members and play in lega pro/a.")</f>
        <v>associazione calcio lumezzane spa is the nickname of ac lumezzane. lumezzane have 4150 members and play in lega pro/a.</v>
      </c>
      <c r="C45" s="99" t="str">
        <f>IFERROR(__xludf.DUMMYFUNCTION("""COMPUTED_VALUE"""),"A.C._Lumezzane|fullname|""Associazione Calcio Lumezzane SpA"" ++ A.C._Lumezzane|league|""Lega Pro/A"" ++ A.C._Lumezzane|numberOfMembers|4150")</f>
        <v>A.C._Lumezzane|fullname|"Associazione Calcio Lumezzane SpA" ++ A.C._Lumezzane|league|"Lega Pro/A" ++ A.C._Lumezzane|numberOfMembers|4150</v>
      </c>
      <c r="D45" s="99" t="str">
        <f>IFERROR(__xludf.DUMMYFUNCTION("""COMPUTED_VALUE"""),"0.331")</f>
        <v>0.331</v>
      </c>
      <c r="E45" s="99" t="str">
        <f>IFERROR(__xludf.DUMMYFUNCTION("""COMPUTED_VALUE"""),"OK")</f>
        <v>OK</v>
      </c>
      <c r="F45" s="99" t="str">
        <f>IFERROR(__xludf.DUMMYFUNCTION("""COMPUTED_VALUE"""),"omission")</f>
        <v>omission</v>
      </c>
      <c r="G45" s="99" t="str">
        <f>IFERROR(__xludf.DUMMYFUNCTION("""COMPUTED_VALUE"""),"x")</f>
        <v>x</v>
      </c>
      <c r="H45" s="99"/>
      <c r="I45" s="99"/>
      <c r="J45" s="99"/>
      <c r="K45" s="99"/>
      <c r="L45" s="99"/>
      <c r="M45" s="99"/>
      <c r="N45" s="99"/>
      <c r="O45" s="99"/>
    </row>
    <row r="46">
      <c r="A46" s="99">
        <f>IFERROR(__xludf.DUMMYFUNCTION("""COMPUTED_VALUE"""),93.0)</f>
        <v>93</v>
      </c>
      <c r="B46" s="99" t="str">
        <f>IFERROR(__xludf.DUMMYFUNCTION("""COMPUTED_VALUE"""),"rolando maran , who has managed ac chievo verona , was born in italy .")</f>
        <v>rolando maran , who has managed ac chievo verona , was born in italy .</v>
      </c>
      <c r="C46" s="99" t="str">
        <f>IFERROR(__xludf.DUMMYFUNCTION("""COMPUTED_VALUE"""),"A.C._Chievo_Verona|manager|Rolando_Maran ++ Rolando_Maran|placeOfBirth|Italy")</f>
        <v>A.C._Chievo_Verona|manager|Rolando_Maran ++ Rolando_Maran|placeOfBirth|Italy</v>
      </c>
      <c r="D46" s="99" t="str">
        <f>IFERROR(__xludf.DUMMYFUNCTION("""COMPUTED_VALUE"""),"0.955")</f>
        <v>0.955</v>
      </c>
      <c r="E46" s="99" t="str">
        <f>IFERROR(__xludf.DUMMYFUNCTION("""COMPUTED_VALUE"""),"not OK")</f>
        <v>not OK</v>
      </c>
      <c r="F46" s="99" t="str">
        <f>IFERROR(__xludf.DUMMYFUNCTION("""COMPUTED_VALUE"""),"OK")</f>
        <v>OK</v>
      </c>
      <c r="G46" s="99"/>
      <c r="H46" s="99" t="str">
        <f>IFERROR(__xludf.DUMMYFUNCTION("""COMPUTED_VALUE"""),"x")</f>
        <v>x</v>
      </c>
      <c r="I46" s="99"/>
      <c r="J46" s="99"/>
      <c r="K46" s="99"/>
      <c r="L46" s="99"/>
      <c r="M46" s="99"/>
      <c r="N46" s="99"/>
      <c r="O46" s="99"/>
    </row>
    <row r="47">
      <c r="A47" s="99">
        <f>IFERROR(__xludf.DUMMYFUNCTION("""COMPUTED_VALUE"""),46.0)</f>
        <v>46</v>
      </c>
      <c r="B47" s="99" t="str">
        <f>IFERROR(__xludf.DUMMYFUNCTION("""COMPUTED_VALUE"""),"the baku turkish martyr 's memorial is located in baku, the capital of azerbaijan, lead by prime minister artur rasizade.")</f>
        <v>the baku turkish martyr 's memorial is located in baku, the capital of azerbaijan, lead by prime minister artur rasizade.</v>
      </c>
      <c r="C47" s="99" t="str">
        <f>IFERROR(__xludf.DUMMYFUNCTION("""COMPUTED_VALUE"""),"Azerbaijan|capital|Baku ++ Azerbaijan|leaderTitle|Prime_Minister_of_Azerbaijan ++ Baku_Turkish_Martyrs'_Memorial|location|Azerbaijan ++ Azerbaijan|leaderName|Artur_Rasizade")</f>
        <v>Azerbaijan|capital|Baku ++ Azerbaijan|leaderTitle|Prime_Minister_of_Azerbaijan ++ Baku_Turkish_Martyrs'_Memorial|location|Azerbaijan ++ Azerbaijan|leaderName|Artur_Rasizade</v>
      </c>
      <c r="D47" s="99" t="str">
        <f>IFERROR(__xludf.DUMMYFUNCTION("""COMPUTED_VALUE"""),"0.414")</f>
        <v>0.414</v>
      </c>
      <c r="E47" s="99" t="str">
        <f>IFERROR(__xludf.DUMMYFUNCTION("""COMPUTED_VALUE"""),"OK")</f>
        <v>OK</v>
      </c>
      <c r="F47" s="99" t="str">
        <f>IFERROR(__xludf.DUMMYFUNCTION("""COMPUTED_VALUE"""),"omission")</f>
        <v>omission</v>
      </c>
      <c r="G47" s="99" t="str">
        <f>IFERROR(__xludf.DUMMYFUNCTION("""COMPUTED_VALUE"""),"x")</f>
        <v>x</v>
      </c>
      <c r="H47" s="99"/>
      <c r="I47" s="99"/>
      <c r="J47" s="99"/>
      <c r="K47" s="99"/>
      <c r="L47" s="99"/>
      <c r="M47" s="99"/>
      <c r="N47" s="99"/>
      <c r="O47" s="99"/>
    </row>
    <row r="48">
      <c r="A48" s="99">
        <f>IFERROR(__xludf.DUMMYFUNCTION("""COMPUTED_VALUE"""),27.0)</f>
        <v>27</v>
      </c>
      <c r="B48" s="99" t="str">
        <f>IFERROR(__xludf.DUMMYFUNCTION("""COMPUTED_VALUE"""),"nan")</f>
        <v>nan</v>
      </c>
      <c r="C48" s="99" t="str">
        <f>IFERROR(__xludf.DUMMYFUNCTION("""COMPUTED_VALUE"""),"Indonesia|language|Indonesian_language")</f>
        <v>Indonesia|language|Indonesian_language</v>
      </c>
      <c r="D48" s="99" t="str">
        <f>IFERROR(__xludf.DUMMYFUNCTION("""COMPUTED_VALUE"""),"0.599")</f>
        <v>0.599</v>
      </c>
      <c r="E48" s="99" t="str">
        <f>IFERROR(__xludf.DUMMYFUNCTION("""COMPUTED_VALUE"""),"not OK")</f>
        <v>not OK</v>
      </c>
      <c r="F48" s="99" t="str">
        <f>IFERROR(__xludf.DUMMYFUNCTION("""COMPUTED_VALUE"""),"OK")</f>
        <v>OK</v>
      </c>
      <c r="G48" s="99" t="str">
        <f>IFERROR(__xludf.DUMMYFUNCTION("""COMPUTED_VALUE"""),"x")</f>
        <v>x</v>
      </c>
      <c r="H48" s="99"/>
      <c r="I48" s="99"/>
      <c r="J48" s="99"/>
      <c r="K48" s="99"/>
      <c r="L48" s="99"/>
      <c r="M48" s="99"/>
      <c r="N48" s="99"/>
      <c r="O48" s="99"/>
    </row>
    <row r="49">
      <c r="A49" s="99">
        <f>IFERROR(__xludf.DUMMYFUNCTION("""COMPUTED_VALUE"""),3.0)</f>
        <v>3</v>
      </c>
      <c r="B49" s="99" t="str">
        <f>IFERROR(__xludf.DUMMYFUNCTION("""COMPUTED_VALUE"""),"adare manor is located in county limerick, adare, limerick city and county council and is operated by munster.")</f>
        <v>adare manor is located in county limerick, adare, limerick city and county council and is operated by munster.</v>
      </c>
      <c r="C49" s="99" t="str">
        <f>IFERROR(__xludf.DUMMYFUNCTION("""COMPUTED_VALUE"""),"Adare_Manor|location|Adare ++ County_Limerick|isPartOf|Munster ++ Adare_Manor|location|County_Limerick ++ County_Limerick|governmentType|Limerick_City_and_County_Council")</f>
        <v>Adare_Manor|location|Adare ++ County_Limerick|isPartOf|Munster ++ Adare_Manor|location|County_Limerick ++ County_Limerick|governmentType|Limerick_City_and_County_Council</v>
      </c>
      <c r="D49" s="99" t="str">
        <f>IFERROR(__xludf.DUMMYFUNCTION("""COMPUTED_VALUE"""),"0.769")</f>
        <v>0.769</v>
      </c>
      <c r="E49" s="99" t="str">
        <f>IFERROR(__xludf.DUMMYFUNCTION("""COMPUTED_VALUE"""),"not OK")</f>
        <v>not OK</v>
      </c>
      <c r="F49" s="99" t="str">
        <f>IFERROR(__xludf.DUMMYFUNCTION("""COMPUTED_VALUE"""),"OK")</f>
        <v>OK</v>
      </c>
      <c r="G49" s="99" t="str">
        <f>IFERROR(__xludf.DUMMYFUNCTION("""COMPUTED_VALUE"""),"x")</f>
        <v>x</v>
      </c>
      <c r="H49" s="99"/>
      <c r="I49" s="99"/>
      <c r="J49" s="99"/>
      <c r="K49" s="99"/>
      <c r="L49" s="99"/>
      <c r="M49" s="99"/>
      <c r="N49" s="99"/>
      <c r="O49" s="99"/>
    </row>
    <row r="50">
      <c r="A50" s="99">
        <f>IFERROR(__xludf.DUMMYFUNCTION("""COMPUTED_VALUE"""),54.0)</f>
        <v>54</v>
      </c>
      <c r="B50" s="99" t="str">
        <f>IFERROR(__xludf.DUMMYFUNCTION("""COMPUTED_VALUE"""),"american journal of mathematics, the academic discipline mathematics")</f>
        <v>american journal of mathematics, the academic discipline mathematics</v>
      </c>
      <c r="C50" s="99" t="str">
        <f>IFERROR(__xludf.DUMMYFUNCTION("""COMPUTED_VALUE"""),"American_Journal_of_Mathematics|academicDiscipline|Mathematics")</f>
        <v>American_Journal_of_Mathematics|academicDiscipline|Mathematics</v>
      </c>
      <c r="D50" s="99" t="str">
        <f>IFERROR(__xludf.DUMMYFUNCTION("""COMPUTED_VALUE"""),"0.977")</f>
        <v>0.977</v>
      </c>
      <c r="E50" s="99" t="str">
        <f>IFERROR(__xludf.DUMMYFUNCTION("""COMPUTED_VALUE"""),"not OK")</f>
        <v>not OK</v>
      </c>
      <c r="F50" s="99" t="str">
        <f>IFERROR(__xludf.DUMMYFUNCTION("""COMPUTED_VALUE"""),"OK")</f>
        <v>OK</v>
      </c>
      <c r="G50" s="99"/>
      <c r="H50" s="99" t="str">
        <f>IFERROR(__xludf.DUMMYFUNCTION("""COMPUTED_VALUE"""),"x")</f>
        <v>x</v>
      </c>
      <c r="I50" s="99"/>
      <c r="J50" s="99"/>
      <c r="K50" s="99"/>
      <c r="L50" s="99"/>
      <c r="M50" s="99"/>
      <c r="N50" s="99"/>
      <c r="O50" s="99"/>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sheetData>
    <row r="1">
      <c r="A1" s="99" t="str">
        <f>'Original-WebNLG'!A2</f>
        <v/>
      </c>
      <c r="B1" s="99" t="str">
        <f>'Original-WebNLG'!B2</f>
        <v>sent</v>
      </c>
      <c r="C1" s="99" t="str">
        <f>'Original-WebNLG'!C2</f>
        <v>MRs</v>
      </c>
      <c r="D1" s="99" t="str">
        <f>'Original-WebNLG'!D2</f>
        <v>OK_conf</v>
      </c>
      <c r="E1" s="99" t="str">
        <f>'Original-WebNLG'!E2</f>
        <v>error_type</v>
      </c>
      <c r="F1" s="99" t="str">
        <f>'Original-WebNLG'!F2</f>
        <v/>
      </c>
      <c r="G1" s="99" t="str">
        <f>'Original-WebNLG'!G2</f>
        <v>who is correct</v>
      </c>
      <c r="H1" s="99" t="str">
        <f>'Original-WebNLG'!H2</f>
        <v/>
      </c>
      <c r="I1" s="99" t="str">
        <f>'Original-WebNLG'!I2</f>
        <v/>
      </c>
      <c r="J1" s="99" t="str">
        <f>'Original-WebNLG'!J2</f>
        <v>problem</v>
      </c>
      <c r="K1" s="99" t="str">
        <f>'Original-WebNLG'!K2</f>
        <v/>
      </c>
      <c r="L1" s="99" t="str">
        <f>'Original-WebNLG'!L2</f>
        <v/>
      </c>
      <c r="M1" s="99" t="str">
        <f>'Original-WebNLG'!M2</f>
        <v/>
      </c>
      <c r="N1" s="99" t="str">
        <f>'Original-WebNLG'!N2</f>
        <v/>
      </c>
      <c r="O1" s="99" t="str">
        <f>'Original-WebNLG'!O2</f>
        <v/>
      </c>
    </row>
    <row r="2">
      <c r="A2" s="99" t="str">
        <f>'Original-WebNLG'!A3</f>
        <v>#</v>
      </c>
      <c r="B2" s="99" t="str">
        <f>'Original-WebNLG'!B3</f>
        <v/>
      </c>
      <c r="C2" s="99" t="str">
        <f>'Original-WebNLG'!C3</f>
        <v/>
      </c>
      <c r="D2" s="99" t="str">
        <f>'Original-WebNLG'!D3</f>
        <v/>
      </c>
      <c r="E2" s="99" t="str">
        <f>'Original-WebNLG'!E3</f>
        <v>gold</v>
      </c>
      <c r="F2" s="99" t="str">
        <f>'Original-WebNLG'!F3</f>
        <v>NLI</v>
      </c>
      <c r="G2" s="99" t="str">
        <f>'Original-WebNLG'!G3</f>
        <v>gold</v>
      </c>
      <c r="H2" s="99" t="str">
        <f>'Original-WebNLG'!H3</f>
        <v>NLI</v>
      </c>
      <c r="I2" s="99" t="str">
        <f>'Original-WebNLG'!I3</f>
        <v>neither / cannot decide</v>
      </c>
      <c r="J2" s="99" t="str">
        <f>'Original-WebNLG'!J3</f>
        <v>biased template</v>
      </c>
      <c r="K2" s="99" t="str">
        <f>'Original-WebNLG'!K3</f>
        <v>value format</v>
      </c>
      <c r="L2" s="99" t="str">
        <f>'Original-WebNLG'!L3</f>
        <v>bad sentence</v>
      </c>
      <c r="M2" s="99" t="str">
        <f>'Original-WebNLG'!M3</f>
        <v>unjustified OK</v>
      </c>
      <c r="N2" s="99" t="str">
        <f>'Original-WebNLG'!N3</f>
        <v>unjustified not OK</v>
      </c>
      <c r="O2" s="99" t="str">
        <f>'Original-WebNLG'!O3</f>
        <v>other</v>
      </c>
    </row>
    <row r="3">
      <c r="A3" s="99">
        <f>'retrieve WebNLG TCF random'!A5</f>
        <v>1</v>
      </c>
      <c r="B3" s="99" t="str">
        <f>'retrieve WebNLG TCF random'!B5</f>
        <v>aenir is written in english.</v>
      </c>
      <c r="C3" s="99" t="str">
        <f>'retrieve WebNLG TCF random'!C5</f>
        <v>Aenir|language|English_language</v>
      </c>
      <c r="D3" s="99" t="str">
        <f>'retrieve WebNLG TCF random'!D5</f>
        <v>0.125</v>
      </c>
      <c r="E3" s="99" t="str">
        <f>'retrieve WebNLG TCF random'!E5</f>
        <v>OK</v>
      </c>
      <c r="F3" s="99" t="str">
        <f>'retrieve WebNLG TCF random'!F5</f>
        <v>hallucination</v>
      </c>
      <c r="G3" s="99" t="str">
        <f>'retrieve WebNLG TCF random'!G5</f>
        <v>x</v>
      </c>
      <c r="H3" s="99" t="str">
        <f>'retrieve WebNLG TCF random'!H5</f>
        <v/>
      </c>
      <c r="I3" s="99" t="str">
        <f>'retrieve WebNLG TCF random'!I5</f>
        <v/>
      </c>
      <c r="J3" s="99" t="str">
        <f>'retrieve WebNLG TCF random'!J5</f>
        <v/>
      </c>
      <c r="K3" s="99" t="str">
        <f>'retrieve WebNLG TCF random'!K5</f>
        <v/>
      </c>
      <c r="L3" s="99" t="str">
        <f>'retrieve WebNLG TCF random'!L5</f>
        <v/>
      </c>
      <c r="M3" s="99" t="str">
        <f>'retrieve WebNLG TCF random'!M5</f>
        <v/>
      </c>
      <c r="N3" s="99" t="str">
        <f>'retrieve WebNLG TCF random'!N5</f>
        <v/>
      </c>
      <c r="O3" s="99" t="str">
        <f>'retrieve WebNLG TCF random'!O5</f>
        <v/>
      </c>
    </row>
    <row r="4">
      <c r="A4" s="99">
        <f>'retrieve WebNLG AB random'!A31</f>
        <v>2</v>
      </c>
      <c r="B4" s="99" t="str">
        <f>'retrieve WebNLG AB random'!B31</f>
        <v>the awh engineering college is located in kuttikkattoor, kerala. it was established in 2001 and it has 250 academic staff. kerala has mahe, country to its northwest.</v>
      </c>
      <c r="C4" s="99" t="str">
        <f>'retrieve WebNLG AB random'!C31</f>
        <v>AWH_Engineering_College|established|2001 ++ AWH_Engineering_College|academicStaffSize|250 ++ AWH_Engineering_College|state|Kerala ++ Kerala|has to its northwest|Mahé,_India ++ AWH_Engineering_College|city|"Kuttikkattoor"</v>
      </c>
      <c r="D4" s="99" t="str">
        <f>'retrieve WebNLG AB random'!D31</f>
        <v>0.838</v>
      </c>
      <c r="E4" s="99" t="str">
        <f>'retrieve WebNLG AB random'!E31</f>
        <v>not OK</v>
      </c>
      <c r="F4" s="99" t="str">
        <f>'retrieve WebNLG AB random'!F31</f>
        <v>OK</v>
      </c>
      <c r="G4" s="99" t="str">
        <f>'retrieve WebNLG AB random'!G31</f>
        <v>x</v>
      </c>
      <c r="H4" s="99" t="str">
        <f>'retrieve WebNLG AB random'!H31</f>
        <v/>
      </c>
      <c r="I4" s="99" t="str">
        <f>'retrieve WebNLG AB random'!I31</f>
        <v/>
      </c>
      <c r="J4" s="99" t="str">
        <f>'retrieve WebNLG AB random'!J31</f>
        <v/>
      </c>
      <c r="K4" s="99" t="str">
        <f>'retrieve WebNLG AB random'!K31</f>
        <v/>
      </c>
      <c r="L4" s="99" t="str">
        <f>'retrieve WebNLG AB random'!L31</f>
        <v/>
      </c>
      <c r="M4" s="99" t="str">
        <f>'retrieve WebNLG AB random'!M31</f>
        <v>x</v>
      </c>
      <c r="N4" s="99" t="str">
        <f>'retrieve WebNLG AB random'!N31</f>
        <v/>
      </c>
      <c r="O4" s="99" t="str">
        <f>'retrieve WebNLG AB random'!O31</f>
        <v>should be omission ('India')</v>
      </c>
    </row>
    <row r="5">
      <c r="A5" s="99">
        <f>'retrieve WebNLG TCF random'!A49</f>
        <v>3</v>
      </c>
      <c r="B5" s="99" t="str">
        <f>'retrieve WebNLG TCF random'!B49</f>
        <v>adare manor is located in county limerick, adare, limerick city and county council and is operated by munster.</v>
      </c>
      <c r="C5" s="99" t="str">
        <f>'retrieve WebNLG TCF random'!C49</f>
        <v>Adare_Manor|location|Adare ++ County_Limerick|isPartOf|Munster ++ Adare_Manor|location|County_Limerick ++ County_Limerick|governmentType|Limerick_City_and_County_Council</v>
      </c>
      <c r="D5" s="99" t="str">
        <f>'retrieve WebNLG TCF random'!D49</f>
        <v>0.769</v>
      </c>
      <c r="E5" s="99" t="str">
        <f>'retrieve WebNLG TCF random'!E49</f>
        <v>not OK</v>
      </c>
      <c r="F5" s="99" t="str">
        <f>'retrieve WebNLG TCF random'!F49</f>
        <v>OK</v>
      </c>
      <c r="G5" s="99" t="str">
        <f>'retrieve WebNLG TCF random'!G49</f>
        <v>x</v>
      </c>
      <c r="H5" s="99" t="str">
        <f>'retrieve WebNLG TCF random'!H49</f>
        <v/>
      </c>
      <c r="I5" s="99" t="str">
        <f>'retrieve WebNLG TCF random'!I49</f>
        <v/>
      </c>
      <c r="J5" s="99" t="str">
        <f>'retrieve WebNLG TCF random'!J49</f>
        <v/>
      </c>
      <c r="K5" s="99" t="str">
        <f>'retrieve WebNLG TCF random'!K49</f>
        <v/>
      </c>
      <c r="L5" s="99" t="str">
        <f>'retrieve WebNLG TCF random'!L49</f>
        <v/>
      </c>
      <c r="M5" s="99" t="str">
        <f>'retrieve WebNLG TCF random'!M49</f>
        <v/>
      </c>
      <c r="N5" s="99" t="str">
        <f>'retrieve WebNLG TCF random'!N49</f>
        <v/>
      </c>
      <c r="O5" s="99" t="str">
        <f>'retrieve WebNLG TCF random'!O49</f>
        <v/>
      </c>
    </row>
    <row r="6">
      <c r="A6" s="99">
        <f>'retrieve WebNLG TCF random'!A27</f>
        <v>4</v>
      </c>
      <c r="B6" s="99" t="str">
        <f>'retrieve WebNLG TCF random'!B27</f>
        <v>elliot see died in st louis in france on february 28th 1966.</v>
      </c>
      <c r="C6" s="99" t="str">
        <f>'retrieve WebNLG TCF random'!C27</f>
        <v>Elliot_See|deathPlace|St._Louis ++ St._Louis|isPartOf|Kingdom_of_France ++ Elliot_See|deathDate|"1966-02-28"</v>
      </c>
      <c r="D6" s="99" t="str">
        <f>'retrieve WebNLG TCF random'!D27</f>
        <v>0.500</v>
      </c>
      <c r="E6" s="99" t="str">
        <f>'retrieve WebNLG TCF random'!E27</f>
        <v>not OK</v>
      </c>
      <c r="F6" s="99" t="str">
        <f>'retrieve WebNLG TCF random'!F27</f>
        <v>OK</v>
      </c>
      <c r="G6" s="99" t="str">
        <f>'retrieve WebNLG TCF random'!G27</f>
        <v/>
      </c>
      <c r="H6" s="99" t="str">
        <f>'retrieve WebNLG TCF random'!H27</f>
        <v>x</v>
      </c>
      <c r="I6" s="99" t="str">
        <f>'retrieve WebNLG TCF random'!I27</f>
        <v/>
      </c>
      <c r="J6" s="99" t="str">
        <f>'retrieve WebNLG TCF random'!J27</f>
        <v/>
      </c>
      <c r="K6" s="99" t="str">
        <f>'retrieve WebNLG TCF random'!K27</f>
        <v/>
      </c>
      <c r="L6" s="99" t="str">
        <f>'retrieve WebNLG TCF random'!L27</f>
        <v/>
      </c>
      <c r="M6" s="99" t="str">
        <f>'retrieve WebNLG TCF random'!M27</f>
        <v/>
      </c>
      <c r="N6" s="99" t="str">
        <f>'retrieve WebNLG TCF random'!N27</f>
        <v/>
      </c>
      <c r="O6" s="99" t="str">
        <f>'retrieve WebNLG TCF random'!O27</f>
        <v/>
      </c>
    </row>
    <row r="7">
      <c r="A7" s="99">
        <f>'retrieve WebNLG AB random'!A37</f>
        <v>5</v>
      </c>
      <c r="B7" s="99" t="str">
        <f>'retrieve WebNLG AB random'!B37</f>
        <v>the leader of azerbaijan is called the prime minister.</v>
      </c>
      <c r="C7" s="99" t="str">
        <f>'retrieve WebNLG AB random'!C37</f>
        <v>Azerbaijan|leaderTitle|Prime_Minister_of_Azerbaijan</v>
      </c>
      <c r="D7" s="99" t="str">
        <f>'retrieve WebNLG AB random'!D37</f>
        <v>0.973</v>
      </c>
      <c r="E7" s="99" t="str">
        <f>'retrieve WebNLG AB random'!E37</f>
        <v>not OK</v>
      </c>
      <c r="F7" s="99" t="str">
        <f>'retrieve WebNLG AB random'!F37</f>
        <v>OK</v>
      </c>
      <c r="G7" s="99" t="str">
        <f>'retrieve WebNLG AB random'!G37</f>
        <v/>
      </c>
      <c r="H7" s="99" t="str">
        <f>'retrieve WebNLG AB random'!H37</f>
        <v>x</v>
      </c>
      <c r="I7" s="99" t="str">
        <f>'retrieve WebNLG AB random'!I37</f>
        <v/>
      </c>
      <c r="J7" s="99" t="str">
        <f>'retrieve WebNLG AB random'!J37</f>
        <v/>
      </c>
      <c r="K7" s="99" t="str">
        <f>'retrieve WebNLG AB random'!K37</f>
        <v/>
      </c>
      <c r="L7" s="99" t="str">
        <f>'retrieve WebNLG AB random'!L37</f>
        <v/>
      </c>
      <c r="M7" s="99" t="str">
        <f>'retrieve WebNLG AB random'!M37</f>
        <v/>
      </c>
      <c r="N7" s="99" t="str">
        <f>'retrieve WebNLG AB random'!N37</f>
        <v>x</v>
      </c>
      <c r="O7" s="99" t="str">
        <f>'retrieve WebNLG AB random'!O37</f>
        <v>gold maybe not ok because 'of Azerbaija' is missing</v>
      </c>
    </row>
    <row r="8">
      <c r="A8" s="99">
        <f>'retrieve WebNLG AB random'!A35</f>
        <v>6</v>
      </c>
      <c r="B8" s="99" t="str">
        <f>'retrieve WebNLG AB random'!B35</f>
        <v>baku is the capital of azerbaijan where the leader is artur rasizade and the capital is baku. the baku turkish martyrs ' memorial is located in azerbaijan.</v>
      </c>
      <c r="C8" s="99" t="str">
        <f>'retrieve WebNLG AB random'!C35</f>
        <v>Azerbaijan|capital|Baku ++ Azerbaijan|leaderTitle|Prime_Minister_of_Azerbaijan ++ Baku_Turkish_Martyrs'_Memorial|location|Azerbaijan ++ Azerbaijan|leaderName|Artur_Rasizade</v>
      </c>
      <c r="D8" s="99" t="str">
        <f>'retrieve WebNLG AB random'!D35</f>
        <v>0.125</v>
      </c>
      <c r="E8" s="99" t="str">
        <f>'retrieve WebNLG AB random'!E35</f>
        <v>OK</v>
      </c>
      <c r="F8" s="99" t="str">
        <f>'retrieve WebNLG AB random'!F35</f>
        <v>omission</v>
      </c>
      <c r="G8" s="99" t="str">
        <f>'retrieve WebNLG AB random'!G35</f>
        <v/>
      </c>
      <c r="H8" s="99" t="str">
        <f>'retrieve WebNLG AB random'!H35</f>
        <v>x</v>
      </c>
      <c r="I8" s="99" t="str">
        <f>'retrieve WebNLG AB random'!I35</f>
        <v/>
      </c>
      <c r="J8" s="99" t="str">
        <f>'retrieve WebNLG AB random'!J35</f>
        <v/>
      </c>
      <c r="K8" s="99" t="str">
        <f>'retrieve WebNLG AB random'!K35</f>
        <v/>
      </c>
      <c r="L8" s="99" t="str">
        <f>'retrieve WebNLG AB random'!L35</f>
        <v/>
      </c>
      <c r="M8" s="99" t="str">
        <f>'retrieve WebNLG AB random'!M35</f>
        <v>x</v>
      </c>
      <c r="N8" s="99" t="str">
        <f>'retrieve WebNLG AB random'!N35</f>
        <v/>
      </c>
      <c r="O8" s="99" t="str">
        <f>'retrieve WebNLG AB random'!O35</f>
        <v>should be hallucination+omission because leaderTitle is missing and capital is repeated</v>
      </c>
    </row>
    <row r="9">
      <c r="A9" s="99">
        <f>'retrieve WebNLG AB random'!A14</f>
        <v>7</v>
      </c>
      <c r="B9" s="99" t="str">
        <f>'retrieve WebNLG AB random'!B14</f>
        <v>aenir is written in english language.</v>
      </c>
      <c r="C9" s="99" t="str">
        <f>'retrieve WebNLG AB random'!C14</f>
        <v>Aenir|language|English_language</v>
      </c>
      <c r="D9" s="99" t="str">
        <f>'retrieve WebNLG AB random'!D14</f>
        <v>0.099</v>
      </c>
      <c r="E9" s="99" t="str">
        <f>'retrieve WebNLG AB random'!E14</f>
        <v>OK</v>
      </c>
      <c r="F9" s="99" t="str">
        <f>'retrieve WebNLG AB random'!F14</f>
        <v>hallucination</v>
      </c>
      <c r="G9" s="99" t="str">
        <f>'retrieve WebNLG AB random'!G14</f>
        <v>x</v>
      </c>
      <c r="H9" s="99" t="str">
        <f>'retrieve WebNLG AB random'!H14</f>
        <v/>
      </c>
      <c r="I9" s="99" t="str">
        <f>'retrieve WebNLG AB random'!I14</f>
        <v/>
      </c>
      <c r="J9" s="99" t="str">
        <f>'retrieve WebNLG AB random'!J14</f>
        <v/>
      </c>
      <c r="K9" s="99" t="str">
        <f>'retrieve WebNLG AB random'!K14</f>
        <v/>
      </c>
      <c r="L9" s="99" t="str">
        <f>'retrieve WebNLG AB random'!L14</f>
        <v>x</v>
      </c>
      <c r="M9" s="99" t="str">
        <f>'retrieve WebNLG AB random'!M14</f>
        <v/>
      </c>
      <c r="N9" s="99" t="str">
        <f>'retrieve WebNLG AB random'!N14</f>
        <v/>
      </c>
      <c r="O9" s="99" t="str">
        <f>'retrieve WebNLG AB random'!O14</f>
        <v>NLI wrongly has hallucination maybe because of 'written'</v>
      </c>
    </row>
    <row r="10">
      <c r="A10" s="99">
        <f>'retrieve WebNLG AB random'!A47</f>
        <v>8</v>
      </c>
      <c r="B10" s="99" t="str">
        <f>'retrieve WebNLG AB random'!B47</f>
        <v>a loyal character dancer is published by soho press in the united states where native americans are an ethnic group. english is spoken both in the us and great britain.</v>
      </c>
      <c r="C10" s="99" t="str">
        <f>'retrieve WebNLG AB random'!C47</f>
        <v>English_language|spokenIn|Great_Britain ++ A_Loyal_Character_Dancer|publisher|Soho_Press ++ A_Loyal_Character_Dancer|country|United_States ++ United_States|ethnicGroup|Native_Americans_in_the_United_States ++ United_States|language|English_language</v>
      </c>
      <c r="D10" s="99" t="str">
        <f>'retrieve WebNLG AB random'!D47</f>
        <v>0.751</v>
      </c>
      <c r="E10" s="99" t="str">
        <f>'retrieve WebNLG AB random'!E47</f>
        <v>not OK</v>
      </c>
      <c r="F10" s="99" t="str">
        <f>'retrieve WebNLG AB random'!F47</f>
        <v>OK</v>
      </c>
      <c r="G10" s="99" t="str">
        <f>'retrieve WebNLG AB random'!G47</f>
        <v/>
      </c>
      <c r="H10" s="99" t="str">
        <f>'retrieve WebNLG AB random'!H47</f>
        <v>x</v>
      </c>
      <c r="I10" s="99" t="str">
        <f>'retrieve WebNLG AB random'!I47</f>
        <v/>
      </c>
      <c r="J10" s="99" t="str">
        <f>'retrieve WebNLG AB random'!J47</f>
        <v/>
      </c>
      <c r="K10" s="99" t="str">
        <f>'retrieve WebNLG AB random'!K47</f>
        <v/>
      </c>
      <c r="L10" s="99" t="str">
        <f>'retrieve WebNLG AB random'!L47</f>
        <v>x</v>
      </c>
      <c r="M10" s="99" t="str">
        <f>'retrieve WebNLG AB random'!M47</f>
        <v/>
      </c>
      <c r="N10" s="99" t="str">
        <f>'retrieve WebNLG AB random'!N47</f>
        <v>x</v>
      </c>
      <c r="O10" s="99" t="str">
        <f>'retrieve WebNLG AB random'!O47</f>
        <v>gold has not OK maybe because both spokenIn and language are realised by 'spoken in'</v>
      </c>
    </row>
    <row r="11">
      <c r="A11" s="99">
        <f>'retrieve WebNLG AB random'!A13</f>
        <v>9</v>
      </c>
      <c r="B11" s="99" t="str">
        <f>'retrieve WebNLG AB random'!B13</f>
        <v>shumai is a variation of batagor.</v>
      </c>
      <c r="C11" s="99" t="str">
        <f>'retrieve WebNLG AB random'!C13</f>
        <v>Batagor|dishVariation|Shumai</v>
      </c>
      <c r="D11" s="99" t="str">
        <f>'retrieve WebNLG AB random'!D13</f>
        <v>0.524</v>
      </c>
      <c r="E11" s="99" t="str">
        <f>'retrieve WebNLG AB random'!E13</f>
        <v>not OK</v>
      </c>
      <c r="F11" s="99" t="str">
        <f>'retrieve WebNLG AB random'!F13</f>
        <v>OK</v>
      </c>
      <c r="G11" s="99" t="str">
        <f>'retrieve WebNLG AB random'!G13</f>
        <v/>
      </c>
      <c r="H11" s="99" t="str">
        <f>'retrieve WebNLG AB random'!H13</f>
        <v>x</v>
      </c>
      <c r="I11" s="99" t="str">
        <f>'retrieve WebNLG AB random'!I13</f>
        <v/>
      </c>
      <c r="J11" s="99" t="str">
        <f>'retrieve WebNLG AB random'!J13</f>
        <v/>
      </c>
      <c r="K11" s="99" t="str">
        <f>'retrieve WebNLG AB random'!K13</f>
        <v/>
      </c>
      <c r="L11" s="99" t="str">
        <f>'retrieve WebNLG AB random'!L13</f>
        <v/>
      </c>
      <c r="M11" s="99" t="str">
        <f>'retrieve WebNLG AB random'!M13</f>
        <v/>
      </c>
      <c r="N11" s="99" t="str">
        <f>'retrieve WebNLG AB random'!N13</f>
        <v>x</v>
      </c>
      <c r="O11" s="99" t="str">
        <f>'retrieve WebNLG AB random'!O13</f>
        <v>gold maybe not ok because 'dish' is missing</v>
      </c>
    </row>
    <row r="12">
      <c r="A12" s="99">
        <f>'retrieve WebNLG TCF random'!A18</f>
        <v>10</v>
      </c>
      <c r="B12" s="99" t="str">
        <f>'retrieve WebNLG TCF random'!B18</f>
        <v>allama iqbal international airport is located in pakistan where anwar zaheer jamali is a leader .</v>
      </c>
      <c r="C12" s="99" t="str">
        <f>'retrieve WebNLG TCF random'!C18</f>
        <v>Allama_Iqbal_International_Airport|location|Pakistan ++ Pakistan|leaderName|Anwar_Zaheer_Jamali</v>
      </c>
      <c r="D12" s="99" t="str">
        <f>'retrieve WebNLG TCF random'!D18</f>
        <v>0.961</v>
      </c>
      <c r="E12" s="99" t="str">
        <f>'retrieve WebNLG TCF random'!E18</f>
        <v>not OK</v>
      </c>
      <c r="F12" s="99" t="str">
        <f>'retrieve WebNLG TCF random'!F18</f>
        <v>OK</v>
      </c>
      <c r="G12" s="99" t="str">
        <f>'retrieve WebNLG TCF random'!G18</f>
        <v/>
      </c>
      <c r="H12" s="99" t="str">
        <f>'retrieve WebNLG TCF random'!H18</f>
        <v>x</v>
      </c>
      <c r="I12" s="99" t="str">
        <f>'retrieve WebNLG TCF random'!I18</f>
        <v/>
      </c>
      <c r="J12" s="99" t="str">
        <f>'retrieve WebNLG TCF random'!J18</f>
        <v/>
      </c>
      <c r="K12" s="99" t="str">
        <f>'retrieve WebNLG TCF random'!K18</f>
        <v/>
      </c>
      <c r="L12" s="99" t="str">
        <f>'retrieve WebNLG TCF random'!L18</f>
        <v/>
      </c>
      <c r="M12" s="99" t="str">
        <f>'retrieve WebNLG TCF random'!M18</f>
        <v/>
      </c>
      <c r="N12" s="99" t="str">
        <f>'retrieve WebNLG TCF random'!N18</f>
        <v/>
      </c>
      <c r="O12" s="99" t="str">
        <f>'retrieve WebNLG TCF random'!O18</f>
        <v/>
      </c>
    </row>
    <row r="13">
      <c r="A13" s="99">
        <f>'retrieve WebNLG AB random'!A48</f>
        <v>11</v>
      </c>
      <c r="B13" s="99" t="str">
        <f>'retrieve WebNLG AB random'!B48</f>
        <v>ajoblanco is from spain, where spaniards live. felipe vi is the leader of it. susana diaz is the leader of andalusia where you will find almonds.</v>
      </c>
      <c r="C13" s="99" t="str">
        <f>'retrieve WebNLG AB random'!C48</f>
        <v>Spain|leaderName|Felipe_VI_of_Spain ++ Ajoblanco|region|Andalusia ++ Andalusia|leaderName|Susana_Díaz ++ Ajoblanco|country|Spain ++ Spain|demonym|Spaniards</v>
      </c>
      <c r="D13" s="99" t="str">
        <f>'retrieve WebNLG AB random'!D48</f>
        <v>0.053</v>
      </c>
      <c r="E13" s="99" t="str">
        <f>'retrieve WebNLG AB random'!E48</f>
        <v>OK</v>
      </c>
      <c r="F13" s="99" t="str">
        <f>'retrieve WebNLG AB random'!F48</f>
        <v>hallucination+omission</v>
      </c>
      <c r="G13" s="99" t="str">
        <f>'retrieve WebNLG AB random'!G48</f>
        <v> </v>
      </c>
      <c r="H13" s="99" t="str">
        <f>'retrieve WebNLG AB random'!H48</f>
        <v>x</v>
      </c>
      <c r="I13" s="99" t="str">
        <f>'retrieve WebNLG AB random'!I48</f>
        <v/>
      </c>
      <c r="J13" s="99" t="str">
        <f>'retrieve WebNLG AB random'!J48</f>
        <v/>
      </c>
      <c r="K13" s="99" t="str">
        <f>'retrieve WebNLG AB random'!K48</f>
        <v/>
      </c>
      <c r="L13" s="99" t="str">
        <f>'retrieve WebNLG AB random'!L48</f>
        <v/>
      </c>
      <c r="M13" s="99" t="str">
        <f>'retrieve WebNLG AB random'!M48</f>
        <v>x</v>
      </c>
      <c r="N13" s="99" t="str">
        <f>'retrieve WebNLG AB random'!N48</f>
        <v/>
      </c>
      <c r="O13" s="99" t="str">
        <f>'retrieve WebNLG AB random'!O48</f>
        <v>gold wrongly has ok, unclear why </v>
      </c>
    </row>
    <row r="14">
      <c r="A14" s="99">
        <f>'retrieve WebNLG TCF random'!A17</f>
        <v>12</v>
      </c>
      <c r="B14" s="99" t="str">
        <f>'retrieve WebNLG TCF random'!B17</f>
        <v>shumai is a variation of batagor.</v>
      </c>
      <c r="C14" s="99" t="str">
        <f>'retrieve WebNLG TCF random'!C17</f>
        <v>Batagor|dishVariation|Shumai</v>
      </c>
      <c r="D14" s="99" t="str">
        <f>'retrieve WebNLG TCF random'!D17</f>
        <v>0.524</v>
      </c>
      <c r="E14" s="99" t="str">
        <f>'retrieve WebNLG TCF random'!E17</f>
        <v>not OK</v>
      </c>
      <c r="F14" s="99" t="str">
        <f>'retrieve WebNLG TCF random'!F17</f>
        <v>OK</v>
      </c>
      <c r="G14" s="99" t="str">
        <f>'retrieve WebNLG TCF random'!G17</f>
        <v/>
      </c>
      <c r="H14" s="99" t="str">
        <f>'retrieve WebNLG TCF random'!H17</f>
        <v>x</v>
      </c>
      <c r="I14" s="99" t="str">
        <f>'retrieve WebNLG TCF random'!I17</f>
        <v/>
      </c>
      <c r="J14" s="99" t="str">
        <f>'retrieve WebNLG TCF random'!J17</f>
        <v/>
      </c>
      <c r="K14" s="99" t="str">
        <f>'retrieve WebNLG TCF random'!K17</f>
        <v/>
      </c>
      <c r="L14" s="99" t="str">
        <f>'retrieve WebNLG TCF random'!L17</f>
        <v/>
      </c>
      <c r="M14" s="99" t="str">
        <f>'retrieve WebNLG TCF random'!M17</f>
        <v/>
      </c>
      <c r="N14" s="99" t="str">
        <f>'retrieve WebNLG TCF random'!N17</f>
        <v/>
      </c>
      <c r="O14" s="99" t="str">
        <f>'retrieve WebNLG TCF random'!O17</f>
        <v/>
      </c>
    </row>
    <row r="15">
      <c r="A15" s="99">
        <f>'retrieve WebNLG AB random'!A50</f>
        <v>13</v>
      </c>
      <c r="B15" s="99" t="str">
        <f>'retrieve WebNLG AB random'!B50</f>
        <v>alfa romeo 164 assembly italy where the capital is rome alfa romeo 164 relatedmeanoftransportation fiat croma</v>
      </c>
      <c r="C15" s="99" t="str">
        <f>'retrieve WebNLG AB random'!C50</f>
        <v>Alfa_Romeo_164|assembly|Italy ++ Italy|capital|Rome ++ Alfa_Romeo_164|relatedMeanOfTransportation|Fiat_Croma</v>
      </c>
      <c r="D15" s="99" t="str">
        <f>'retrieve WebNLG AB random'!D50</f>
        <v>0.964</v>
      </c>
      <c r="E15" s="99" t="str">
        <f>'retrieve WebNLG AB random'!E50</f>
        <v>not OK</v>
      </c>
      <c r="F15" s="99" t="str">
        <f>'retrieve WebNLG AB random'!F50</f>
        <v>OK</v>
      </c>
      <c r="G15" s="99" t="str">
        <f>'retrieve WebNLG AB random'!G50</f>
        <v>x</v>
      </c>
      <c r="H15" s="99" t="str">
        <f>'retrieve WebNLG AB random'!H50</f>
        <v/>
      </c>
      <c r="I15" s="99" t="str">
        <f>'retrieve WebNLG AB random'!I50</f>
        <v/>
      </c>
      <c r="J15" s="99" t="str">
        <f>'retrieve WebNLG AB random'!J50</f>
        <v/>
      </c>
      <c r="K15" s="99" t="str">
        <f>'retrieve WebNLG AB random'!K50</f>
        <v/>
      </c>
      <c r="L15" s="99" t="str">
        <f>'retrieve WebNLG AB random'!L50</f>
        <v/>
      </c>
      <c r="M15" s="99" t="str">
        <f>'retrieve WebNLG AB random'!M50</f>
        <v>x</v>
      </c>
      <c r="N15" s="99" t="str">
        <f>'retrieve WebNLG AB random'!N50</f>
        <v/>
      </c>
      <c r="O15" s="99" t="str">
        <f>'retrieve WebNLG AB random'!O50</f>
        <v>NLI wrongly has OK maybe because of verbal similarities; relatedMeanOfTransportation is not a valid realisation, it's a composite predicate name</v>
      </c>
    </row>
    <row r="16">
      <c r="A16" s="99">
        <f>'retrieve WebNLG AB random'!A15</f>
        <v>14</v>
      </c>
      <c r="B16" s="99" t="str">
        <f>'retrieve WebNLG AB random'!B15</f>
        <v>aleksandra kovac plays pop music for the k2 band . he knows musician , bebi dol .</v>
      </c>
      <c r="C16" s="99" t="str">
        <f>'retrieve WebNLG AB random'!C15</f>
        <v>Aleksandra_Kovač|associatedBand/associatedMusicalArtist|Bebi_Dol ++ Aleksandra_Kovač|associatedBand/associatedMusicalArtist|K2_(Kovač_sisters_duo) ++ Aleksandra_Kovač|genre|Pop_music</v>
      </c>
      <c r="D16" s="99" t="str">
        <f>'retrieve WebNLG AB random'!D15</f>
        <v>0.626</v>
      </c>
      <c r="E16" s="99" t="str">
        <f>'retrieve WebNLG AB random'!E15</f>
        <v>not OK</v>
      </c>
      <c r="F16" s="99" t="str">
        <f>'retrieve WebNLG AB random'!F15</f>
        <v>OK</v>
      </c>
      <c r="G16" s="99" t="str">
        <f>'retrieve WebNLG AB random'!G15</f>
        <v>x</v>
      </c>
      <c r="H16" s="99" t="str">
        <f>'retrieve WebNLG AB random'!H15</f>
        <v/>
      </c>
      <c r="I16" s="99" t="str">
        <f>'retrieve WebNLG AB random'!I15</f>
        <v/>
      </c>
      <c r="J16" s="99" t="str">
        <f>'retrieve WebNLG AB random'!J15</f>
        <v/>
      </c>
      <c r="K16" s="99" t="str">
        <f>'retrieve WebNLG AB random'!K15</f>
        <v/>
      </c>
      <c r="L16" s="99" t="str">
        <f>'retrieve WebNLG AB random'!L15</f>
        <v/>
      </c>
      <c r="M16" s="99" t="str">
        <f>'retrieve WebNLG AB random'!M15</f>
        <v>x</v>
      </c>
      <c r="N16" s="99" t="str">
        <f>'retrieve WebNLG AB random'!N15</f>
        <v/>
      </c>
      <c r="O16" s="99" t="str">
        <f>'retrieve WebNLG AB random'!O15</f>
        <v>knows' not ok for associatedBand/associatedMusicalArtist</v>
      </c>
    </row>
    <row r="17">
      <c r="A17" s="99">
        <f>'retrieve WebNLG AB random'!A8</f>
        <v>15</v>
      </c>
      <c r="B17" s="99" t="str">
        <f>'retrieve WebNLG AB random'!B8</f>
        <v>all india council for technical education is located in mumbai. acharya institute of technology was given the Technical Campus status by it. acharya institute offers sports including tennis. the location is the governing body of tennis.</v>
      </c>
      <c r="C17" s="99" t="str">
        <f>'retrieve WebNLG AB random'!C8</f>
        <v>Acharya_Institute_of_Technology|was given the 'Technical Campus' status by|All_India_Council_for_Technical_Education ++ All_India_Council_for_Technical_Education|location|Mumbai ++ Acharya_Institute_of_Technology|sportsOffered|Tennis ++ Tennis|sportsGoverningBody|International_Tennis_Federation</v>
      </c>
      <c r="D17" s="99" t="str">
        <f>'retrieve WebNLG AB random'!D8</f>
        <v>0.001</v>
      </c>
      <c r="E17" s="99" t="str">
        <f>'retrieve WebNLG AB random'!E8</f>
        <v>OK</v>
      </c>
      <c r="F17" s="99" t="str">
        <f>'retrieve WebNLG AB random'!F8</f>
        <v>omission</v>
      </c>
      <c r="G17" s="99" t="str">
        <f>'retrieve WebNLG AB random'!G8</f>
        <v/>
      </c>
      <c r="H17" s="99" t="str">
        <f>'retrieve WebNLG AB random'!H8</f>
        <v>x</v>
      </c>
      <c r="I17" s="99" t="str">
        <f>'retrieve WebNLG AB random'!I8</f>
        <v/>
      </c>
      <c r="J17" s="99" t="str">
        <f>'retrieve WebNLG AB random'!J8</f>
        <v/>
      </c>
      <c r="K17" s="99" t="str">
        <f>'retrieve WebNLG AB random'!K8</f>
        <v/>
      </c>
      <c r="L17" s="99" t="str">
        <f>'retrieve WebNLG AB random'!L8</f>
        <v/>
      </c>
      <c r="M17" s="99" t="str">
        <f>'retrieve WebNLG AB random'!M8</f>
        <v>x</v>
      </c>
      <c r="N17" s="99" t="str">
        <f>'retrieve WebNLG AB random'!N8</f>
        <v/>
      </c>
      <c r="O17" s="99" t="str">
        <f>'retrieve WebNLG AB random'!O8</f>
        <v>gold misses omission (International_Tennis_Federation)</v>
      </c>
    </row>
    <row r="18">
      <c r="A18" s="99">
        <f>'retrieve WebNLG AB random'!A49</f>
        <v>16</v>
      </c>
      <c r="B18" s="99" t="str">
        <f>'retrieve WebNLG AB random'!B49</f>
        <v>awh engineering college ( kuttikkattoor , india ) was established in 2001 . one of the rivers in india is the ganges .</v>
      </c>
      <c r="C18" s="99" t="str">
        <f>'retrieve WebNLG AB random'!C49</f>
        <v>AWH_Engineering_College|country|India ++ AWH_Engineering_College|established|2001 ++ AWH_Engineering_College|city|"Kuttikkattoor" ++ India|river|Ganges</v>
      </c>
      <c r="D18" s="99" t="str">
        <f>'retrieve WebNLG AB random'!D49</f>
        <v>0.007</v>
      </c>
      <c r="E18" s="99" t="str">
        <f>'retrieve WebNLG AB random'!E49</f>
        <v>OK</v>
      </c>
      <c r="F18" s="99" t="str">
        <f>'retrieve WebNLG AB random'!F49</f>
        <v>omission</v>
      </c>
      <c r="G18" s="99" t="str">
        <f>'retrieve WebNLG AB random'!G49</f>
        <v>x</v>
      </c>
      <c r="H18" s="99" t="str">
        <f>'retrieve WebNLG AB random'!H49</f>
        <v/>
      </c>
      <c r="I18" s="99" t="str">
        <f>'retrieve WebNLG AB random'!I49</f>
        <v/>
      </c>
      <c r="J18" s="99" t="str">
        <f>'retrieve WebNLG AB random'!J49</f>
        <v/>
      </c>
      <c r="K18" s="99" t="str">
        <f>'retrieve WebNLG AB random'!K49</f>
        <v/>
      </c>
      <c r="L18" s="99" t="str">
        <f>'retrieve WebNLG AB random'!L49</f>
        <v/>
      </c>
      <c r="M18" s="99" t="str">
        <f>'retrieve WebNLG AB random'!M49</f>
        <v/>
      </c>
      <c r="N18" s="99" t="str">
        <f>'retrieve WebNLG AB random'!N49</f>
        <v/>
      </c>
      <c r="O18" s="99" t="str">
        <f>'retrieve WebNLG AB random'!O49</f>
        <v>NLI wrongly has omission maybe because country and city aren't explicit</v>
      </c>
    </row>
    <row r="19">
      <c r="A19" s="99">
        <f>'retrieve WebNLG AB random'!A22</f>
        <v>17</v>
      </c>
      <c r="B19" s="99" t="str">
        <f>'retrieve WebNLG AB random'!B22</f>
        <v>atlantic city, new jersey comes from the united states where the capital is washington, d.c.</v>
      </c>
      <c r="C19" s="99" t="str">
        <f>'retrieve WebNLG AB random'!C22</f>
        <v>Atlantic_City,_New_Jersey|country|United_States ++ United_States|capital|Washington,_D.C.</v>
      </c>
      <c r="D19" s="99" t="str">
        <f>'retrieve WebNLG AB random'!D22</f>
        <v>0.855</v>
      </c>
      <c r="E19" s="99" t="str">
        <f>'retrieve WebNLG AB random'!E22</f>
        <v>not OK</v>
      </c>
      <c r="F19" s="99" t="str">
        <f>'retrieve WebNLG AB random'!F22</f>
        <v>OK</v>
      </c>
      <c r="G19" s="99" t="str">
        <f>'retrieve WebNLG AB random'!G22</f>
        <v>x</v>
      </c>
      <c r="H19" s="99" t="str">
        <f>'retrieve WebNLG AB random'!H22</f>
        <v/>
      </c>
      <c r="I19" s="99" t="str">
        <f>'retrieve WebNLG AB random'!I22</f>
        <v/>
      </c>
      <c r="J19" s="99" t="str">
        <f>'retrieve WebNLG AB random'!J22</f>
        <v/>
      </c>
      <c r="K19" s="99" t="str">
        <f>'retrieve WebNLG AB random'!K22</f>
        <v/>
      </c>
      <c r="L19" s="99" t="str">
        <f>'retrieve WebNLG AB random'!L22</f>
        <v/>
      </c>
      <c r="M19" s="99" t="str">
        <f>'retrieve WebNLG AB random'!M22</f>
        <v>x</v>
      </c>
      <c r="N19" s="99" t="str">
        <f>'retrieve WebNLG AB random'!N22</f>
        <v/>
      </c>
      <c r="O19" s="99" t="str">
        <f>'retrieve WebNLG AB random'!O22</f>
        <v>NLI wrongly has OK maybe because it accepts 'comes from' for country</v>
      </c>
    </row>
    <row r="20">
      <c r="A20" s="99">
        <f>'retrieve WebNLG TCF random'!A3</f>
        <v>18</v>
      </c>
      <c r="B20" s="99" t="str">
        <f>'retrieve WebNLG TCF random'!B3</f>
        <v>asterix was created by albert uderzo and rene goscinny who is a french national .</v>
      </c>
      <c r="C20" s="99" t="str">
        <f>'retrieve WebNLG TCF random'!C3</f>
        <v>Asterix_(comicsCharacter)|creator|René_Goscinny ++ René_Goscinny|nationality|French_people ++ Asterix_(comicsCharacter)|creator|Albert_Uderzo</v>
      </c>
      <c r="D20" s="99" t="str">
        <f>'retrieve WebNLG TCF random'!D3</f>
        <v>0.140</v>
      </c>
      <c r="E20" s="99" t="str">
        <f>'retrieve WebNLG TCF random'!E3</f>
        <v>OK</v>
      </c>
      <c r="F20" s="99" t="str">
        <f>'retrieve WebNLG TCF random'!F3</f>
        <v>omission</v>
      </c>
      <c r="G20" s="99" t="str">
        <f>'retrieve WebNLG TCF random'!G3</f>
        <v>x</v>
      </c>
      <c r="H20" s="99" t="str">
        <f>'retrieve WebNLG TCF random'!H3</f>
        <v/>
      </c>
      <c r="I20" s="99" t="str">
        <f>'retrieve WebNLG TCF random'!I3</f>
        <v/>
      </c>
      <c r="J20" s="99" t="str">
        <f>'retrieve WebNLG TCF random'!J3</f>
        <v/>
      </c>
      <c r="K20" s="99" t="str">
        <f>'retrieve WebNLG TCF random'!K3</f>
        <v/>
      </c>
      <c r="L20" s="99" t="str">
        <f>'retrieve WebNLG TCF random'!L3</f>
        <v/>
      </c>
      <c r="M20" s="99" t="str">
        <f>'retrieve WebNLG TCF random'!M3</f>
        <v/>
      </c>
      <c r="N20" s="99" t="str">
        <f>'retrieve WebNLG TCF random'!N3</f>
        <v/>
      </c>
      <c r="O20" s="99" t="str">
        <f>'retrieve WebNLG TCF random'!O3</f>
        <v/>
      </c>
    </row>
    <row r="21">
      <c r="A21" s="99">
        <f>'retrieve WebNLG AB random'!A21</f>
        <v>19</v>
      </c>
      <c r="B21" s="99" t="str">
        <f>'retrieve WebNLG AB random'!B21</f>
        <v>the manager of a.c. lumezzane is michele marcolini. a.c. lumezzane 's ground is in italy where pietro grasso is the leader. michele marcolini plays for f.c. bari 1908. michele marcolini plays for vicenza calcio</v>
      </c>
      <c r="C21" s="99" t="str">
        <f>'retrieve WebNLG AB random'!C21</f>
        <v>A.C._Lumezzane|manager|Michele_Marcolini ++ A.C._Lumezzane|ground|Italy ++ Italy|leader|Pietro_Grasso ++ Michele_Marcolini|club|F.C._Bari_1908 ++ Michele_Marcolini|club|Vicenza_Calcio</v>
      </c>
      <c r="D21" s="99" t="str">
        <f>'retrieve WebNLG AB random'!D21</f>
        <v>0.164</v>
      </c>
      <c r="E21" s="99" t="str">
        <f>'retrieve WebNLG AB random'!E21</f>
        <v>OK</v>
      </c>
      <c r="F21" s="99" t="str">
        <f>'retrieve WebNLG AB random'!F21</f>
        <v>omission</v>
      </c>
      <c r="G21" s="99" t="str">
        <f>'retrieve WebNLG AB random'!G21</f>
        <v>x</v>
      </c>
      <c r="H21" s="99" t="str">
        <f>'retrieve WebNLG AB random'!H21</f>
        <v/>
      </c>
      <c r="I21" s="99" t="str">
        <f>'retrieve WebNLG AB random'!I21</f>
        <v/>
      </c>
      <c r="J21" s="99" t="str">
        <f>'retrieve WebNLG AB random'!J21</f>
        <v/>
      </c>
      <c r="K21" s="99" t="str">
        <f>'retrieve WebNLG AB random'!K21</f>
        <v>x</v>
      </c>
      <c r="L21" s="99" t="str">
        <f>'retrieve WebNLG AB random'!L21</f>
        <v/>
      </c>
      <c r="M21" s="99" t="str">
        <f>'retrieve WebNLG AB random'!M21</f>
        <v/>
      </c>
      <c r="N21" s="99" t="str">
        <f>'retrieve WebNLG AB random'!N21</f>
        <v/>
      </c>
      <c r="O21" s="99" t="str">
        <f>'retrieve WebNLG AB random'!O21</f>
        <v>NLI wrongly has omission maybe because of 'where...'</v>
      </c>
    </row>
    <row r="22">
      <c r="A22" s="99">
        <f>'retrieve WebNLG AB random'!A26</f>
        <v>20</v>
      </c>
      <c r="B22" s="99" t="str">
        <f>'retrieve WebNLG AB random'!B26</f>
        <v>the english language is spoken in great britain and the united states where native americans are an ethnic group . a loyal character dancer is published in the united states by soho press .</v>
      </c>
      <c r="C22" s="99" t="str">
        <f>'retrieve WebNLG AB random'!C26</f>
        <v>English_language|spokenIn|Great_Britain ++ A_Loyal_Character_Dancer|publisher|Soho_Press ++ A_Loyal_Character_Dancer|country|United_States ++ United_States|ethnicGroup|Native_Americans_in_the_United_States ++ United_States|language|English_language</v>
      </c>
      <c r="D22" s="99" t="str">
        <f>'retrieve WebNLG AB random'!D26</f>
        <v>0.810</v>
      </c>
      <c r="E22" s="99" t="str">
        <f>'retrieve WebNLG AB random'!E26</f>
        <v>not OK</v>
      </c>
      <c r="F22" s="99" t="str">
        <f>'retrieve WebNLG AB random'!F26</f>
        <v>OK</v>
      </c>
      <c r="G22" s="99" t="str">
        <f>'retrieve WebNLG AB random'!G26</f>
        <v/>
      </c>
      <c r="H22" s="99" t="str">
        <f>'retrieve WebNLG AB random'!H26</f>
        <v>x</v>
      </c>
      <c r="I22" s="99" t="str">
        <f>'retrieve WebNLG AB random'!I26</f>
        <v/>
      </c>
      <c r="J22" s="99" t="str">
        <f>'retrieve WebNLG AB random'!J26</f>
        <v/>
      </c>
      <c r="K22" s="99" t="str">
        <f>'retrieve WebNLG AB random'!K26</f>
        <v/>
      </c>
      <c r="L22" s="99" t="str">
        <f>'retrieve WebNLG AB random'!L26</f>
        <v/>
      </c>
      <c r="M22" s="99" t="str">
        <f>'retrieve WebNLG AB random'!M26</f>
        <v/>
      </c>
      <c r="N22" s="99" t="str">
        <f>'retrieve WebNLG AB random'!N26</f>
        <v>x</v>
      </c>
      <c r="O22" s="99" t="str">
        <f>'retrieve WebNLG AB random'!O26</f>
        <v>gold has not OK maybe because both spokenIn and language are realised by 'spoken in'</v>
      </c>
    </row>
    <row r="23">
      <c r="A23" s="99">
        <f>'retrieve WebNLG AB random'!A40</f>
        <v>21</v>
      </c>
      <c r="B23" s="99" t="str">
        <f>'retrieve WebNLG AB random'!B40</f>
        <v>110 lydia, the orbital period of which is 1.42603e+08, was last seen in december 31 (2006 (jd2454100.5)).</v>
      </c>
      <c r="C23" s="99" t="str">
        <f>'retrieve WebNLG AB random'!C40</f>
        <v>110_Lydia|epoch|2006-12-31 ++ 110_Lydia|orbitalPeriod|142603000.0</v>
      </c>
      <c r="D23" s="99" t="str">
        <f>'retrieve WebNLG AB random'!D40</f>
        <v>0.004</v>
      </c>
      <c r="E23" s="99" t="str">
        <f>'retrieve WebNLG AB random'!E40</f>
        <v>OK</v>
      </c>
      <c r="F23" s="99" t="str">
        <f>'retrieve WebNLG AB random'!F40</f>
        <v>hallucination+omission</v>
      </c>
      <c r="G23" s="99" t="str">
        <f>'retrieve WebNLG AB random'!G40</f>
        <v/>
      </c>
      <c r="H23" s="99" t="str">
        <f>'retrieve WebNLG AB random'!H40</f>
        <v/>
      </c>
      <c r="I23" s="99" t="str">
        <f>'retrieve WebNLG AB random'!I40</f>
        <v>x</v>
      </c>
      <c r="J23" s="99" t="str">
        <f>'retrieve WebNLG AB random'!J40</f>
        <v/>
      </c>
      <c r="K23" s="99" t="str">
        <f>'retrieve WebNLG AB random'!K40</f>
        <v>x</v>
      </c>
      <c r="L23" s="99" t="str">
        <f>'retrieve WebNLG AB random'!L40</f>
        <v/>
      </c>
      <c r="M23" s="99" t="str">
        <f>'retrieve WebNLG AB random'!M40</f>
        <v>x</v>
      </c>
      <c r="N23" s="99" t="str">
        <f>'retrieve WebNLG AB random'!N40</f>
        <v/>
      </c>
      <c r="O23" s="99" t="str">
        <f>'retrieve WebNLG AB random'!O40</f>
        <v>should be just hallucination ('(jd...)')</v>
      </c>
    </row>
    <row r="24">
      <c r="A24" s="99">
        <f>'retrieve WebNLG TCF random'!A28</f>
        <v>22</v>
      </c>
      <c r="B24" s="99" t="str">
        <f>'retrieve WebNLG TCF random'!B28</f>
        <v>the languages spoken in the philippines are philippine spanish and arabic. batchoy is eaten there and the ethnic groups are the zamboangans and the chinese filipino.</v>
      </c>
      <c r="C24" s="99" t="str">
        <f>'retrieve WebNLG TCF random'!C28</f>
        <v>Philippines|language|Arabic ++ Philippines|ethnicGroup|Zamboangans ++ Philippines|language|Philippine_Spanish ++ Batchoy|country|Philippines ++ Philippines|ethnicGroup|Chinese_Filipino</v>
      </c>
      <c r="D24" s="99" t="str">
        <f>'retrieve WebNLG TCF random'!D28</f>
        <v>0.122</v>
      </c>
      <c r="E24" s="99" t="str">
        <f>'retrieve WebNLG TCF random'!E28</f>
        <v>OK</v>
      </c>
      <c r="F24" s="99" t="str">
        <f>'retrieve WebNLG TCF random'!F28</f>
        <v>hallucination</v>
      </c>
      <c r="G24" s="99" t="str">
        <f>'retrieve WebNLG TCF random'!G28</f>
        <v>x</v>
      </c>
      <c r="H24" s="99" t="str">
        <f>'retrieve WebNLG TCF random'!H28</f>
        <v/>
      </c>
      <c r="I24" s="99" t="str">
        <f>'retrieve WebNLG TCF random'!I28</f>
        <v/>
      </c>
      <c r="J24" s="99" t="str">
        <f>'retrieve WebNLG TCF random'!J28</f>
        <v/>
      </c>
      <c r="K24" s="99" t="str">
        <f>'retrieve WebNLG TCF random'!K28</f>
        <v/>
      </c>
      <c r="L24" s="99" t="str">
        <f>'retrieve WebNLG TCF random'!L28</f>
        <v/>
      </c>
      <c r="M24" s="99" t="str">
        <f>'retrieve WebNLG TCF random'!M28</f>
        <v/>
      </c>
      <c r="N24" s="99" t="str">
        <f>'retrieve WebNLG TCF random'!N28</f>
        <v/>
      </c>
      <c r="O24" s="99" t="str">
        <f>'retrieve WebNLG TCF random'!O28</f>
        <v/>
      </c>
    </row>
    <row r="25">
      <c r="A25" s="99">
        <f>'retrieve WebNLG TCF random'!A25</f>
        <v>23</v>
      </c>
      <c r="B25" s="99" t="str">
        <f>'retrieve WebNLG TCF random'!B25</f>
        <v>gus poyet, who plays for real zaragoza and chelsea f.c., is the manager of aek athens f.c.. it plays in olympic stadium (athens). it is in marousi.</v>
      </c>
      <c r="C25" s="99" t="str">
        <f>'retrieve WebNLG TCF random'!C25</f>
        <v>AEK_Athens_F.C.|manager|Gus_Poyet ++ Gus_Poyet|club|Real_Zaragoza ++ Olympic_Stadium_(Athens)|location|Marousi ++ AEK_Athens_F.C.|ground|Olympic_Stadium_(Athens) ++ Gus_Poyet|club|Chelsea_F.C.</v>
      </c>
      <c r="D25" s="99" t="str">
        <f>'retrieve WebNLG TCF random'!D25</f>
        <v>0.417</v>
      </c>
      <c r="E25" s="99" t="str">
        <f>'retrieve WebNLG TCF random'!E25</f>
        <v>OK</v>
      </c>
      <c r="F25" s="99" t="str">
        <f>'retrieve WebNLG TCF random'!F25</f>
        <v>hallucination</v>
      </c>
      <c r="G25" s="99" t="str">
        <f>'retrieve WebNLG TCF random'!G25</f>
        <v>x</v>
      </c>
      <c r="H25" s="99" t="str">
        <f>'retrieve WebNLG TCF random'!H25</f>
        <v/>
      </c>
      <c r="I25" s="99" t="str">
        <f>'retrieve WebNLG TCF random'!I25</f>
        <v/>
      </c>
      <c r="J25" s="99" t="str">
        <f>'retrieve WebNLG TCF random'!J25</f>
        <v/>
      </c>
      <c r="K25" s="99" t="str">
        <f>'retrieve WebNLG TCF random'!K25</f>
        <v/>
      </c>
      <c r="L25" s="99" t="str">
        <f>'retrieve WebNLG TCF random'!L25</f>
        <v/>
      </c>
      <c r="M25" s="99" t="str">
        <f>'retrieve WebNLG TCF random'!M25</f>
        <v/>
      </c>
      <c r="N25" s="99" t="str">
        <f>'retrieve WebNLG TCF random'!N25</f>
        <v/>
      </c>
      <c r="O25" s="99" t="str">
        <f>'retrieve WebNLG TCF random'!O25</f>
        <v/>
      </c>
    </row>
    <row r="26">
      <c r="A26" s="99">
        <f>'retrieve WebNLG AB random'!A4</f>
        <v>24</v>
      </c>
      <c r="B26" s="99" t="str">
        <f>'retrieve WebNLG AB random'!B4</f>
        <v>the first club john van den brom played for was jong ajax, he is part of the istanbulspor a.ş club and, manages az alkmaar.</v>
      </c>
      <c r="C26" s="99" t="str">
        <f>'retrieve WebNLG AB random'!C4</f>
        <v>AZ_Alkmaar|manager|John_van_den_Brom ++ John_van_den_Brom|club|Jong_Ajax ++ John_van_den_Brom|club|İstanbulspor_A.Ş.</v>
      </c>
      <c r="D26" s="99" t="str">
        <f>'retrieve WebNLG AB random'!D4</f>
        <v>0.537</v>
      </c>
      <c r="E26" s="99" t="str">
        <f>'retrieve WebNLG AB random'!E4</f>
        <v>not OK</v>
      </c>
      <c r="F26" s="99" t="str">
        <f>'retrieve WebNLG AB random'!F4</f>
        <v>OK</v>
      </c>
      <c r="G26" s="99" t="str">
        <f>'retrieve WebNLG AB random'!G4</f>
        <v>x</v>
      </c>
      <c r="H26" s="99" t="str">
        <f>'retrieve WebNLG AB random'!H4</f>
        <v/>
      </c>
      <c r="I26" s="99" t="str">
        <f>'retrieve WebNLG AB random'!I4</f>
        <v/>
      </c>
      <c r="J26" s="99" t="str">
        <f>'retrieve WebNLG AB random'!J4</f>
        <v/>
      </c>
      <c r="K26" s="99" t="str">
        <f>'retrieve WebNLG AB random'!K4</f>
        <v/>
      </c>
      <c r="L26" s="99" t="str">
        <f>'retrieve WebNLG AB random'!L4</f>
        <v/>
      </c>
      <c r="M26" s="99" t="str">
        <f>'retrieve WebNLG AB random'!M4</f>
        <v>x</v>
      </c>
      <c r="N26" s="99" t="str">
        <f>'retrieve WebNLG AB random'!N4</f>
        <v/>
      </c>
      <c r="O26" s="99" t="str">
        <f>'retrieve WebNLG AB random'!O4</f>
        <v>should be hallucination ('the first club')</v>
      </c>
    </row>
    <row r="27">
      <c r="A27" s="99">
        <f>'retrieve WebNLG AB random'!A33</f>
        <v>25</v>
      </c>
      <c r="B27" s="99" t="str">
        <f>'retrieve WebNLG AB random'!B33</f>
        <v>binignit is a type of dessert with the ingredient sago , a cookie is also a dessert .</v>
      </c>
      <c r="C27" s="99" t="str">
        <f>'retrieve WebNLG AB random'!C33</f>
        <v>Binignit|ingredient|Sago ++ Binignit|course|Dessert ++ Dessert|dishVariation|Cookie</v>
      </c>
      <c r="D27" s="99" t="str">
        <f>'retrieve WebNLG AB random'!D33</f>
        <v>0.114</v>
      </c>
      <c r="E27" s="99" t="str">
        <f>'retrieve WebNLG AB random'!E33</f>
        <v>OK</v>
      </c>
      <c r="F27" s="99" t="str">
        <f>'retrieve WebNLG AB random'!F33</f>
        <v>omission</v>
      </c>
      <c r="G27" s="99" t="str">
        <f>'retrieve WebNLG AB random'!G33</f>
        <v>x</v>
      </c>
      <c r="H27" s="99" t="str">
        <f>'retrieve WebNLG AB random'!H33</f>
        <v/>
      </c>
      <c r="I27" s="99" t="str">
        <f>'retrieve WebNLG AB random'!I33</f>
        <v/>
      </c>
      <c r="J27" s="99" t="str">
        <f>'retrieve WebNLG AB random'!J33</f>
        <v/>
      </c>
      <c r="K27" s="99" t="str">
        <f>'retrieve WebNLG AB random'!K33</f>
        <v/>
      </c>
      <c r="L27" s="99" t="str">
        <f>'retrieve WebNLG AB random'!L33</f>
        <v/>
      </c>
      <c r="M27" s="99" t="str">
        <f>'retrieve WebNLG AB random'!M33</f>
        <v/>
      </c>
      <c r="N27" s="99" t="str">
        <f>'retrieve WebNLG AB random'!N33</f>
        <v/>
      </c>
      <c r="O27" s="99" t="str">
        <f>'retrieve WebNLG AB random'!O33</f>
        <v>NLI wrongly has omission maybe because it doesn't consider 'is a' a valid realisation of dishVariation; could go either way</v>
      </c>
    </row>
    <row r="28">
      <c r="A28" s="99">
        <f>'retrieve WebNLG TCF random'!A7</f>
        <v>26</v>
      </c>
      <c r="B28" s="99" t="str">
        <f>'retrieve WebNLG TCF random'!B7</f>
        <v>john van den brom is manager of az alkmaar and is affiliated with jong ajax. he is currently at the i ̇ stanbulspor a. ş. club.</v>
      </c>
      <c r="C28" s="99" t="str">
        <f>'retrieve WebNLG TCF random'!C7</f>
        <v>AZ_Alkmaar|manager|John_van_den_Brom ++ John_van_den_Brom|club|Jong_Ajax ++ John_van_den_Brom|club|İstanbulspor_A.Ş.</v>
      </c>
      <c r="D28" s="99" t="str">
        <f>'retrieve WebNLG TCF random'!D7</f>
        <v>0.070</v>
      </c>
      <c r="E28" s="99" t="str">
        <f>'retrieve WebNLG TCF random'!E7</f>
        <v>OK</v>
      </c>
      <c r="F28" s="99" t="str">
        <f>'retrieve WebNLG TCF random'!F7</f>
        <v>omission</v>
      </c>
      <c r="G28" s="99" t="str">
        <f>'retrieve WebNLG TCF random'!G7</f>
        <v>x</v>
      </c>
      <c r="H28" s="99" t="str">
        <f>'retrieve WebNLG TCF random'!H7</f>
        <v/>
      </c>
      <c r="I28" s="99" t="str">
        <f>'retrieve WebNLG TCF random'!I7</f>
        <v/>
      </c>
      <c r="J28" s="99" t="str">
        <f>'retrieve WebNLG TCF random'!J7</f>
        <v/>
      </c>
      <c r="K28" s="99" t="str">
        <f>'retrieve WebNLG TCF random'!K7</f>
        <v/>
      </c>
      <c r="L28" s="99" t="str">
        <f>'retrieve WebNLG TCF random'!L7</f>
        <v/>
      </c>
      <c r="M28" s="99" t="str">
        <f>'retrieve WebNLG TCF random'!M7</f>
        <v/>
      </c>
      <c r="N28" s="99" t="str">
        <f>'retrieve WebNLG TCF random'!N7</f>
        <v/>
      </c>
      <c r="O28" s="99" t="str">
        <f>'retrieve WebNLG TCF random'!O7</f>
        <v/>
      </c>
    </row>
    <row r="29">
      <c r="A29" s="99">
        <f>'retrieve WebNLG TCF random'!A48</f>
        <v>27</v>
      </c>
      <c r="B29" s="99" t="str">
        <f>'retrieve WebNLG TCF random'!B48</f>
        <v>nan</v>
      </c>
      <c r="C29" s="99" t="str">
        <f>'retrieve WebNLG TCF random'!C48</f>
        <v>Indonesia|language|Indonesian_language</v>
      </c>
      <c r="D29" s="99" t="str">
        <f>'retrieve WebNLG TCF random'!D48</f>
        <v>0.599</v>
      </c>
      <c r="E29" s="99" t="str">
        <f>'retrieve WebNLG TCF random'!E48</f>
        <v>not OK</v>
      </c>
      <c r="F29" s="99" t="str">
        <f>'retrieve WebNLG TCF random'!F48</f>
        <v>OK</v>
      </c>
      <c r="G29" s="99" t="str">
        <f>'retrieve WebNLG TCF random'!G48</f>
        <v>x</v>
      </c>
      <c r="H29" s="99" t="str">
        <f>'retrieve WebNLG TCF random'!H48</f>
        <v/>
      </c>
      <c r="I29" s="99" t="str">
        <f>'retrieve WebNLG TCF random'!I48</f>
        <v/>
      </c>
      <c r="J29" s="99" t="str">
        <f>'retrieve WebNLG TCF random'!J48</f>
        <v/>
      </c>
      <c r="K29" s="99" t="str">
        <f>'retrieve WebNLG TCF random'!K48</f>
        <v/>
      </c>
      <c r="L29" s="99" t="str">
        <f>'retrieve WebNLG TCF random'!L48</f>
        <v/>
      </c>
      <c r="M29" s="99" t="str">
        <f>'retrieve WebNLG TCF random'!M48</f>
        <v/>
      </c>
      <c r="N29" s="99" t="str">
        <f>'retrieve WebNLG TCF random'!N48</f>
        <v/>
      </c>
      <c r="O29" s="99" t="str">
        <f>'retrieve WebNLG TCF random'!O48</f>
        <v/>
      </c>
    </row>
    <row r="30">
      <c r="A30" s="99">
        <f>'retrieve WebNLG TCF random'!A6</f>
        <v>28</v>
      </c>
      <c r="B30" s="99" t="str">
        <f>'retrieve WebNLG TCF random'!B6</f>
        <v>california is well known for the benitoite gemstone.</v>
      </c>
      <c r="C30" s="99" t="str">
        <f>'retrieve WebNLG TCF random'!C6</f>
        <v>California|gemstone|Benitoite</v>
      </c>
      <c r="D30" s="99" t="str">
        <f>'retrieve WebNLG TCF random'!D6</f>
        <v>0.229</v>
      </c>
      <c r="E30" s="99" t="str">
        <f>'retrieve WebNLG TCF random'!E6</f>
        <v>OK</v>
      </c>
      <c r="F30" s="99" t="str">
        <f>'retrieve WebNLG TCF random'!F6</f>
        <v>hallucination</v>
      </c>
      <c r="G30" s="99" t="str">
        <f>'retrieve WebNLG TCF random'!G6</f>
        <v>x</v>
      </c>
      <c r="H30" s="99" t="str">
        <f>'retrieve WebNLG TCF random'!H6</f>
        <v/>
      </c>
      <c r="I30" s="99" t="str">
        <f>'retrieve WebNLG TCF random'!I6</f>
        <v/>
      </c>
      <c r="J30" s="99" t="str">
        <f>'retrieve WebNLG TCF random'!J6</f>
        <v/>
      </c>
      <c r="K30" s="99" t="str">
        <f>'retrieve WebNLG TCF random'!K6</f>
        <v/>
      </c>
      <c r="L30" s="99" t="str">
        <f>'retrieve WebNLG TCF random'!L6</f>
        <v/>
      </c>
      <c r="M30" s="99" t="str">
        <f>'retrieve WebNLG TCF random'!M6</f>
        <v/>
      </c>
      <c r="N30" s="99" t="str">
        <f>'retrieve WebNLG TCF random'!N6</f>
        <v/>
      </c>
      <c r="O30" s="99" t="str">
        <f>'retrieve WebNLG TCF random'!O6</f>
        <v/>
      </c>
    </row>
    <row r="31">
      <c r="A31" s="99">
        <f>'retrieve WebNLG AB random'!A23</f>
        <v>29</v>
      </c>
      <c r="B31" s="99" t="str">
        <f>'retrieve WebNLG AB random'!B23</f>
        <v>alfredo zitarrosa, milonga, was created by solo singer.</v>
      </c>
      <c r="C31" s="99" t="str">
        <f>'retrieve WebNLG AB random'!C23</f>
        <v>Alfredo_Zitarrosa|background|"solo_singer" ++ Alfredo_Zitarrosa|genre|Milonga_(music)</v>
      </c>
      <c r="D31" s="99" t="str">
        <f>'retrieve WebNLG AB random'!D23</f>
        <v>0.906</v>
      </c>
      <c r="E31" s="99" t="str">
        <f>'retrieve WebNLG AB random'!E23</f>
        <v>not OK</v>
      </c>
      <c r="F31" s="99" t="str">
        <f>'retrieve WebNLG AB random'!F23</f>
        <v>OK</v>
      </c>
      <c r="G31" s="99" t="str">
        <f>'retrieve WebNLG AB random'!G23</f>
        <v>x</v>
      </c>
      <c r="H31" s="99" t="str">
        <f>'retrieve WebNLG AB random'!H23</f>
        <v/>
      </c>
      <c r="I31" s="99" t="str">
        <f>'retrieve WebNLG AB random'!I23</f>
        <v/>
      </c>
      <c r="J31" s="99" t="str">
        <f>'retrieve WebNLG AB random'!J23</f>
        <v/>
      </c>
      <c r="K31" s="99" t="str">
        <f>'retrieve WebNLG AB random'!K23</f>
        <v/>
      </c>
      <c r="L31" s="99" t="str">
        <f>'retrieve WebNLG AB random'!L23</f>
        <v/>
      </c>
      <c r="M31" s="99" t="str">
        <f>'retrieve WebNLG AB random'!M23</f>
        <v>x</v>
      </c>
      <c r="N31" s="99" t="str">
        <f>'retrieve WebNLG AB random'!N23</f>
        <v/>
      </c>
      <c r="O31" s="99" t="str">
        <f>'retrieve WebNLG AB random'!O23</f>
        <v>should be omission (genre, background)</v>
      </c>
    </row>
    <row r="32">
      <c r="A32" s="99">
        <f>'retrieve WebNLG TCF random'!A21</f>
        <v>30</v>
      </c>
      <c r="B32" s="99" t="str">
        <f>'retrieve WebNLG TCF random'!B21</f>
        <v>the main ingredients of beef kway teow are kway teow, beef tender loin, gula melaka, sliced, dried black beans, garlic, dark soy sauce, lengkuas, oyster sauce, soya sauce, chilli and sesame oil.</v>
      </c>
      <c r="C32" s="99" t="str">
        <f>'retrieve WebNLG TCF random'!C21</f>
        <v>Beef_kway_teow|mainIngredients|"Kway teow, beef tender loin, gula Melaka, sliced, dried black beans, garlic, dark soy sauce, lengkuas, oyster sauce, soya sauce, chilli and sesame oil" ++ Beef_kway_teow|country|"Singapore and Indonesia"</v>
      </c>
      <c r="D32" s="99" t="str">
        <f>'retrieve WebNLG TCF random'!D21</f>
        <v>0.002</v>
      </c>
      <c r="E32" s="99" t="str">
        <f>'retrieve WebNLG TCF random'!E21</f>
        <v>OK</v>
      </c>
      <c r="F32" s="99" t="str">
        <f>'retrieve WebNLG TCF random'!F21</f>
        <v>omission</v>
      </c>
      <c r="G32" s="99" t="str">
        <f>'retrieve WebNLG TCF random'!G21</f>
        <v/>
      </c>
      <c r="H32" s="99" t="str">
        <f>'retrieve WebNLG TCF random'!H21</f>
        <v>x</v>
      </c>
      <c r="I32" s="99" t="str">
        <f>'retrieve WebNLG TCF random'!I21</f>
        <v/>
      </c>
      <c r="J32" s="99" t="str">
        <f>'retrieve WebNLG TCF random'!J21</f>
        <v/>
      </c>
      <c r="K32" s="99" t="str">
        <f>'retrieve WebNLG TCF random'!K21</f>
        <v/>
      </c>
      <c r="L32" s="99" t="str">
        <f>'retrieve WebNLG TCF random'!L21</f>
        <v/>
      </c>
      <c r="M32" s="99" t="str">
        <f>'retrieve WebNLG TCF random'!M21</f>
        <v/>
      </c>
      <c r="N32" s="99" t="str">
        <f>'retrieve WebNLG TCF random'!N21</f>
        <v/>
      </c>
      <c r="O32" s="99" t="str">
        <f>'retrieve WebNLG TCF random'!O21</f>
        <v/>
      </c>
    </row>
    <row r="33">
      <c r="A33" s="99">
        <f>'retrieve WebNLG AB random'!A6</f>
        <v>31</v>
      </c>
      <c r="B33" s="99" t="str">
        <f>'retrieve WebNLG AB random'!B6</f>
        <v>1 decembrie 1918 university is known as uab and is located in alba.</v>
      </c>
      <c r="C33" s="99" t="str">
        <f>'retrieve WebNLG AB random'!C6</f>
        <v>1_Decembrie_1918_University|nickname|Uab ++ 1_Decembrie_1918_University|state|Alba</v>
      </c>
      <c r="D33" s="99" t="str">
        <f>'retrieve WebNLG AB random'!D6</f>
        <v>0.969</v>
      </c>
      <c r="E33" s="99" t="str">
        <f>'retrieve WebNLG AB random'!E6</f>
        <v>not OK</v>
      </c>
      <c r="F33" s="99" t="str">
        <f>'retrieve WebNLG AB random'!F6</f>
        <v>OK</v>
      </c>
      <c r="G33" s="99" t="str">
        <f>'retrieve WebNLG AB random'!G6</f>
        <v/>
      </c>
      <c r="H33" s="99" t="str">
        <f>'retrieve WebNLG AB random'!H6</f>
        <v>x</v>
      </c>
      <c r="I33" s="99" t="str">
        <f>'retrieve WebNLG AB random'!I6</f>
        <v/>
      </c>
      <c r="J33" s="99" t="str">
        <f>'retrieve WebNLG AB random'!J6</f>
        <v/>
      </c>
      <c r="K33" s="99" t="str">
        <f>'retrieve WebNLG AB random'!K6</f>
        <v/>
      </c>
      <c r="L33" s="99" t="str">
        <f>'retrieve WebNLG AB random'!L6</f>
        <v>x</v>
      </c>
      <c r="M33" s="99" t="str">
        <f>'retrieve WebNLG AB random'!M6</f>
        <v/>
      </c>
      <c r="N33" s="99" t="str">
        <f>'retrieve WebNLG AB random'!N6</f>
        <v>x</v>
      </c>
      <c r="O33" s="99" t="str">
        <f>'retrieve WebNLG AB random'!O6</f>
        <v>gold not ok but unclear why</v>
      </c>
    </row>
    <row r="34">
      <c r="A34" s="99">
        <f>'retrieve WebNLG AB random'!A2</f>
        <v>32</v>
      </c>
      <c r="B34" s="99" t="str">
        <f>'retrieve WebNLG AB random'!B2</f>
        <v>alessio romagnoli is affiliated with a.s. roma.</v>
      </c>
      <c r="C34" s="99" t="str">
        <f>'retrieve WebNLG AB random'!C2</f>
        <v>Alessio_Romagnoli|youthclub|A.S._Roma</v>
      </c>
      <c r="D34" s="99" t="str">
        <f>'retrieve WebNLG AB random'!D2</f>
        <v>0.002</v>
      </c>
      <c r="E34" s="99" t="str">
        <f>'retrieve WebNLG AB random'!E2</f>
        <v>OK</v>
      </c>
      <c r="F34" s="99" t="str">
        <f>'retrieve WebNLG AB random'!F2</f>
        <v>omission</v>
      </c>
      <c r="G34" s="99" t="str">
        <f>'retrieve WebNLG AB random'!G2</f>
        <v/>
      </c>
      <c r="H34" s="99" t="str">
        <f>'retrieve WebNLG AB random'!H2</f>
        <v>x</v>
      </c>
      <c r="I34" s="99" t="str">
        <f>'retrieve WebNLG AB random'!I2</f>
        <v/>
      </c>
      <c r="J34" s="99" t="str">
        <f>'retrieve WebNLG AB random'!J2</f>
        <v/>
      </c>
      <c r="K34" s="99" t="str">
        <f>'retrieve WebNLG AB random'!K2</f>
        <v/>
      </c>
      <c r="L34" s="99" t="str">
        <f>'retrieve WebNLG AB random'!L2</f>
        <v/>
      </c>
      <c r="M34" s="99" t="str">
        <f>'retrieve WebNLG AB random'!M2</f>
        <v>x</v>
      </c>
      <c r="N34" s="99" t="str">
        <f>'retrieve WebNLG AB random'!N2</f>
        <v/>
      </c>
      <c r="O34" s="99" t="str">
        <f>'retrieve WebNLG AB random'!O2</f>
        <v>gold misses omission (youth club)</v>
      </c>
    </row>
    <row r="35">
      <c r="A35" s="99">
        <f>'retrieve WebNLG AB random'!A41</f>
        <v>33</v>
      </c>
      <c r="B35" s="99" t="str">
        <f>'retrieve WebNLG AB random'!B41</f>
        <v>alessio romagnoli, who plays for defender (association football), plays for a.c. milan and → sampdoria. a.c. milan, the manager of which is siniša mihajlović, plays in serie a.</v>
      </c>
      <c r="C35" s="99" t="str">
        <f>'retrieve WebNLG AB random'!C41</f>
        <v>Alessio_Romagnoli|club|A.C._Milan ++ A.C._Milan|league|Serie_A ++ A.C._Milan|manager|Siniša_Mihajlović ++ Alessio_Romagnoli|position|Defender_(football) ++ Alessio_Romagnoli|club|U.C._Sampdoria</v>
      </c>
      <c r="D35" s="99" t="str">
        <f>'retrieve WebNLG AB random'!D41</f>
        <v>0.047</v>
      </c>
      <c r="E35" s="99" t="str">
        <f>'retrieve WebNLG AB random'!E41</f>
        <v>OK</v>
      </c>
      <c r="F35" s="99" t="str">
        <f>'retrieve WebNLG AB random'!F41</f>
        <v>omission</v>
      </c>
      <c r="G35" s="99" t="str">
        <f>'retrieve WebNLG AB random'!G41</f>
        <v/>
      </c>
      <c r="H35" s="99" t="str">
        <f>'retrieve WebNLG AB random'!H41</f>
        <v/>
      </c>
      <c r="I35" s="99" t="str">
        <f>'retrieve WebNLG AB random'!I41</f>
        <v>x</v>
      </c>
      <c r="J35" s="99" t="str">
        <f>'retrieve WebNLG AB random'!J41</f>
        <v/>
      </c>
      <c r="K35" s="99" t="str">
        <f>'retrieve WebNLG AB random'!K41</f>
        <v>x</v>
      </c>
      <c r="L35" s="99" t="str">
        <f>'retrieve WebNLG AB random'!L41</f>
        <v/>
      </c>
      <c r="M35" s="99" t="str">
        <f>'retrieve WebNLG AB random'!M41</f>
        <v>x</v>
      </c>
      <c r="N35" s="99" t="str">
        <f>'retrieve WebNLG AB random'!N41</f>
        <v>, </v>
      </c>
      <c r="O35" s="99" t="str">
        <f>'retrieve WebNLG AB random'!O41</f>
        <v>should be hallucination+omission ('association', 'plays for defender', )</v>
      </c>
    </row>
    <row r="36">
      <c r="A36" s="99">
        <f>'retrieve WebNLG AB random'!A1</f>
        <v>34</v>
      </c>
      <c r="B36" s="99" t="str">
        <f>'retrieve WebNLG AB random'!B1</f>
        <v>atatürk monument (izmir) is in turkey, the leader of which is the president of turkey. ahmet davutoğlu is the leader of turkey. the capital of turkey is ankara. the largest city in turkey is istanbul.</v>
      </c>
      <c r="C36" s="99" t="str">
        <f>'retrieve WebNLG AB random'!C1</f>
        <v>Turkey|leaderTitle|President_of_Turkey ++ Turkey|leader|Ahmet_Davutoğlu ++ Turkey|capital|Ankara ++ Turkey|largestCity|Istanbul ++ Atatürk_Monument_(İzmir)|location|Turkey</v>
      </c>
      <c r="D36" s="99" t="str">
        <f>'retrieve WebNLG AB random'!D1</f>
        <v>0.004</v>
      </c>
      <c r="E36" s="99" t="str">
        <f>'retrieve WebNLG AB random'!E1</f>
        <v>OK</v>
      </c>
      <c r="F36" s="99" t="str">
        <f>'retrieve WebNLG AB random'!F1</f>
        <v>omission</v>
      </c>
      <c r="G36" s="99" t="str">
        <f>'retrieve WebNLG AB random'!G1</f>
        <v>x</v>
      </c>
      <c r="H36" s="99" t="str">
        <f>'retrieve WebNLG AB random'!H1</f>
        <v/>
      </c>
      <c r="I36" s="99" t="str">
        <f>'retrieve WebNLG AB random'!I1</f>
        <v/>
      </c>
      <c r="J36" s="99" t="str">
        <f>'retrieve WebNLG AB random'!J1</f>
        <v/>
      </c>
      <c r="K36" s="99" t="str">
        <f>'retrieve WebNLG AB random'!K1</f>
        <v>x</v>
      </c>
      <c r="L36" s="99" t="str">
        <f>'retrieve WebNLG AB random'!L1</f>
        <v/>
      </c>
      <c r="M36" s="99" t="str">
        <f>'retrieve WebNLG AB random'!M1</f>
        <v/>
      </c>
      <c r="N36" s="99" t="str">
        <f>'retrieve WebNLG AB random'!N1</f>
        <v/>
      </c>
      <c r="O36" s="99" t="str">
        <f>'retrieve WebNLG AB random'!O1</f>
        <v>NLI wrongly has omission maybe because of verbal dissimilarity</v>
      </c>
    </row>
    <row r="37">
      <c r="A37" s="99">
        <f>'retrieve WebNLG TCF random'!A11</f>
        <v>35</v>
      </c>
      <c r="B37" s="99" t="str">
        <f>'retrieve WebNLG TCF random'!B11</f>
        <v>guiana space centre is headquartered in french guiana. arianespace is located in courcouronnes. ela-3 is operated by arianespace.</v>
      </c>
      <c r="C37" s="99" t="str">
        <f>'retrieve WebNLG TCF random'!C11</f>
        <v>Arianespace|locationCity|Courcouronnes ++ Guiana_Space_Centre|headquarter|French_Guiana ++ ELA-3|site|Guiana_Space_Centre ++ Ariane_5|launchSite|ELA-3 ++ ELA-3|operator|Arianespace</v>
      </c>
      <c r="D37" s="99" t="str">
        <f>'retrieve WebNLG TCF random'!D11</f>
        <v>0.068</v>
      </c>
      <c r="E37" s="99" t="str">
        <f>'retrieve WebNLG TCF random'!E11</f>
        <v>OK</v>
      </c>
      <c r="F37" s="99" t="str">
        <f>'retrieve WebNLG TCF random'!F11</f>
        <v>omission</v>
      </c>
      <c r="G37" s="99" t="str">
        <f>'retrieve WebNLG TCF random'!G11</f>
        <v/>
      </c>
      <c r="H37" s="99" t="str">
        <f>'retrieve WebNLG TCF random'!H11</f>
        <v>x</v>
      </c>
      <c r="I37" s="99" t="str">
        <f>'retrieve WebNLG TCF random'!I11</f>
        <v/>
      </c>
      <c r="J37" s="99" t="str">
        <f>'retrieve WebNLG TCF random'!J11</f>
        <v/>
      </c>
      <c r="K37" s="99" t="str">
        <f>'retrieve WebNLG TCF random'!K11</f>
        <v/>
      </c>
      <c r="L37" s="99" t="str">
        <f>'retrieve WebNLG TCF random'!L11</f>
        <v/>
      </c>
      <c r="M37" s="99" t="str">
        <f>'retrieve WebNLG TCF random'!M11</f>
        <v/>
      </c>
      <c r="N37" s="99" t="str">
        <f>'retrieve WebNLG TCF random'!N11</f>
        <v/>
      </c>
      <c r="O37" s="99" t="str">
        <f>'retrieve WebNLG TCF random'!O11</f>
        <v/>
      </c>
    </row>
    <row r="38">
      <c r="A38" s="99">
        <f>'retrieve WebNLG AB random'!A11</f>
        <v>36</v>
      </c>
      <c r="B38" s="99" t="str">
        <f>'retrieve WebNLG AB random'!B11</f>
        <v>auburn is in united states it is part of pierce county, washington. auburn, washington has a total area of 77.41 (square kilometres). auburn, washington has a population density of 914.8 inhabitants per square kilometre. it is part of king county, washington.</v>
      </c>
      <c r="C38" s="99" t="str">
        <f>'retrieve WebNLG AB random'!C11</f>
        <v>Auburn,_Washington|isPartOf|Pierce_County,_Washington ++ Auburn,_Washington|country|United_States ++ Auburn,_Washington|isPartOf|King_County,_Washington ++ Auburn,_Washington|populationDensity|914.8 (inhabitants per square kilometre) ++ Auburn,_Washington|areaTotal|77.41 (square kilometres)</v>
      </c>
      <c r="D38" s="99" t="str">
        <f>'retrieve WebNLG AB random'!D11</f>
        <v>0.408</v>
      </c>
      <c r="E38" s="99" t="str">
        <f>'retrieve WebNLG AB random'!E11</f>
        <v>OK</v>
      </c>
      <c r="F38" s="99" t="str">
        <f>'retrieve WebNLG AB random'!F11</f>
        <v>omission</v>
      </c>
      <c r="G38" s="99" t="str">
        <f>'retrieve WebNLG AB random'!G11</f>
        <v>x</v>
      </c>
      <c r="H38" s="99" t="str">
        <f>'retrieve WebNLG AB random'!H11</f>
        <v/>
      </c>
      <c r="I38" s="99" t="str">
        <f>'retrieve WebNLG AB random'!I11</f>
        <v/>
      </c>
      <c r="J38" s="99" t="str">
        <f>'retrieve WebNLG AB random'!J11</f>
        <v/>
      </c>
      <c r="K38" s="99" t="str">
        <f>'retrieve WebNLG AB random'!K11</f>
        <v>x</v>
      </c>
      <c r="L38" s="99" t="str">
        <f>'retrieve WebNLG AB random'!L11</f>
        <v/>
      </c>
      <c r="M38" s="99" t="str">
        <f>'retrieve WebNLG AB random'!M11</f>
        <v/>
      </c>
      <c r="N38" s="99" t="str">
        <f>'retrieve WebNLG AB random'!N11</f>
        <v/>
      </c>
      <c r="O38" s="99" t="str">
        <f>'retrieve WebNLG AB random'!O11</f>
        <v>NLI wrongly has omission maybe because of verbal dissimilarity</v>
      </c>
    </row>
    <row r="39">
      <c r="A39" s="99">
        <f>'retrieve WebNLG AB random'!A30</f>
        <v>37</v>
      </c>
      <c r="B39" s="99" t="str">
        <f>'retrieve WebNLG AB random'!B30</f>
        <v>adare manor is located in adare. adare manor is located in county limerick which is part of munster. county limerick is governed by the limerick city and county council.</v>
      </c>
      <c r="C39" s="99" t="str">
        <f>'retrieve WebNLG AB random'!C30</f>
        <v>Adare_Manor|location|Adare ++ County_Limerick|isPartOf|Munster ++ Adare_Manor|location|County_Limerick ++ County_Limerick|governmentType|Limerick_City_and_County_Council</v>
      </c>
      <c r="D39" s="99" t="str">
        <f>'retrieve WebNLG AB random'!D30</f>
        <v>0.276</v>
      </c>
      <c r="E39" s="99" t="str">
        <f>'retrieve WebNLG AB random'!E30</f>
        <v>OK</v>
      </c>
      <c r="F39" s="99" t="str">
        <f>'retrieve WebNLG AB random'!F30</f>
        <v>omission</v>
      </c>
      <c r="G39" s="99" t="str">
        <f>'retrieve WebNLG AB random'!G30</f>
        <v>x</v>
      </c>
      <c r="H39" s="99" t="str">
        <f>'retrieve WebNLG AB random'!H30</f>
        <v/>
      </c>
      <c r="I39" s="99" t="str">
        <f>'retrieve WebNLG AB random'!I30</f>
        <v/>
      </c>
      <c r="J39" s="99" t="str">
        <f>'retrieve WebNLG AB random'!J30</f>
        <v/>
      </c>
      <c r="K39" s="99" t="str">
        <f>'retrieve WebNLG AB random'!K30</f>
        <v>x</v>
      </c>
      <c r="L39" s="99" t="str">
        <f>'retrieve WebNLG AB random'!L30</f>
        <v/>
      </c>
      <c r="M39" s="99" t="str">
        <f>'retrieve WebNLG AB random'!M30</f>
        <v/>
      </c>
      <c r="N39" s="99" t="str">
        <f>'retrieve WebNLG AB random'!N30</f>
        <v/>
      </c>
      <c r="O39" s="99" t="str">
        <f>'retrieve WebNLG AB random'!O30</f>
        <v>NLI wrongly has omission, unclear why</v>
      </c>
    </row>
    <row r="40">
      <c r="A40" s="99">
        <f>'retrieve WebNLG AB random'!A44</f>
        <v>38</v>
      </c>
      <c r="B40" s="99" t="str">
        <f>'retrieve WebNLG AB random'!B44</f>
        <v>the baku turkish martyrs ' memorial , known locally as turk sehitleri aniti , is located in baku , the capital city of azerbaijan .</v>
      </c>
      <c r="C40" s="99" t="str">
        <f>'retrieve WebNLG AB random'!C44</f>
        <v>Azerbaijan|capital|Baku ++ Baku_Turkish_Martyrs'_Memorial|location|Azerbaijan ++ Baku_Turkish_Martyrs'_Memorial|nativeName|"Türk Şehitleri Anıtı"</v>
      </c>
      <c r="D40" s="99" t="str">
        <f>'retrieve WebNLG AB random'!D44</f>
        <v>0.456</v>
      </c>
      <c r="E40" s="99" t="str">
        <f>'retrieve WebNLG AB random'!E44</f>
        <v>OK</v>
      </c>
      <c r="F40" s="99" t="str">
        <f>'retrieve WebNLG AB random'!F44</f>
        <v>omission</v>
      </c>
      <c r="G40" s="99" t="str">
        <f>'retrieve WebNLG AB random'!G44</f>
        <v>x</v>
      </c>
      <c r="H40" s="99" t="str">
        <f>'retrieve WebNLG AB random'!H44</f>
        <v/>
      </c>
      <c r="I40" s="99" t="str">
        <f>'retrieve WebNLG AB random'!I44</f>
        <v/>
      </c>
      <c r="J40" s="99" t="str">
        <f>'retrieve WebNLG AB random'!J44</f>
        <v/>
      </c>
      <c r="K40" s="99" t="str">
        <f>'retrieve WebNLG AB random'!K44</f>
        <v>x</v>
      </c>
      <c r="L40" s="99" t="str">
        <f>'retrieve WebNLG AB random'!L44</f>
        <v/>
      </c>
      <c r="M40" s="99" t="str">
        <f>'retrieve WebNLG AB random'!M44</f>
        <v/>
      </c>
      <c r="N40" s="99" t="str">
        <f>'retrieve WebNLG AB random'!N44</f>
        <v/>
      </c>
      <c r="O40" s="99" t="str">
        <f>'retrieve WebNLG AB random'!O44</f>
        <v>NLI wrongly has omission maybe because of verbal dissimilarity</v>
      </c>
    </row>
    <row r="41">
      <c r="A41" s="99">
        <f>'retrieve WebNLG TCF random'!A19</f>
        <v>39</v>
      </c>
      <c r="B41" s="99" t="str">
        <f>'retrieve WebNLG TCF random'!B19</f>
        <v>the leader of the united states is john sánchez, it is where asian americans are an ethnic group and the country is where the leader is called the new mexico senate. the country is the location of albuquerque, new mexico.</v>
      </c>
      <c r="C41" s="99" t="str">
        <f>'retrieve WebNLG TCF random'!C19</f>
        <v>United_States|ethnicGroup|Asian_Americans ++ Albuquerque,_New_Mexico|leaderTitle|New_Mexico_Senate ++ New_Mexico_Senate|leader|John_Sánchez ++ Albuquerque,_New_Mexico|country|United_States</v>
      </c>
      <c r="D41" s="99" t="str">
        <f>'retrieve WebNLG TCF random'!D19</f>
        <v>0.529</v>
      </c>
      <c r="E41" s="99" t="str">
        <f>'retrieve WebNLG TCF random'!E19</f>
        <v>not OK</v>
      </c>
      <c r="F41" s="99" t="str">
        <f>'retrieve WebNLG TCF random'!F19</f>
        <v>OK</v>
      </c>
      <c r="G41" s="99" t="str">
        <f>'retrieve WebNLG TCF random'!G19</f>
        <v>x</v>
      </c>
      <c r="H41" s="99" t="str">
        <f>'retrieve WebNLG TCF random'!H19</f>
        <v/>
      </c>
      <c r="I41" s="99" t="str">
        <f>'retrieve WebNLG TCF random'!I19</f>
        <v/>
      </c>
      <c r="J41" s="99" t="str">
        <f>'retrieve WebNLG TCF random'!J19</f>
        <v/>
      </c>
      <c r="K41" s="99" t="str">
        <f>'retrieve WebNLG TCF random'!K19</f>
        <v/>
      </c>
      <c r="L41" s="99" t="str">
        <f>'retrieve WebNLG TCF random'!L19</f>
        <v>x</v>
      </c>
      <c r="M41" s="99" t="str">
        <f>'retrieve WebNLG TCF random'!M19</f>
        <v/>
      </c>
      <c r="N41" s="99" t="str">
        <f>'retrieve WebNLG TCF random'!N19</f>
        <v/>
      </c>
      <c r="O41" s="99" t="str">
        <f>'retrieve WebNLG TCF random'!O19</f>
        <v/>
      </c>
    </row>
    <row r="42">
      <c r="A42" s="99">
        <f>'retrieve WebNLG TCF random'!A34</f>
        <v>40</v>
      </c>
      <c r="B42" s="99" t="str">
        <f>'retrieve WebNLG TCF random'!B34</f>
        <v>the apoapsis of 101 helena is 4.41092e8 kilometers.</v>
      </c>
      <c r="C42" s="99" t="str">
        <f>'retrieve WebNLG TCF random'!C34</f>
        <v>101_Helena|apoapsis|441092000.0 (kilometres)</v>
      </c>
      <c r="D42" s="99" t="str">
        <f>'retrieve WebNLG TCF random'!D34</f>
        <v>0.459</v>
      </c>
      <c r="E42" s="99" t="str">
        <f>'retrieve WebNLG TCF random'!E34</f>
        <v>OK</v>
      </c>
      <c r="F42" s="99" t="str">
        <f>'retrieve WebNLG TCF random'!F34</f>
        <v>hallucination</v>
      </c>
      <c r="G42" s="99" t="str">
        <f>'retrieve WebNLG TCF random'!G34</f>
        <v>x</v>
      </c>
      <c r="H42" s="99" t="str">
        <f>'retrieve WebNLG TCF random'!H34</f>
        <v/>
      </c>
      <c r="I42" s="99" t="str">
        <f>'retrieve WebNLG TCF random'!I34</f>
        <v/>
      </c>
      <c r="J42" s="99" t="str">
        <f>'retrieve WebNLG TCF random'!J34</f>
        <v/>
      </c>
      <c r="K42" s="99" t="str">
        <f>'retrieve WebNLG TCF random'!K34</f>
        <v/>
      </c>
      <c r="L42" s="99" t="str">
        <f>'retrieve WebNLG TCF random'!L34</f>
        <v/>
      </c>
      <c r="M42" s="99" t="str">
        <f>'retrieve WebNLG TCF random'!M34</f>
        <v/>
      </c>
      <c r="N42" s="99" t="str">
        <f>'retrieve WebNLG TCF random'!N34</f>
        <v/>
      </c>
      <c r="O42" s="99" t="str">
        <f>'retrieve WebNLG TCF random'!O34</f>
        <v/>
      </c>
    </row>
    <row r="43">
      <c r="A43" s="99">
        <f>'retrieve WebNLG AB random'!A25</f>
        <v>41</v>
      </c>
      <c r="B43" s="99" t="str">
        <f>'retrieve WebNLG AB random'!B25</f>
        <v>twilight (band) is a black metal aaron turner associatedband/associatedmusicalartist twilight (band) aaron turner associatedband/associatedmusicalartist old man gloom aaron turner instrument electric guitar black metal musicfusiongenre death metal</v>
      </c>
      <c r="C43" s="99" t="str">
        <f>'retrieve WebNLG AB random'!C25</f>
        <v>Twilight_(band)|genre|Black_metal ++ Aaron_Turner|associatedBand/associatedMusicalArtist|Twilight_(band) ++ Aaron_Turner|associatedBand/associatedMusicalArtist|Old_Man_Gloom ++ Aaron_Turner|instrument|Electric_guitar ++ Black_metal|musicFusionGenre|Death_metal</v>
      </c>
      <c r="D43" s="99" t="str">
        <f>'retrieve WebNLG AB random'!D25</f>
        <v>0.793</v>
      </c>
      <c r="E43" s="99" t="str">
        <f>'retrieve WebNLG AB random'!E25</f>
        <v>not OK</v>
      </c>
      <c r="F43" s="99" t="str">
        <f>'retrieve WebNLG AB random'!F25</f>
        <v>OK</v>
      </c>
      <c r="G43" s="99" t="str">
        <f>'retrieve WebNLG AB random'!G25</f>
        <v>x</v>
      </c>
      <c r="H43" s="99" t="str">
        <f>'retrieve WebNLG AB random'!H25</f>
        <v/>
      </c>
      <c r="I43" s="99" t="str">
        <f>'retrieve WebNLG AB random'!I25</f>
        <v/>
      </c>
      <c r="J43" s="99" t="str">
        <f>'retrieve WebNLG AB random'!J25</f>
        <v>x</v>
      </c>
      <c r="K43" s="99" t="str">
        <f>'retrieve WebNLG AB random'!K25</f>
        <v/>
      </c>
      <c r="L43" s="99" t="str">
        <f>'retrieve WebNLG AB random'!L25</f>
        <v/>
      </c>
      <c r="M43" s="99" t="str">
        <f>'retrieve WebNLG AB random'!M25</f>
        <v>x</v>
      </c>
      <c r="N43" s="99" t="str">
        <f>'retrieve WebNLG AB random'!N25</f>
        <v/>
      </c>
      <c r="O43" s="99" t="str">
        <f>'retrieve WebNLG AB random'!O25</f>
        <v>NLI fooled by poor templates? problem is absence of proper realisation</v>
      </c>
    </row>
    <row r="44">
      <c r="A44" s="99">
        <f>'retrieve WebNLG AB random'!A43</f>
        <v>42</v>
      </c>
      <c r="B44" s="99" t="str">
        <f>'retrieve WebNLG AB random'!B43</f>
        <v>3arena in dublin dublin is part of the republic of ireland.</v>
      </c>
      <c r="C44" s="99" t="str">
        <f>'retrieve WebNLG AB random'!C43</f>
        <v>Dublin|isPartOf|Republic_of_Ireland ++ 3Arena|location|Dublin</v>
      </c>
      <c r="D44" s="99" t="str">
        <f>'retrieve WebNLG AB random'!D43</f>
        <v>0.970</v>
      </c>
      <c r="E44" s="99" t="str">
        <f>'retrieve WebNLG AB random'!E43</f>
        <v>not OK</v>
      </c>
      <c r="F44" s="99" t="str">
        <f>'retrieve WebNLG AB random'!F43</f>
        <v>OK</v>
      </c>
      <c r="G44" s="99" t="str">
        <f>'retrieve WebNLG AB random'!G43</f>
        <v/>
      </c>
      <c r="H44" s="99" t="str">
        <f>'retrieve WebNLG AB random'!H43</f>
        <v>x</v>
      </c>
      <c r="I44" s="99" t="str">
        <f>'retrieve WebNLG AB random'!I43</f>
        <v/>
      </c>
      <c r="J44" s="99" t="str">
        <f>'retrieve WebNLG AB random'!J43</f>
        <v/>
      </c>
      <c r="K44" s="99" t="str">
        <f>'retrieve WebNLG AB random'!K43</f>
        <v/>
      </c>
      <c r="L44" s="99" t="str">
        <f>'retrieve WebNLG AB random'!L43</f>
        <v>x</v>
      </c>
      <c r="M44" s="99" t="str">
        <f>'retrieve WebNLG AB random'!M43</f>
        <v/>
      </c>
      <c r="N44" s="99" t="str">
        <f>'retrieve WebNLG AB random'!N43</f>
        <v>x</v>
      </c>
      <c r="O44" s="99" t="str">
        <f>'retrieve WebNLG AB random'!O43</f>
        <v>gold maybe not ok because of ungrammaticality</v>
      </c>
    </row>
    <row r="45">
      <c r="A45" s="99">
        <f>'retrieve WebNLG TCF random'!A32</f>
        <v>43</v>
      </c>
      <c r="B45" s="99" t="str">
        <f>'retrieve WebNLG TCF random'!B32</f>
        <v>amsterdam-centrum and eberhard van der laan are part of amsterdam where afc ajax is based.</v>
      </c>
      <c r="C45" s="99" t="str">
        <f>'retrieve WebNLG TCF random'!C32</f>
        <v>AFC_Ajax_(amateurs)|ground|Amsterdam ++ Amsterdam|leader|Eberhard_van_der_Laan ++ Amsterdam|part|Amsterdam-Centrum</v>
      </c>
      <c r="D45" s="99" t="str">
        <f>'retrieve WebNLG TCF random'!D32</f>
        <v>0.107</v>
      </c>
      <c r="E45" s="99" t="str">
        <f>'retrieve WebNLG TCF random'!E32</f>
        <v>OK</v>
      </c>
      <c r="F45" s="99" t="str">
        <f>'retrieve WebNLG TCF random'!F32</f>
        <v>omission</v>
      </c>
      <c r="G45" s="99" t="str">
        <f>'retrieve WebNLG TCF random'!G32</f>
        <v/>
      </c>
      <c r="H45" s="99" t="str">
        <f>'retrieve WebNLG TCF random'!H32</f>
        <v/>
      </c>
      <c r="I45" s="99" t="str">
        <f>'retrieve WebNLG TCF random'!I32</f>
        <v>x</v>
      </c>
      <c r="J45" s="99" t="str">
        <f>'retrieve WebNLG TCF random'!J32</f>
        <v/>
      </c>
      <c r="K45" s="99" t="str">
        <f>'retrieve WebNLG TCF random'!K32</f>
        <v/>
      </c>
      <c r="L45" s="99" t="str">
        <f>'retrieve WebNLG TCF random'!L32</f>
        <v>x</v>
      </c>
      <c r="M45" s="99" t="str">
        <f>'retrieve WebNLG TCF random'!M32</f>
        <v/>
      </c>
      <c r="N45" s="99" t="str">
        <f>'retrieve WebNLG TCF random'!N32</f>
        <v>x</v>
      </c>
      <c r="O45" s="99" t="str">
        <f>'retrieve WebNLG TCF random'!O32</f>
        <v/>
      </c>
    </row>
    <row r="46">
      <c r="A46" s="99">
        <f>'retrieve WebNLG AB random'!A24</f>
        <v>44</v>
      </c>
      <c r="B46" s="99" t="str">
        <f>'retrieve WebNLG AB random'!B24</f>
        <v>caterpillar inc. is located in peoria, illinois. aidaluna is owned by aida cruises. caterpillar inc. was founded in united states douglas r. oberhelman is the key person for it.</v>
      </c>
      <c r="C46" s="99" t="str">
        <f>'retrieve WebNLG AB random'!C24</f>
        <v>Caterpillar_Inc.|keyPerson|Douglas_R._Oberhelman ++ Caterpillar_Inc.|foundationPlace|United_States ++ Caterpillar_Inc.|location|Peoria,_Illinois ++ AIDAluna|owner|AIDA_Cruises ++ AIDAluna|powerType|Caterpillar_Inc.</v>
      </c>
      <c r="D46" s="99" t="str">
        <f>'retrieve WebNLG AB random'!D24</f>
        <v>0.543</v>
      </c>
      <c r="E46" s="99" t="str">
        <f>'retrieve WebNLG AB random'!E24</f>
        <v>not OK</v>
      </c>
      <c r="F46" s="99" t="str">
        <f>'retrieve WebNLG AB random'!F24</f>
        <v>OK</v>
      </c>
      <c r="G46" s="99" t="str">
        <f>'retrieve WebNLG AB random'!G24</f>
        <v>x</v>
      </c>
      <c r="H46" s="99" t="str">
        <f>'retrieve WebNLG AB random'!H24</f>
        <v/>
      </c>
      <c r="I46" s="99" t="str">
        <f>'retrieve WebNLG AB random'!I24</f>
        <v/>
      </c>
      <c r="J46" s="99" t="str">
        <f>'retrieve WebNLG AB random'!J24</f>
        <v/>
      </c>
      <c r="K46" s="99" t="str">
        <f>'retrieve WebNLG AB random'!K24</f>
        <v/>
      </c>
      <c r="L46" s="99" t="str">
        <f>'retrieve WebNLG AB random'!L24</f>
        <v/>
      </c>
      <c r="M46" s="99" t="str">
        <f>'retrieve WebNLG AB random'!M24</f>
        <v>x</v>
      </c>
      <c r="N46" s="99" t="str">
        <f>'retrieve WebNLG AB random'!N24</f>
        <v/>
      </c>
      <c r="O46" s="99" t="str">
        <f>'retrieve WebNLG AB random'!O24</f>
        <v>should be omission (powerType)</v>
      </c>
    </row>
    <row r="47">
      <c r="A47" s="99">
        <f>'retrieve WebNLG AB random'!A34</f>
        <v>45</v>
      </c>
      <c r="B47" s="99" t="str">
        <f>'retrieve WebNLG AB random'!B34</f>
        <v>school of business and social sciences at the aarhus university is located in the city of aarhus. school of business and social sciences at the aarhus university in denmark school of business and social sciences at the aarhus university was established in 1928.</v>
      </c>
      <c r="C47" s="99" t="str">
        <f>'retrieve WebNLG AB random'!C34</f>
        <v>School of Business and Social Sciences at the Aarhus University|city|Aarhus ++ School of Business and Social Sciences at the Aarhus University|country|Denmark ++ School of Business and Social Sciences at the Aarhus University|established|1928</v>
      </c>
      <c r="D47" s="99" t="str">
        <f>'retrieve WebNLG AB random'!D34</f>
        <v>0.934</v>
      </c>
      <c r="E47" s="99" t="str">
        <f>'retrieve WebNLG AB random'!E34</f>
        <v>not OK</v>
      </c>
      <c r="F47" s="99" t="str">
        <f>'retrieve WebNLG AB random'!F34</f>
        <v>OK</v>
      </c>
      <c r="G47" s="99" t="str">
        <f>'retrieve WebNLG AB random'!G34</f>
        <v/>
      </c>
      <c r="H47" s="99" t="str">
        <f>'retrieve WebNLG AB random'!H34</f>
        <v>x</v>
      </c>
      <c r="I47" s="99" t="str">
        <f>'retrieve WebNLG AB random'!I34</f>
        <v/>
      </c>
      <c r="J47" s="99" t="str">
        <f>'retrieve WebNLG AB random'!J34</f>
        <v/>
      </c>
      <c r="K47" s="99" t="str">
        <f>'retrieve WebNLG AB random'!K34</f>
        <v/>
      </c>
      <c r="L47" s="99" t="str">
        <f>'retrieve WebNLG AB random'!L34</f>
        <v>x</v>
      </c>
      <c r="M47" s="99" t="str">
        <f>'retrieve WebNLG AB random'!M34</f>
        <v/>
      </c>
      <c r="N47" s="99" t="str">
        <f>'retrieve WebNLG AB random'!N34</f>
        <v>x</v>
      </c>
      <c r="O47" s="99" t="str">
        <f>'retrieve WebNLG AB random'!O34</f>
        <v>gold maybe fooled by poor grammar/fluency</v>
      </c>
    </row>
    <row r="48">
      <c r="A48" s="99">
        <f>'retrieve WebNLG TCF random'!A47</f>
        <v>46</v>
      </c>
      <c r="B48" s="99" t="str">
        <f>'retrieve WebNLG TCF random'!B47</f>
        <v>the baku turkish martyr 's memorial is located in baku, the capital of azerbaijan, lead by prime minister artur rasizade.</v>
      </c>
      <c r="C48" s="99" t="str">
        <f>'retrieve WebNLG TCF random'!C47</f>
        <v>Azerbaijan|capital|Baku ++ Azerbaijan|leaderTitle|Prime_Minister_of_Azerbaijan ++ Baku_Turkish_Martyrs'_Memorial|location|Azerbaijan ++ Azerbaijan|leaderName|Artur_Rasizade</v>
      </c>
      <c r="D48" s="99" t="str">
        <f>'retrieve WebNLG TCF random'!D47</f>
        <v>0.414</v>
      </c>
      <c r="E48" s="99" t="str">
        <f>'retrieve WebNLG TCF random'!E47</f>
        <v>OK</v>
      </c>
      <c r="F48" s="99" t="str">
        <f>'retrieve WebNLG TCF random'!F47</f>
        <v>omission</v>
      </c>
      <c r="G48" s="99" t="str">
        <f>'retrieve WebNLG TCF random'!G47</f>
        <v>x</v>
      </c>
      <c r="H48" s="99" t="str">
        <f>'retrieve WebNLG TCF random'!H47</f>
        <v/>
      </c>
      <c r="I48" s="99" t="str">
        <f>'retrieve WebNLG TCF random'!I47</f>
        <v/>
      </c>
      <c r="J48" s="99" t="str">
        <f>'retrieve WebNLG TCF random'!J47</f>
        <v/>
      </c>
      <c r="K48" s="99" t="str">
        <f>'retrieve WebNLG TCF random'!K47</f>
        <v/>
      </c>
      <c r="L48" s="99" t="str">
        <f>'retrieve WebNLG TCF random'!L47</f>
        <v/>
      </c>
      <c r="M48" s="99" t="str">
        <f>'retrieve WebNLG TCF random'!M47</f>
        <v/>
      </c>
      <c r="N48" s="99" t="str">
        <f>'retrieve WebNLG TCF random'!N47</f>
        <v/>
      </c>
      <c r="O48" s="99" t="str">
        <f>'retrieve WebNLG TCF random'!O47</f>
        <v/>
      </c>
    </row>
    <row r="49">
      <c r="A49" s="99">
        <f>'retrieve WebNLG AB random'!A19</f>
        <v>47</v>
      </c>
      <c r="B49" s="99" t="str">
        <f>'retrieve WebNLG AB random'!B19</f>
        <v>a loyal character dancer is published by soho press, located in united states. here is written in english, which is also spoken in great britain. native americans is one of native americans ethnic groups in here.</v>
      </c>
      <c r="C49" s="99" t="str">
        <f>'retrieve WebNLG AB random'!C19</f>
        <v>English_language|spokenIn|Great_Britain ++ A_Loyal_Character_Dancer|publisher|Soho_Press ++ A_Loyal_Character_Dancer|country|United_States ++ United_States|ethnicGroup|Native_Americans_in_the_United_States ++ United_States|language|English_language</v>
      </c>
      <c r="D49" s="99" t="str">
        <f>'retrieve WebNLG AB random'!D19</f>
        <v>0.885</v>
      </c>
      <c r="E49" s="99" t="str">
        <f>'retrieve WebNLG AB random'!E19</f>
        <v>not OK</v>
      </c>
      <c r="F49" s="99" t="str">
        <f>'retrieve WebNLG AB random'!F19</f>
        <v>OK</v>
      </c>
      <c r="G49" s="99" t="str">
        <f>'retrieve WebNLG AB random'!G19</f>
        <v>x</v>
      </c>
      <c r="H49" s="99" t="str">
        <f>'retrieve WebNLG AB random'!H19</f>
        <v/>
      </c>
      <c r="I49" s="99" t="str">
        <f>'retrieve WebNLG AB random'!I19</f>
        <v/>
      </c>
      <c r="J49" s="99" t="str">
        <f>'retrieve WebNLG AB random'!J19</f>
        <v/>
      </c>
      <c r="K49" s="99" t="str">
        <f>'retrieve WebNLG AB random'!K19</f>
        <v/>
      </c>
      <c r="L49" s="99" t="str">
        <f>'retrieve WebNLG AB random'!L19</f>
        <v/>
      </c>
      <c r="M49" s="99" t="str">
        <f>'retrieve WebNLG AB random'!M19</f>
        <v>x</v>
      </c>
      <c r="N49" s="99" t="str">
        <f>'retrieve WebNLG AB random'!N19</f>
        <v/>
      </c>
      <c r="O49" s="99" t="str">
        <f>'retrieve WebNLG AB random'!O19</f>
        <v>NLI wrongly has OK; should be hallucination+omission (U_S|language|E)</v>
      </c>
    </row>
    <row r="50">
      <c r="A50" s="99">
        <f>'retrieve WebNLG TCF random'!A40</f>
        <v>48</v>
      </c>
      <c r="B50" s="99" t="str">
        <f>'retrieve WebNLG TCF random'!B40</f>
        <v>aenir is in english.</v>
      </c>
      <c r="C50" s="99" t="str">
        <f>'retrieve WebNLG TCF random'!C40</f>
        <v>Aenir|language|English_language</v>
      </c>
      <c r="D50" s="99" t="str">
        <f>'retrieve WebNLG TCF random'!D40</f>
        <v>0.800</v>
      </c>
      <c r="E50" s="99" t="str">
        <f>'retrieve WebNLG TCF random'!E40</f>
        <v>not OK</v>
      </c>
      <c r="F50" s="99" t="str">
        <f>'retrieve WebNLG TCF random'!F40</f>
        <v>OK</v>
      </c>
      <c r="G50" s="99" t="str">
        <f>'retrieve WebNLG TCF random'!G40</f>
        <v/>
      </c>
      <c r="H50" s="99" t="str">
        <f>'retrieve WebNLG TCF random'!H40</f>
        <v>x</v>
      </c>
      <c r="I50" s="99" t="str">
        <f>'retrieve WebNLG TCF random'!I40</f>
        <v/>
      </c>
      <c r="J50" s="99" t="str">
        <f>'retrieve WebNLG TCF random'!J40</f>
        <v/>
      </c>
      <c r="K50" s="99" t="str">
        <f>'retrieve WebNLG TCF random'!K40</f>
        <v/>
      </c>
      <c r="L50" s="99" t="str">
        <f>'retrieve WebNLG TCF random'!L40</f>
        <v/>
      </c>
      <c r="M50" s="99" t="str">
        <f>'retrieve WebNLG TCF random'!M40</f>
        <v/>
      </c>
      <c r="N50" s="99" t="str">
        <f>'retrieve WebNLG TCF random'!N40</f>
        <v/>
      </c>
      <c r="O50" s="99" t="str">
        <f>'retrieve WebNLG TCF random'!O40</f>
        <v/>
      </c>
    </row>
    <row r="51">
      <c r="A51" s="99">
        <f>'retrieve WebNLG AB random'!A16</f>
        <v>49</v>
      </c>
      <c r="B51" s="99" t="str">
        <f>'retrieve WebNLG AB random'!B16</f>
        <v>fc dinamo batumi was at levan khomeriki and manages aleksandre guruli.</v>
      </c>
      <c r="C51" s="99" t="str">
        <f>'retrieve WebNLG AB random'!C16</f>
        <v>FC_Dinamo_Batumi|manager|Levan_Khomeriki ++ Aleksandre_Guruli|club|FC_Dinamo_Batumi</v>
      </c>
      <c r="D51" s="99" t="str">
        <f>'retrieve WebNLG AB random'!D16</f>
        <v>0.718</v>
      </c>
      <c r="E51" s="99" t="str">
        <f>'retrieve WebNLG AB random'!E16</f>
        <v>not OK</v>
      </c>
      <c r="F51" s="99" t="str">
        <f>'retrieve WebNLG AB random'!F16</f>
        <v>OK</v>
      </c>
      <c r="G51" s="99" t="str">
        <f>'retrieve WebNLG AB random'!G16</f>
        <v>x</v>
      </c>
      <c r="H51" s="99" t="str">
        <f>'retrieve WebNLG AB random'!H16</f>
        <v/>
      </c>
      <c r="I51" s="99" t="str">
        <f>'retrieve WebNLG AB random'!I16</f>
        <v/>
      </c>
      <c r="J51" s="99" t="str">
        <f>'retrieve WebNLG AB random'!J16</f>
        <v/>
      </c>
      <c r="K51" s="99" t="str">
        <f>'retrieve WebNLG AB random'!K16</f>
        <v/>
      </c>
      <c r="L51" s="99" t="str">
        <f>'retrieve WebNLG AB random'!L16</f>
        <v/>
      </c>
      <c r="M51" s="99" t="str">
        <f>'retrieve WebNLG AB random'!M16</f>
        <v>x</v>
      </c>
      <c r="N51" s="99" t="str">
        <f>'retrieve WebNLG AB random'!N16</f>
        <v/>
      </c>
      <c r="O51" s="99" t="str">
        <f>'retrieve WebNLG AB random'!O16</f>
        <v>subject/object swap</v>
      </c>
    </row>
    <row r="52">
      <c r="A52" s="99">
        <f>'retrieve WebNLG TCF random'!A10</f>
        <v>50</v>
      </c>
      <c r="B52" s="99" t="str">
        <f>'retrieve WebNLG TCF random'!B10</f>
        <v>the comic character blockbuster , aka mark desmond , was created by gardner fox and carmine infantino .</v>
      </c>
      <c r="C52" s="99" t="str">
        <f>'retrieve WebNLG TCF random'!C10</f>
        <v>Blockbuster_(comicsCharacter)|creator|Gardner_Fox ++ Blockbuster_(comicsCharacter)|alternativeName|"Mark Desmond" ++ Blockbuster_(comicsCharacter)|creator|Carmine_Infantino</v>
      </c>
      <c r="D52" s="99" t="str">
        <f>'retrieve WebNLG TCF random'!D10</f>
        <v>0.317</v>
      </c>
      <c r="E52" s="99" t="str">
        <f>'retrieve WebNLG TCF random'!E10</f>
        <v>OK</v>
      </c>
      <c r="F52" s="99" t="str">
        <f>'retrieve WebNLG TCF random'!F10</f>
        <v>omission</v>
      </c>
      <c r="G52" s="99" t="str">
        <f>'retrieve WebNLG TCF random'!G10</f>
        <v>x</v>
      </c>
      <c r="H52" s="99" t="str">
        <f>'retrieve WebNLG TCF random'!H10</f>
        <v/>
      </c>
      <c r="I52" s="99" t="str">
        <f>'retrieve WebNLG TCF random'!I10</f>
        <v/>
      </c>
      <c r="J52" s="99" t="str">
        <f>'retrieve WebNLG TCF random'!J10</f>
        <v/>
      </c>
      <c r="K52" s="99" t="str">
        <f>'retrieve WebNLG TCF random'!K10</f>
        <v/>
      </c>
      <c r="L52" s="99" t="str">
        <f>'retrieve WebNLG TCF random'!L10</f>
        <v/>
      </c>
      <c r="M52" s="99" t="str">
        <f>'retrieve WebNLG TCF random'!M10</f>
        <v/>
      </c>
      <c r="N52" s="99" t="str">
        <f>'retrieve WebNLG TCF random'!N10</f>
        <v/>
      </c>
      <c r="O52" s="99" t="str">
        <f>'retrieve WebNLG TCF random'!O10</f>
        <v/>
      </c>
    </row>
    <row r="53">
      <c r="A53" s="99">
        <f>'retrieve WebNLG TCF random'!A30</f>
        <v>51</v>
      </c>
      <c r="B53" s="99" t="str">
        <f>'retrieve WebNLG TCF random'!B30</f>
        <v>albert jennings fountain was born in new york city and died in new mexico territory. albert jennings fountain was born in staten island.</v>
      </c>
      <c r="C53" s="99" t="str">
        <f>'retrieve WebNLG TCF random'!C30</f>
        <v>Albert_Jennings_Fountain|deathPlace|New_Mexico_Territory ++ Albert_Jennings_Fountain|birthPlace|New_York_City ++ Albert_Jennings_Fountain|birthPlace|Staten_Island</v>
      </c>
      <c r="D53" s="99" t="str">
        <f>'retrieve WebNLG TCF random'!D30</f>
        <v>0.166</v>
      </c>
      <c r="E53" s="99" t="str">
        <f>'retrieve WebNLG TCF random'!E30</f>
        <v>OK</v>
      </c>
      <c r="F53" s="99" t="str">
        <f>'retrieve WebNLG TCF random'!F30</f>
        <v>hallucination</v>
      </c>
      <c r="G53" s="99" t="str">
        <f>'retrieve WebNLG TCF random'!G30</f>
        <v>x</v>
      </c>
      <c r="H53" s="99" t="str">
        <f>'retrieve WebNLG TCF random'!H30</f>
        <v/>
      </c>
      <c r="I53" s="99" t="str">
        <f>'retrieve WebNLG TCF random'!I30</f>
        <v/>
      </c>
      <c r="J53" s="99" t="str">
        <f>'retrieve WebNLG TCF random'!J30</f>
        <v/>
      </c>
      <c r="K53" s="99" t="str">
        <f>'retrieve WebNLG TCF random'!K30</f>
        <v/>
      </c>
      <c r="L53" s="99" t="str">
        <f>'retrieve WebNLG TCF random'!L30</f>
        <v/>
      </c>
      <c r="M53" s="99" t="str">
        <f>'retrieve WebNLG TCF random'!M30</f>
        <v/>
      </c>
      <c r="N53" s="99" t="str">
        <f>'retrieve WebNLG TCF random'!N30</f>
        <v/>
      </c>
      <c r="O53" s="99" t="str">
        <f>'retrieve WebNLG TCF random'!O30</f>
        <v/>
      </c>
    </row>
    <row r="54">
      <c r="A54" s="99">
        <f>'retrieve WebNLG AB random'!A9</f>
        <v>52</v>
      </c>
      <c r="B54" s="99" t="str">
        <f>'retrieve WebNLG AB random'!B9</f>
        <v>gus poyet is in the real zaragoza club and previously played for chelsea fc . he now manages aek athens who have their home ground at the olympic stadium ( athens ) at marousi .</v>
      </c>
      <c r="C54" s="99" t="str">
        <f>'retrieve WebNLG AB random'!C9</f>
        <v>AEK_Athens_F.C.|manager|Gus_Poyet ++ Gus_Poyet|club|Real_Zaragoza ++ Olympic_Stadium_(Athens)|location|Marousi ++ AEK_Athens_F.C.|ground|Olympic_Stadium_(Athens) ++ Gus_Poyet|club|Chelsea_F.C.</v>
      </c>
      <c r="D54" s="99" t="str">
        <f>'retrieve WebNLG AB random'!D9</f>
        <v>0.018</v>
      </c>
      <c r="E54" s="99" t="str">
        <f>'retrieve WebNLG AB random'!E9</f>
        <v>OK</v>
      </c>
      <c r="F54" s="99" t="str">
        <f>'retrieve WebNLG AB random'!F9</f>
        <v>hallucination</v>
      </c>
      <c r="G54" s="99" t="str">
        <f>'retrieve WebNLG AB random'!G9</f>
        <v/>
      </c>
      <c r="H54" s="99" t="str">
        <f>'retrieve WebNLG AB random'!H9</f>
        <v>x</v>
      </c>
      <c r="I54" s="99" t="str">
        <f>'retrieve WebNLG AB random'!I9</f>
        <v/>
      </c>
      <c r="J54" s="99" t="str">
        <f>'retrieve WebNLG AB random'!J9</f>
        <v/>
      </c>
      <c r="K54" s="99" t="str">
        <f>'retrieve WebNLG AB random'!K9</f>
        <v/>
      </c>
      <c r="L54" s="99" t="str">
        <f>'retrieve WebNLG AB random'!L9</f>
        <v/>
      </c>
      <c r="M54" s="99" t="str">
        <f>'retrieve WebNLG AB random'!M9</f>
        <v>x</v>
      </c>
      <c r="N54" s="99" t="str">
        <f>'retrieve WebNLG AB random'!N9</f>
        <v/>
      </c>
      <c r="O54" s="99" t="str">
        <f>'retrieve WebNLG AB random'!O9</f>
        <v>hallucination is correct ('previously', 'now')</v>
      </c>
    </row>
    <row r="55">
      <c r="A55" s="99">
        <f>'retrieve WebNLG TCF random'!A12</f>
        <v>53</v>
      </c>
      <c r="B55" s="99" t="str">
        <f>'retrieve WebNLG TCF random'!B12</f>
        <v>akita museum of art is located in akita, akita, japan, at the following addres : 142 nakadori. akita museum of art are three floors at akita prefecture.</v>
      </c>
      <c r="C55" s="99" t="str">
        <f>'retrieve WebNLG TCF random'!C12</f>
        <v>Akita_Museum_of_Art|country|Japan ++ Akita_Museum_of_Art|floorCount|3 ++ Akita_Museum_of_Art|location|Akita,_Akita ++ Akita_Museum_of_Art|location|Akita_Prefecture ++ Akita_Museum_of_Art|address|"1-4-2 Nakadori"</v>
      </c>
      <c r="D55" s="99" t="str">
        <f>'retrieve WebNLG TCF random'!D12</f>
        <v>0.013</v>
      </c>
      <c r="E55" s="99" t="str">
        <f>'retrieve WebNLG TCF random'!E12</f>
        <v>OK</v>
      </c>
      <c r="F55" s="99" t="str">
        <f>'retrieve WebNLG TCF random'!F12</f>
        <v>omission</v>
      </c>
      <c r="G55" s="99" t="str">
        <f>'retrieve WebNLG TCF random'!G12</f>
        <v>x</v>
      </c>
      <c r="H55" s="99" t="str">
        <f>'retrieve WebNLG TCF random'!H12</f>
        <v/>
      </c>
      <c r="I55" s="99" t="str">
        <f>'retrieve WebNLG TCF random'!I12</f>
        <v/>
      </c>
      <c r="J55" s="99" t="str">
        <f>'retrieve WebNLG TCF random'!J12</f>
        <v/>
      </c>
      <c r="K55" s="99" t="str">
        <f>'retrieve WebNLG TCF random'!K12</f>
        <v/>
      </c>
      <c r="L55" s="99" t="str">
        <f>'retrieve WebNLG TCF random'!L12</f>
        <v/>
      </c>
      <c r="M55" s="99" t="str">
        <f>'retrieve WebNLG TCF random'!M12</f>
        <v/>
      </c>
      <c r="N55" s="99" t="str">
        <f>'retrieve WebNLG TCF random'!N12</f>
        <v/>
      </c>
      <c r="O55" s="99" t="str">
        <f>'retrieve WebNLG TCF random'!O12</f>
        <v/>
      </c>
    </row>
    <row r="56">
      <c r="A56" s="99">
        <f>'retrieve WebNLG TCF random'!A50</f>
        <v>54</v>
      </c>
      <c r="B56" s="99" t="str">
        <f>'retrieve WebNLG TCF random'!B50</f>
        <v>american journal of mathematics, the academic discipline mathematics</v>
      </c>
      <c r="C56" s="99" t="str">
        <f>'retrieve WebNLG TCF random'!C50</f>
        <v>American_Journal_of_Mathematics|academicDiscipline|Mathematics</v>
      </c>
      <c r="D56" s="99" t="str">
        <f>'retrieve WebNLG TCF random'!D50</f>
        <v>0.977</v>
      </c>
      <c r="E56" s="99" t="str">
        <f>'retrieve WebNLG TCF random'!E50</f>
        <v>not OK</v>
      </c>
      <c r="F56" s="99" t="str">
        <f>'retrieve WebNLG TCF random'!F50</f>
        <v>OK</v>
      </c>
      <c r="G56" s="99" t="str">
        <f>'retrieve WebNLG TCF random'!G50</f>
        <v/>
      </c>
      <c r="H56" s="99" t="str">
        <f>'retrieve WebNLG TCF random'!H50</f>
        <v>x</v>
      </c>
      <c r="I56" s="99" t="str">
        <f>'retrieve WebNLG TCF random'!I50</f>
        <v/>
      </c>
      <c r="J56" s="99" t="str">
        <f>'retrieve WebNLG TCF random'!J50</f>
        <v/>
      </c>
      <c r="K56" s="99" t="str">
        <f>'retrieve WebNLG TCF random'!K50</f>
        <v/>
      </c>
      <c r="L56" s="99" t="str">
        <f>'retrieve WebNLG TCF random'!L50</f>
        <v/>
      </c>
      <c r="M56" s="99" t="str">
        <f>'retrieve WebNLG TCF random'!M50</f>
        <v/>
      </c>
      <c r="N56" s="99" t="str">
        <f>'retrieve WebNLG TCF random'!N50</f>
        <v/>
      </c>
      <c r="O56" s="99" t="str">
        <f>'retrieve WebNLG TCF random'!O50</f>
        <v/>
      </c>
    </row>
    <row r="57">
      <c r="A57" s="99">
        <f>'retrieve WebNLG TCF random'!A26</f>
        <v>55</v>
      </c>
      <c r="B57" s="99" t="str">
        <f>'retrieve WebNLG TCF random'!B26</f>
        <v>john van den brom, manager of az alkmaar, plays for jong ajax john van den brom plays for istanbulspor a.s.</v>
      </c>
      <c r="C57" s="99" t="str">
        <f>'retrieve WebNLG TCF random'!C26</f>
        <v>AZ_Alkmaar|manager|John_van_den_Brom ++ John_van_den_Brom|club|Jong_Ajax ++ John_van_den_Brom|club|İstanbulspor_A.Ş.</v>
      </c>
      <c r="D57" s="99" t="str">
        <f>'retrieve WebNLG TCF random'!D26</f>
        <v>0.692</v>
      </c>
      <c r="E57" s="99" t="str">
        <f>'retrieve WebNLG TCF random'!E26</f>
        <v>not OK</v>
      </c>
      <c r="F57" s="99" t="str">
        <f>'retrieve WebNLG TCF random'!F26</f>
        <v>OK</v>
      </c>
      <c r="G57" s="99" t="str">
        <f>'retrieve WebNLG TCF random'!G26</f>
        <v>x</v>
      </c>
      <c r="H57" s="99" t="str">
        <f>'retrieve WebNLG TCF random'!H26</f>
        <v/>
      </c>
      <c r="I57" s="99" t="str">
        <f>'retrieve WebNLG TCF random'!I26</f>
        <v/>
      </c>
      <c r="J57" s="99" t="str">
        <f>'retrieve WebNLG TCF random'!J26</f>
        <v/>
      </c>
      <c r="K57" s="99" t="str">
        <f>'retrieve WebNLG TCF random'!K26</f>
        <v/>
      </c>
      <c r="L57" s="99" t="str">
        <f>'retrieve WebNLG TCF random'!L26</f>
        <v>x</v>
      </c>
      <c r="M57" s="99" t="str">
        <f>'retrieve WebNLG TCF random'!M26</f>
        <v/>
      </c>
      <c r="N57" s="99" t="str">
        <f>'retrieve WebNLG TCF random'!N26</f>
        <v/>
      </c>
      <c r="O57" s="99" t="str">
        <f>'retrieve WebNLG TCF random'!O26</f>
        <v/>
      </c>
    </row>
    <row r="58">
      <c r="A58" s="99">
        <f>'retrieve WebNLG AB random'!A7</f>
        <v>56</v>
      </c>
      <c r="B58" s="99" t="str">
        <f>'retrieve WebNLG AB random'!B7</f>
        <v>capital is austin. andrews county airport is located in texas. english is spoken in texas.</v>
      </c>
      <c r="C58" s="99" t="str">
        <f>'retrieve WebNLG AB random'!C7</f>
        <v>Andrews_County_Airport|location|Texas ++ Texas|capital|Austin,_Texas ++ Texas|language|English_language</v>
      </c>
      <c r="D58" s="99" t="str">
        <f>'retrieve WebNLG AB random'!D7</f>
        <v>0.945</v>
      </c>
      <c r="E58" s="99" t="str">
        <f>'retrieve WebNLG AB random'!E7</f>
        <v>not OK</v>
      </c>
      <c r="F58" s="99" t="str">
        <f>'retrieve WebNLG AB random'!F7</f>
        <v>OK</v>
      </c>
      <c r="G58" s="99" t="str">
        <f>'retrieve WebNLG AB random'!G7</f>
        <v>x</v>
      </c>
      <c r="H58" s="99" t="str">
        <f>'retrieve WebNLG AB random'!H7</f>
        <v/>
      </c>
      <c r="I58" s="99" t="str">
        <f>'retrieve WebNLG AB random'!I7</f>
        <v/>
      </c>
      <c r="J58" s="99" t="str">
        <f>'retrieve WebNLG AB random'!J7</f>
        <v/>
      </c>
      <c r="K58" s="99" t="str">
        <f>'retrieve WebNLG AB random'!K7</f>
        <v/>
      </c>
      <c r="L58" s="99" t="str">
        <f>'retrieve WebNLG AB random'!L7</f>
        <v/>
      </c>
      <c r="M58" s="99" t="str">
        <f>'retrieve WebNLG AB random'!M7</f>
        <v>x</v>
      </c>
      <c r="N58" s="99" t="str">
        <f>'retrieve WebNLG AB random'!N7</f>
        <v/>
      </c>
      <c r="O58" s="99" t="str">
        <f>'retrieve WebNLG AB random'!O7</f>
        <v>of Texas' missing after capital</v>
      </c>
    </row>
    <row r="59">
      <c r="A59" s="99">
        <f>'retrieve WebNLG AB random'!A45</f>
        <v>57</v>
      </c>
      <c r="B59" s="99" t="str">
        <f>'retrieve WebNLG AB random'!B45</f>
        <v>the chair of (29075) 1950 da is carl a. wirtanen.</v>
      </c>
      <c r="C59" s="99" t="str">
        <f>'retrieve WebNLG AB random'!C45</f>
        <v>(29075)_1950_DA|discoverer|Carl_A._Wirtanen</v>
      </c>
      <c r="D59" s="99" t="str">
        <f>'retrieve WebNLG AB random'!D45</f>
        <v>0.448</v>
      </c>
      <c r="E59" s="99" t="str">
        <f>'retrieve WebNLG AB random'!E45</f>
        <v>not OK</v>
      </c>
      <c r="F59" s="99" t="str">
        <f>'retrieve WebNLG AB random'!F45</f>
        <v>OK</v>
      </c>
      <c r="G59" s="99" t="str">
        <f>'retrieve WebNLG AB random'!G45</f>
        <v>x</v>
      </c>
      <c r="H59" s="99" t="str">
        <f>'retrieve WebNLG AB random'!H45</f>
        <v/>
      </c>
      <c r="I59" s="99" t="str">
        <f>'retrieve WebNLG AB random'!I45</f>
        <v/>
      </c>
      <c r="J59" s="99" t="str">
        <f>'retrieve WebNLG AB random'!J45</f>
        <v>x</v>
      </c>
      <c r="K59" s="99" t="str">
        <f>'retrieve WebNLG AB random'!K45</f>
        <v/>
      </c>
      <c r="L59" s="99" t="str">
        <f>'retrieve WebNLG AB random'!L45</f>
        <v/>
      </c>
      <c r="M59" s="99" t="str">
        <f>'retrieve WebNLG AB random'!M45</f>
        <v>x</v>
      </c>
      <c r="N59" s="99" t="str">
        <f>'retrieve WebNLG AB random'!N45</f>
        <v/>
      </c>
      <c r="O59" s="99" t="str">
        <f>'retrieve WebNLG AB random'!O45</f>
        <v>chair' instead of 'discoverer'</v>
      </c>
    </row>
    <row r="60">
      <c r="A60" s="99">
        <f>'retrieve WebNLG TCF random'!A16</f>
        <v>58</v>
      </c>
      <c r="B60" s="99" t="str">
        <f>'retrieve WebNLG TCF random'!B16</f>
        <v>ajoblanco is a spanish dish that originates andalusia , where the leader is susana diaz . felipe vi is the leader of spain , where the people that live there are called spaniards .</v>
      </c>
      <c r="C60" s="99" t="str">
        <f>'retrieve WebNLG TCF random'!C16</f>
        <v>Spain|leaderName|Felipe_VI_of_Spain ++ Ajoblanco|region|Andalusia ++ Andalusia|leaderName|Susana_Díaz ++ Ajoblanco|country|Spain ++ Spain|demonym|Spaniards</v>
      </c>
      <c r="D60" s="99" t="str">
        <f>'retrieve WebNLG TCF random'!D16</f>
        <v>0.524</v>
      </c>
      <c r="E60" s="99" t="str">
        <f>'retrieve WebNLG TCF random'!E16</f>
        <v>not OK</v>
      </c>
      <c r="F60" s="99" t="str">
        <f>'retrieve WebNLG TCF random'!F16</f>
        <v>OK</v>
      </c>
      <c r="G60" s="99" t="str">
        <f>'retrieve WebNLG TCF random'!G16</f>
        <v/>
      </c>
      <c r="H60" s="99" t="str">
        <f>'retrieve WebNLG TCF random'!H16</f>
        <v>x</v>
      </c>
      <c r="I60" s="99" t="str">
        <f>'retrieve WebNLG TCF random'!I16</f>
        <v/>
      </c>
      <c r="J60" s="99" t="str">
        <f>'retrieve WebNLG TCF random'!J16</f>
        <v/>
      </c>
      <c r="K60" s="99" t="str">
        <f>'retrieve WebNLG TCF random'!K16</f>
        <v/>
      </c>
      <c r="L60" s="99" t="str">
        <f>'retrieve WebNLG TCF random'!L16</f>
        <v/>
      </c>
      <c r="M60" s="99" t="str">
        <f>'retrieve WebNLG TCF random'!M16</f>
        <v/>
      </c>
      <c r="N60" s="99" t="str">
        <f>'retrieve WebNLG TCF random'!N16</f>
        <v/>
      </c>
      <c r="O60" s="99" t="str">
        <f>'retrieve WebNLG TCF random'!O16</f>
        <v/>
      </c>
    </row>
    <row r="61">
      <c r="A61" s="99">
        <f>'retrieve WebNLG AB random'!A42</f>
        <v>59</v>
      </c>
      <c r="B61" s="99" t="str">
        <f>'retrieve WebNLG AB random'!B42</f>
        <v>dublin is part of republic of ireland and 3arena.</v>
      </c>
      <c r="C61" s="99" t="str">
        <f>'retrieve WebNLG AB random'!C42</f>
        <v>Dublin|isPartOf|Republic_of_Ireland ++ 3Arena|location|Dublin</v>
      </c>
      <c r="D61" s="99" t="str">
        <f>'retrieve WebNLG AB random'!D42</f>
        <v>0.946</v>
      </c>
      <c r="E61" s="99" t="str">
        <f>'retrieve WebNLG AB random'!E42</f>
        <v>not OK</v>
      </c>
      <c r="F61" s="99" t="str">
        <f>'retrieve WebNLG AB random'!F42</f>
        <v>OK</v>
      </c>
      <c r="G61" s="99" t="str">
        <f>'retrieve WebNLG AB random'!G42</f>
        <v>x</v>
      </c>
      <c r="H61" s="99" t="str">
        <f>'retrieve WebNLG AB random'!H42</f>
        <v/>
      </c>
      <c r="I61" s="99" t="str">
        <f>'retrieve WebNLG AB random'!I42</f>
        <v/>
      </c>
      <c r="J61" s="99" t="str">
        <f>'retrieve WebNLG AB random'!J42</f>
        <v/>
      </c>
      <c r="K61" s="99" t="str">
        <f>'retrieve WebNLG AB random'!K42</f>
        <v/>
      </c>
      <c r="L61" s="99" t="str">
        <f>'retrieve WebNLG AB random'!L42</f>
        <v/>
      </c>
      <c r="M61" s="99" t="str">
        <f>'retrieve WebNLG AB random'!M42</f>
        <v>x</v>
      </c>
      <c r="N61" s="99" t="str">
        <f>'retrieve WebNLG AB random'!N42</f>
        <v/>
      </c>
      <c r="O61" s="99" t="str">
        <f>'retrieve WebNLG AB random'!O42</f>
        <v>NLI wrongly has OK maybe because of poor templates; subject/object swap</v>
      </c>
    </row>
    <row r="62">
      <c r="A62" s="99">
        <f>'retrieve WebNLG AB random'!A5</f>
        <v>60</v>
      </c>
      <c r="B62" s="99" t="str">
        <f>'retrieve WebNLG AB random'!B5</f>
        <v>the usaf was involved in the 1986 bombing of libya .</v>
      </c>
      <c r="C62" s="99" t="str">
        <f>'retrieve WebNLG AB random'!C5</f>
        <v>United_States_Air_Force|battles|1986_United_States_bombing_of_Libya</v>
      </c>
      <c r="D62" s="99" t="str">
        <f>'retrieve WebNLG AB random'!D5</f>
        <v>0.794</v>
      </c>
      <c r="E62" s="99" t="str">
        <f>'retrieve WebNLG AB random'!E5</f>
        <v>not OK</v>
      </c>
      <c r="F62" s="99" t="str">
        <f>'retrieve WebNLG AB random'!F5</f>
        <v>OK</v>
      </c>
      <c r="G62" s="99" t="str">
        <f>'retrieve WebNLG AB random'!G5</f>
        <v/>
      </c>
      <c r="H62" s="99" t="str">
        <f>'retrieve WebNLG AB random'!H5</f>
        <v>x</v>
      </c>
      <c r="I62" s="99" t="str">
        <f>'retrieve WebNLG AB random'!I5</f>
        <v/>
      </c>
      <c r="J62" s="99" t="str">
        <f>'retrieve WebNLG AB random'!J5</f>
        <v/>
      </c>
      <c r="K62" s="99" t="str">
        <f>'retrieve WebNLG AB random'!K5</f>
        <v/>
      </c>
      <c r="L62" s="99" t="str">
        <f>'retrieve WebNLG AB random'!L5</f>
        <v/>
      </c>
      <c r="M62" s="99" t="str">
        <f>'retrieve WebNLG AB random'!M5</f>
        <v/>
      </c>
      <c r="N62" s="99" t="str">
        <f>'retrieve WebNLG AB random'!N5</f>
        <v>x</v>
      </c>
      <c r="O62" s="99" t="str">
        <f>'retrieve WebNLG AB random'!O5</f>
        <v>gold wrongly has not ok but unclear why</v>
      </c>
    </row>
    <row r="63">
      <c r="A63" s="99">
        <f>'retrieve WebNLG TCF random'!A39</f>
        <v>61</v>
      </c>
      <c r="B63" s="99" t="str">
        <f>'retrieve WebNLG TCF random'!B39</f>
        <v>athens international airport serves athens in greece. alexis tsipras and prokopis pavlopoulos are leaders in greece where the people there are called greek.</v>
      </c>
      <c r="C63" s="99" t="str">
        <f>'retrieve WebNLG TCF random'!C39</f>
        <v>Athens_International_Airport|cityServed|Athens ++ Athens|country|Greece ++ Greece|leaderName|Alexis_Tsipras ++ Greece|language|Greek_language ++ Greece|leaderName|Prokopis_Pavlopoulos</v>
      </c>
      <c r="D63" s="99" t="str">
        <f>'retrieve WebNLG TCF random'!D39</f>
        <v>0.307</v>
      </c>
      <c r="E63" s="99" t="str">
        <f>'retrieve WebNLG TCF random'!E39</f>
        <v>OK</v>
      </c>
      <c r="F63" s="99" t="str">
        <f>'retrieve WebNLG TCF random'!F39</f>
        <v>hallucination+omission</v>
      </c>
      <c r="G63" s="99" t="str">
        <f>'retrieve WebNLG TCF random'!G39</f>
        <v/>
      </c>
      <c r="H63" s="99" t="str">
        <f>'retrieve WebNLG TCF random'!H39</f>
        <v>x</v>
      </c>
      <c r="I63" s="99" t="str">
        <f>'retrieve WebNLG TCF random'!I39</f>
        <v/>
      </c>
      <c r="J63" s="99" t="str">
        <f>'retrieve WebNLG TCF random'!J39</f>
        <v/>
      </c>
      <c r="K63" s="99" t="str">
        <f>'retrieve WebNLG TCF random'!K39</f>
        <v/>
      </c>
      <c r="L63" s="99" t="str">
        <f>'retrieve WebNLG TCF random'!L39</f>
        <v/>
      </c>
      <c r="M63" s="99" t="str">
        <f>'retrieve WebNLG TCF random'!M39</f>
        <v/>
      </c>
      <c r="N63" s="99" t="str">
        <f>'retrieve WebNLG TCF random'!N39</f>
        <v/>
      </c>
      <c r="O63" s="99" t="str">
        <f>'retrieve WebNLG TCF random'!O39</f>
        <v/>
      </c>
    </row>
    <row r="64">
      <c r="A64" s="99">
        <f>'retrieve WebNLG TCF random'!A24</f>
        <v>62</v>
      </c>
      <c r="B64" s="99" t="str">
        <f>'retrieve WebNLG TCF random'!B24</f>
        <v>. english is spoken in the united states and great britain. the capital of the united states is washington, d.c. a severed wasp is from the united states where the native americans are an ethnic group.</v>
      </c>
      <c r="C64" s="99" t="str">
        <f>'retrieve WebNLG TCF random'!C24</f>
        <v>English_language|spokenIn|Great_Britain ++ United_States|language|English_language ++ United_States|capital|Washington,_D.C. ++ A_Severed_Wasp|country|United_States ++ United_States|ethnicGroup|Native_Americans_in_the_United_States</v>
      </c>
      <c r="D64" s="99" t="str">
        <f>'retrieve WebNLG TCF random'!D24</f>
        <v>0.921</v>
      </c>
      <c r="E64" s="99" t="str">
        <f>'retrieve WebNLG TCF random'!E24</f>
        <v>not OK</v>
      </c>
      <c r="F64" s="99" t="str">
        <f>'retrieve WebNLG TCF random'!F24</f>
        <v>OK</v>
      </c>
      <c r="G64" s="99" t="str">
        <f>'retrieve WebNLG TCF random'!G24</f>
        <v/>
      </c>
      <c r="H64" s="99" t="str">
        <f>'retrieve WebNLG TCF random'!H24</f>
        <v>x</v>
      </c>
      <c r="I64" s="99" t="str">
        <f>'retrieve WebNLG TCF random'!I24</f>
        <v/>
      </c>
      <c r="J64" s="99" t="str">
        <f>'retrieve WebNLG TCF random'!J24</f>
        <v/>
      </c>
      <c r="K64" s="99" t="str">
        <f>'retrieve WebNLG TCF random'!K24</f>
        <v/>
      </c>
      <c r="L64" s="99" t="str">
        <f>'retrieve WebNLG TCF random'!L24</f>
        <v/>
      </c>
      <c r="M64" s="99" t="str">
        <f>'retrieve WebNLG TCF random'!M24</f>
        <v/>
      </c>
      <c r="N64" s="99" t="str">
        <f>'retrieve WebNLG TCF random'!N24</f>
        <v/>
      </c>
      <c r="O64" s="99" t="str">
        <f>'retrieve WebNLG TCF random'!O24</f>
        <v/>
      </c>
    </row>
    <row r="65">
      <c r="A65" s="99">
        <f>'retrieve WebNLG TCF random'!A8</f>
        <v>63</v>
      </c>
      <c r="B65" s="99" t="str">
        <f>'retrieve WebNLG TCF random'!B8</f>
        <v>a severed wasp ( from the united states ) is written in english , which is the language spoken in great britain .</v>
      </c>
      <c r="C65" s="99" t="str">
        <f>'retrieve WebNLG TCF random'!C8</f>
        <v>A_Severed_Wasp|language|English_language ++ English_language|spokenIn|Great_Britain ++ A_Severed_Wasp|country|United_States</v>
      </c>
      <c r="D65" s="99" t="str">
        <f>'retrieve WebNLG TCF random'!D8</f>
        <v>0.413</v>
      </c>
      <c r="E65" s="99" t="str">
        <f>'retrieve WebNLG TCF random'!E8</f>
        <v>OK</v>
      </c>
      <c r="F65" s="99" t="str">
        <f>'retrieve WebNLG TCF random'!F8</f>
        <v>hallucination</v>
      </c>
      <c r="G65" s="99" t="str">
        <f>'retrieve WebNLG TCF random'!G8</f>
        <v>x</v>
      </c>
      <c r="H65" s="99" t="str">
        <f>'retrieve WebNLG TCF random'!H8</f>
        <v/>
      </c>
      <c r="I65" s="99" t="str">
        <f>'retrieve WebNLG TCF random'!I8</f>
        <v/>
      </c>
      <c r="J65" s="99" t="str">
        <f>'retrieve WebNLG TCF random'!J8</f>
        <v/>
      </c>
      <c r="K65" s="99" t="str">
        <f>'retrieve WebNLG TCF random'!K8</f>
        <v/>
      </c>
      <c r="L65" s="99" t="str">
        <f>'retrieve WebNLG TCF random'!L8</f>
        <v/>
      </c>
      <c r="M65" s="99" t="str">
        <f>'retrieve WebNLG TCF random'!M8</f>
        <v/>
      </c>
      <c r="N65" s="99" t="str">
        <f>'retrieve WebNLG TCF random'!N8</f>
        <v/>
      </c>
      <c r="O65" s="99" t="str">
        <f>'retrieve WebNLG TCF random'!O8</f>
        <v/>
      </c>
    </row>
    <row r="66">
      <c r="A66" s="99">
        <f>'retrieve WebNLG TCF random'!A42</f>
        <v>64</v>
      </c>
      <c r="B66" s="99" t="str">
        <f>'retrieve WebNLG TCF random'!B42</f>
        <v>atlantic city, new jersey is published in united states, the capital of which is washington dc</v>
      </c>
      <c r="C66" s="99" t="str">
        <f>'retrieve WebNLG TCF random'!C42</f>
        <v>Atlantic_City,_New_Jersey|country|United_States ++ United_States|capital|Washington,_D.C.</v>
      </c>
      <c r="D66" s="99" t="str">
        <f>'retrieve WebNLG TCF random'!D42</f>
        <v>0.824</v>
      </c>
      <c r="E66" s="99" t="str">
        <f>'retrieve WebNLG TCF random'!E42</f>
        <v>not OK</v>
      </c>
      <c r="F66" s="99" t="str">
        <f>'retrieve WebNLG TCF random'!F42</f>
        <v>OK</v>
      </c>
      <c r="G66" s="99" t="str">
        <f>'retrieve WebNLG TCF random'!G42</f>
        <v>x</v>
      </c>
      <c r="H66" s="99" t="str">
        <f>'retrieve WebNLG TCF random'!H42</f>
        <v/>
      </c>
      <c r="I66" s="99" t="str">
        <f>'retrieve WebNLG TCF random'!I42</f>
        <v/>
      </c>
      <c r="J66" s="99" t="str">
        <f>'retrieve WebNLG TCF random'!J42</f>
        <v>x</v>
      </c>
      <c r="K66" s="99" t="str">
        <f>'retrieve WebNLG TCF random'!K42</f>
        <v/>
      </c>
      <c r="L66" s="99" t="str">
        <f>'retrieve WebNLG TCF random'!L42</f>
        <v/>
      </c>
      <c r="M66" s="99" t="str">
        <f>'retrieve WebNLG TCF random'!M42</f>
        <v/>
      </c>
      <c r="N66" s="99" t="str">
        <f>'retrieve WebNLG TCF random'!N42</f>
        <v/>
      </c>
      <c r="O66" s="99" t="str">
        <f>'retrieve WebNLG TCF random'!O42</f>
        <v/>
      </c>
    </row>
    <row r="67">
      <c r="A67" s="99">
        <f>'retrieve WebNLG TCF random'!A9</f>
        <v>65</v>
      </c>
      <c r="B67" s="99" t="str">
        <f>'retrieve WebNLG TCF random'!B9</f>
        <v>marriott international is the tenant of ac hotel bella sky and is located in copenhagen .</v>
      </c>
      <c r="C67" s="99" t="str">
        <f>'retrieve WebNLG TCF random'!C9</f>
        <v>AC_Hotel_Bella_Sky_Copenhagen|tenant|Marriott_International ++ AC_Hotel_Bella_Sky_Copenhagen|location|Copenhagen</v>
      </c>
      <c r="D67" s="99" t="str">
        <f>'retrieve WebNLG TCF random'!D9</f>
        <v>0.003</v>
      </c>
      <c r="E67" s="99" t="str">
        <f>'retrieve WebNLG TCF random'!E9</f>
        <v>OK</v>
      </c>
      <c r="F67" s="99" t="str">
        <f>'retrieve WebNLG TCF random'!F9</f>
        <v>hallucination+omission</v>
      </c>
      <c r="G67" s="99" t="str">
        <f>'retrieve WebNLG TCF random'!G9</f>
        <v>x</v>
      </c>
      <c r="H67" s="99" t="str">
        <f>'retrieve WebNLG TCF random'!H9</f>
        <v/>
      </c>
      <c r="I67" s="99" t="str">
        <f>'retrieve WebNLG TCF random'!I9</f>
        <v/>
      </c>
      <c r="J67" s="99" t="str">
        <f>'retrieve WebNLG TCF random'!J9</f>
        <v/>
      </c>
      <c r="K67" s="99" t="str">
        <f>'retrieve WebNLG TCF random'!K9</f>
        <v/>
      </c>
      <c r="L67" s="99" t="str">
        <f>'retrieve WebNLG TCF random'!L9</f>
        <v/>
      </c>
      <c r="M67" s="99" t="str">
        <f>'retrieve WebNLG TCF random'!M9</f>
        <v/>
      </c>
      <c r="N67" s="99" t="str">
        <f>'retrieve WebNLG TCF random'!N9</f>
        <v/>
      </c>
      <c r="O67" s="99" t="str">
        <f>'retrieve WebNLG TCF random'!O9</f>
        <v/>
      </c>
    </row>
    <row r="68">
      <c r="A68" s="99">
        <f>'retrieve WebNLG TCF random'!A13</f>
        <v>66</v>
      </c>
      <c r="B68" s="99" t="str">
        <f>'retrieve WebNLG TCF random'!B13</f>
        <v>binignit is dessert which contains sago. cookies is dessert.</v>
      </c>
      <c r="C68" s="99" t="str">
        <f>'retrieve WebNLG TCF random'!C13</f>
        <v>Binignit|ingredient|Sago ++ Binignit|course|Dessert ++ Dessert|dishVariation|Cookie</v>
      </c>
      <c r="D68" s="99" t="str">
        <f>'retrieve WebNLG TCF random'!D13</f>
        <v>0.271</v>
      </c>
      <c r="E68" s="99" t="str">
        <f>'retrieve WebNLG TCF random'!E13</f>
        <v>OK</v>
      </c>
      <c r="F68" s="99" t="str">
        <f>'retrieve WebNLG TCF random'!F13</f>
        <v>omission</v>
      </c>
      <c r="G68" s="99" t="str">
        <f>'retrieve WebNLG TCF random'!G13</f>
        <v>x</v>
      </c>
      <c r="H68" s="99" t="str">
        <f>'retrieve WebNLG TCF random'!H13</f>
        <v/>
      </c>
      <c r="I68" s="99" t="str">
        <f>'retrieve WebNLG TCF random'!I13</f>
        <v/>
      </c>
      <c r="J68" s="99" t="str">
        <f>'retrieve WebNLG TCF random'!J13</f>
        <v/>
      </c>
      <c r="K68" s="99" t="str">
        <f>'retrieve WebNLG TCF random'!K13</f>
        <v/>
      </c>
      <c r="L68" s="99" t="str">
        <f>'retrieve WebNLG TCF random'!L13</f>
        <v/>
      </c>
      <c r="M68" s="99" t="str">
        <f>'retrieve WebNLG TCF random'!M13</f>
        <v/>
      </c>
      <c r="N68" s="99" t="str">
        <f>'retrieve WebNLG TCF random'!N13</f>
        <v/>
      </c>
      <c r="O68" s="99" t="str">
        <f>'retrieve WebNLG TCF random'!O13</f>
        <v/>
      </c>
    </row>
    <row r="69">
      <c r="A69" s="99">
        <f>'retrieve WebNLG TCF random'!A35</f>
        <v>67</v>
      </c>
      <c r="B69" s="99" t="str">
        <f>'retrieve WebNLG TCF random'!B35</f>
        <v>akita museum of art is located in akita, akita, akita prefecture, japan. the brazilians are an ethnic group in japan.</v>
      </c>
      <c r="C69" s="99" t="str">
        <f>'retrieve WebNLG TCF random'!C35</f>
        <v>Akita_Museum_of_Art|country|Japan ++ Akita_Museum_of_Art|location|Akita,_Akita ++ Akita,_Akita|isPartOf|Akita_Prefecture ++ Japan|ethnicGroup|Brazilians_in_Japan</v>
      </c>
      <c r="D69" s="99" t="str">
        <f>'retrieve WebNLG TCF random'!D35</f>
        <v>0.908</v>
      </c>
      <c r="E69" s="99" t="str">
        <f>'retrieve WebNLG TCF random'!E35</f>
        <v>not OK</v>
      </c>
      <c r="F69" s="99" t="str">
        <f>'retrieve WebNLG TCF random'!F35</f>
        <v>OK</v>
      </c>
      <c r="G69" s="99" t="str">
        <f>'retrieve WebNLG TCF random'!G35</f>
        <v/>
      </c>
      <c r="H69" s="99" t="str">
        <f>'retrieve WebNLG TCF random'!H35</f>
        <v>x</v>
      </c>
      <c r="I69" s="99" t="str">
        <f>'retrieve WebNLG TCF random'!I35</f>
        <v/>
      </c>
      <c r="J69" s="99" t="str">
        <f>'retrieve WebNLG TCF random'!J35</f>
        <v/>
      </c>
      <c r="K69" s="99" t="str">
        <f>'retrieve WebNLG TCF random'!K35</f>
        <v/>
      </c>
      <c r="L69" s="99" t="str">
        <f>'retrieve WebNLG TCF random'!L35</f>
        <v/>
      </c>
      <c r="M69" s="99" t="str">
        <f>'retrieve WebNLG TCF random'!M35</f>
        <v/>
      </c>
      <c r="N69" s="99" t="str">
        <f>'retrieve WebNLG TCF random'!N35</f>
        <v/>
      </c>
      <c r="O69" s="99" t="str">
        <f>'retrieve WebNLG TCF random'!O35</f>
        <v/>
      </c>
    </row>
    <row r="70">
      <c r="A70" s="99">
        <f>'retrieve WebNLG TCF random'!A31</f>
        <v>68</v>
      </c>
      <c r="B70" s="99" t="str">
        <f>'retrieve WebNLG TCF random'!B31</f>
        <v>new york city is in new netherland.</v>
      </c>
      <c r="C70" s="99" t="str">
        <f>'retrieve WebNLG TCF random'!C31</f>
        <v>New_York_City|isPartOf|New_Netherland</v>
      </c>
      <c r="D70" s="99" t="str">
        <f>'retrieve WebNLG TCF random'!D31</f>
        <v>0.910</v>
      </c>
      <c r="E70" s="99" t="str">
        <f>'retrieve WebNLG TCF random'!E31</f>
        <v>not OK</v>
      </c>
      <c r="F70" s="99" t="str">
        <f>'retrieve WebNLG TCF random'!F31</f>
        <v>OK</v>
      </c>
      <c r="G70" s="99" t="str">
        <f>'retrieve WebNLG TCF random'!G31</f>
        <v/>
      </c>
      <c r="H70" s="99" t="str">
        <f>'retrieve WebNLG TCF random'!H31</f>
        <v>x</v>
      </c>
      <c r="I70" s="99" t="str">
        <f>'retrieve WebNLG TCF random'!I31</f>
        <v/>
      </c>
      <c r="J70" s="99" t="str">
        <f>'retrieve WebNLG TCF random'!J31</f>
        <v/>
      </c>
      <c r="K70" s="99" t="str">
        <f>'retrieve WebNLG TCF random'!K31</f>
        <v/>
      </c>
      <c r="L70" s="99" t="str">
        <f>'retrieve WebNLG TCF random'!L31</f>
        <v/>
      </c>
      <c r="M70" s="99" t="str">
        <f>'retrieve WebNLG TCF random'!M31</f>
        <v/>
      </c>
      <c r="N70" s="99" t="str">
        <f>'retrieve WebNLG TCF random'!N31</f>
        <v/>
      </c>
      <c r="O70" s="99" t="str">
        <f>'retrieve WebNLG TCF random'!O31</f>
        <v/>
      </c>
    </row>
    <row r="71">
      <c r="A71" s="99">
        <f>'retrieve WebNLG TCF random'!A14</f>
        <v>69</v>
      </c>
      <c r="B71" s="99" t="str">
        <f>'retrieve WebNLG TCF random'!B14</f>
        <v>gardner fox created the character blockbuster, which is also known as mark desmond. carmine infantino created it.</v>
      </c>
      <c r="C71" s="99" t="str">
        <f>'retrieve WebNLG TCF random'!C14</f>
        <v>Blockbuster_(comicsCharacter)|creator|Gardner_Fox ++ Blockbuster_(comicsCharacter)|alternativeName|"Mark Desmond" ++ Blockbuster_(comicsCharacter)|creator|Carmine_Infantino</v>
      </c>
      <c r="D71" s="99" t="str">
        <f>'retrieve WebNLG TCF random'!D14</f>
        <v>0.468</v>
      </c>
      <c r="E71" s="99" t="str">
        <f>'retrieve WebNLG TCF random'!E14</f>
        <v>OK</v>
      </c>
      <c r="F71" s="99" t="str">
        <f>'retrieve WebNLG TCF random'!F14</f>
        <v>hallucination</v>
      </c>
      <c r="G71" s="99" t="str">
        <f>'retrieve WebNLG TCF random'!G14</f>
        <v>x</v>
      </c>
      <c r="H71" s="99" t="str">
        <f>'retrieve WebNLG TCF random'!H14</f>
        <v/>
      </c>
      <c r="I71" s="99" t="str">
        <f>'retrieve WebNLG TCF random'!I14</f>
        <v/>
      </c>
      <c r="J71" s="99" t="str">
        <f>'retrieve WebNLG TCF random'!J14</f>
        <v/>
      </c>
      <c r="K71" s="99" t="str">
        <f>'retrieve WebNLG TCF random'!K14</f>
        <v/>
      </c>
      <c r="L71" s="99" t="str">
        <f>'retrieve WebNLG TCF random'!L14</f>
        <v/>
      </c>
      <c r="M71" s="99" t="str">
        <f>'retrieve WebNLG TCF random'!M14</f>
        <v/>
      </c>
      <c r="N71" s="99" t="str">
        <f>'retrieve WebNLG TCF random'!N14</f>
        <v/>
      </c>
      <c r="O71" s="99" t="str">
        <f>'retrieve WebNLG TCF random'!O14</f>
        <v/>
      </c>
    </row>
    <row r="72">
      <c r="A72" s="99">
        <f>'retrieve WebNLG TCF random'!A20</f>
        <v>70</v>
      </c>
      <c r="B72" s="99" t="str">
        <f>'retrieve WebNLG TCF random'!B20</f>
        <v>the languages spoken in philippines are philippine spanish and arabic. batchoy is eaten there and philippines ethnic groups are zamboangans and chinese filipino.</v>
      </c>
      <c r="C72" s="99" t="str">
        <f>'retrieve WebNLG TCF random'!C20</f>
        <v>Philippines|language|Arabic ++ Philippines|ethnicGroup|Zamboangans ++ Philippines|language|Philippine_Spanish ++ Batchoy|country|Philippines ++ Philippines|ethnicGroup|Chinese_Filipino</v>
      </c>
      <c r="D72" s="99" t="str">
        <f>'retrieve WebNLG TCF random'!D20</f>
        <v>0.222</v>
      </c>
      <c r="E72" s="99" t="str">
        <f>'retrieve WebNLG TCF random'!E20</f>
        <v>OK</v>
      </c>
      <c r="F72" s="99" t="str">
        <f>'retrieve WebNLG TCF random'!F20</f>
        <v>hallucination</v>
      </c>
      <c r="G72" s="99" t="str">
        <f>'retrieve WebNLG TCF random'!G20</f>
        <v>x</v>
      </c>
      <c r="H72" s="99" t="str">
        <f>'retrieve WebNLG TCF random'!H20</f>
        <v/>
      </c>
      <c r="I72" s="99" t="str">
        <f>'retrieve WebNLG TCF random'!I20</f>
        <v/>
      </c>
      <c r="J72" s="99" t="str">
        <f>'retrieve WebNLG TCF random'!J20</f>
        <v/>
      </c>
      <c r="K72" s="99" t="str">
        <f>'retrieve WebNLG TCF random'!K20</f>
        <v/>
      </c>
      <c r="L72" s="99" t="str">
        <f>'retrieve WebNLG TCF random'!L20</f>
        <v/>
      </c>
      <c r="M72" s="99" t="str">
        <f>'retrieve WebNLG TCF random'!M20</f>
        <v/>
      </c>
      <c r="N72" s="99" t="str">
        <f>'retrieve WebNLG TCF random'!N20</f>
        <v/>
      </c>
      <c r="O72" s="99" t="str">
        <f>'retrieve WebNLG TCF random'!O20</f>
        <v/>
      </c>
    </row>
    <row r="73">
      <c r="A73" s="99">
        <f>'retrieve WebNLG AB random'!A28</f>
        <v>71</v>
      </c>
      <c r="B73" s="99" t="str">
        <f>'retrieve WebNLG AB random'!B28</f>
        <v>bhajji has different names including : bhaji or bajji. bhajji is karnataka and uses gram flour. it is gram flour and vegetables and can be found in india.</v>
      </c>
      <c r="C73" s="99" t="str">
        <f>'retrieve WebNLG AB random'!C28</f>
        <v>Bhajji|country|India ++ Bhajji|region|Karnataka ++ Bhajji|mainIngredients|"Gram flour, vegetables" ++ Bhajji|alternativeName|"Bhaji, bajji" ++ Bhajji|ingredient|Gram_flour</v>
      </c>
      <c r="D73" s="99" t="str">
        <f>'retrieve WebNLG AB random'!D28</f>
        <v>0.928</v>
      </c>
      <c r="E73" s="99" t="str">
        <f>'retrieve WebNLG AB random'!E28</f>
        <v>not OK</v>
      </c>
      <c r="F73" s="99" t="str">
        <f>'retrieve WebNLG AB random'!F28</f>
        <v>OK</v>
      </c>
      <c r="G73" s="99" t="str">
        <f>'retrieve WebNLG AB random'!G28</f>
        <v>x</v>
      </c>
      <c r="H73" s="99" t="str">
        <f>'retrieve WebNLG AB random'!H28</f>
        <v/>
      </c>
      <c r="I73" s="99" t="str">
        <f>'retrieve WebNLG AB random'!I28</f>
        <v/>
      </c>
      <c r="J73" s="99" t="str">
        <f>'retrieve WebNLG AB random'!J28</f>
        <v>x</v>
      </c>
      <c r="K73" s="99" t="str">
        <f>'retrieve WebNLG AB random'!K28</f>
        <v/>
      </c>
      <c r="L73" s="99" t="str">
        <f>'retrieve WebNLG AB random'!L28</f>
        <v>x</v>
      </c>
      <c r="M73" s="99" t="str">
        <f>'retrieve WebNLG AB random'!M28</f>
        <v>x</v>
      </c>
      <c r="N73" s="99" t="str">
        <f>'retrieve WebNLG AB random'!N28</f>
        <v/>
      </c>
      <c r="O73" s="99" t="str">
        <f>'retrieve WebNLG AB random'!O28</f>
        <v>bhaji is karnataka' instead of e.g. 'bhaji is from Karnataka'</v>
      </c>
    </row>
    <row r="74">
      <c r="A74" s="99">
        <f>'retrieve WebNLG TCF random'!A37</f>
        <v>72</v>
      </c>
      <c r="B74" s="99" t="str">
        <f>'retrieve WebNLG TCF random'!B37</f>
        <v>abdulsalami abubakar, who graduated from technical institute (kaduna), was born in minna.</v>
      </c>
      <c r="C74" s="99" t="str">
        <f>'retrieve WebNLG TCF random'!C37</f>
        <v>Abdulsalami_Abubakar|birthPlace|Minna ++ Abdulsalami_Abubakar|almaMater|Technical_Institute,_Kaduna</v>
      </c>
      <c r="D74" s="99" t="str">
        <f>'retrieve WebNLG TCF random'!D37</f>
        <v>0.012</v>
      </c>
      <c r="E74" s="99" t="str">
        <f>'retrieve WebNLG TCF random'!E37</f>
        <v>OK</v>
      </c>
      <c r="F74" s="99" t="str">
        <f>'retrieve WebNLG TCF random'!F37</f>
        <v>hallucination</v>
      </c>
      <c r="G74" s="99" t="str">
        <f>'retrieve WebNLG TCF random'!G37</f>
        <v>x</v>
      </c>
      <c r="H74" s="99" t="str">
        <f>'retrieve WebNLG TCF random'!H37</f>
        <v/>
      </c>
      <c r="I74" s="99" t="str">
        <f>'retrieve WebNLG TCF random'!I37</f>
        <v/>
      </c>
      <c r="J74" s="99" t="str">
        <f>'retrieve WebNLG TCF random'!J37</f>
        <v/>
      </c>
      <c r="K74" s="99" t="str">
        <f>'retrieve WebNLG TCF random'!K37</f>
        <v/>
      </c>
      <c r="L74" s="99" t="str">
        <f>'retrieve WebNLG TCF random'!L37</f>
        <v/>
      </c>
      <c r="M74" s="99" t="str">
        <f>'retrieve WebNLG TCF random'!M37</f>
        <v/>
      </c>
      <c r="N74" s="99" t="str">
        <f>'retrieve WebNLG TCF random'!N37</f>
        <v/>
      </c>
      <c r="O74" s="99" t="str">
        <f>'retrieve WebNLG TCF random'!O37</f>
        <v/>
      </c>
    </row>
    <row r="75">
      <c r="A75" s="99">
        <f>'retrieve WebNLG AB random'!A17</f>
        <v>73</v>
      </c>
      <c r="B75" s="99" t="str">
        <f>'retrieve WebNLG AB random'!B17</f>
        <v>british people live in the united kingdom.</v>
      </c>
      <c r="C75" s="99" t="str">
        <f>'retrieve WebNLG AB random'!C17</f>
        <v>United_Kingdom|demonym|British_people</v>
      </c>
      <c r="D75" s="99" t="str">
        <f>'retrieve WebNLG AB random'!D17</f>
        <v>0.637</v>
      </c>
      <c r="E75" s="99" t="str">
        <f>'retrieve WebNLG AB random'!E17</f>
        <v>not OK</v>
      </c>
      <c r="F75" s="99" t="str">
        <f>'retrieve WebNLG AB random'!F17</f>
        <v>OK</v>
      </c>
      <c r="G75" s="99" t="str">
        <f>'retrieve WebNLG AB random'!G17</f>
        <v/>
      </c>
      <c r="H75" s="99" t="str">
        <f>'retrieve WebNLG AB random'!H17</f>
        <v>x</v>
      </c>
      <c r="I75" s="99" t="str">
        <f>'retrieve WebNLG AB random'!I17</f>
        <v/>
      </c>
      <c r="J75" s="99" t="str">
        <f>'retrieve WebNLG AB random'!J17</f>
        <v/>
      </c>
      <c r="K75" s="99" t="str">
        <f>'retrieve WebNLG AB random'!K17</f>
        <v/>
      </c>
      <c r="L75" s="99" t="str">
        <f>'retrieve WebNLG AB random'!L17</f>
        <v/>
      </c>
      <c r="M75" s="99" t="str">
        <f>'retrieve WebNLG AB random'!M17</f>
        <v/>
      </c>
      <c r="N75" s="99" t="str">
        <f>'retrieve WebNLG AB random'!N17</f>
        <v>x</v>
      </c>
      <c r="O75" s="99" t="str">
        <f>'retrieve WebNLG AB random'!O17</f>
        <v>odd but not exactly wrong</v>
      </c>
    </row>
    <row r="76">
      <c r="A76" s="99">
        <f>'retrieve WebNLG TCF random'!A23</f>
        <v>74</v>
      </c>
      <c r="B76" s="99" t="str">
        <f>'retrieve WebNLG TCF random'!B23</f>
        <v>aleksandra kovač (new zealand) can be found in the country of rhythm and blues, which is lead by k2 and kristina kovač.</v>
      </c>
      <c r="C76" s="99" t="str">
        <f>'retrieve WebNLG TCF random'!C23</f>
        <v>Aleksandra_Kovač|genre|Rhythm_and_blues ++ Aleksandra_Kovač|associatedBand/associatedMusicalArtist|K2_(Kovač_sisters_duo) ++ Aleksandra_Kovač|associatedBand/associatedMusicalArtist|Kristina_Kovač</v>
      </c>
      <c r="D76" s="99" t="str">
        <f>'retrieve WebNLG TCF random'!D23</f>
        <v>0.553</v>
      </c>
      <c r="E76" s="99" t="str">
        <f>'retrieve WebNLG TCF random'!E23</f>
        <v>not OK</v>
      </c>
      <c r="F76" s="99" t="str">
        <f>'retrieve WebNLG TCF random'!F23</f>
        <v>OK</v>
      </c>
      <c r="G76" s="99" t="str">
        <f>'retrieve WebNLG TCF random'!G23</f>
        <v>x</v>
      </c>
      <c r="H76" s="99" t="str">
        <f>'retrieve WebNLG TCF random'!H23</f>
        <v/>
      </c>
      <c r="I76" s="99" t="str">
        <f>'retrieve WebNLG TCF random'!I23</f>
        <v/>
      </c>
      <c r="J76" s="99" t="str">
        <f>'retrieve WebNLG TCF random'!J23</f>
        <v/>
      </c>
      <c r="K76" s="99" t="str">
        <f>'retrieve WebNLG TCF random'!K23</f>
        <v/>
      </c>
      <c r="L76" s="99" t="str">
        <f>'retrieve WebNLG TCF random'!L23</f>
        <v/>
      </c>
      <c r="M76" s="99" t="str">
        <f>'retrieve WebNLG TCF random'!M23</f>
        <v/>
      </c>
      <c r="N76" s="99" t="str">
        <f>'retrieve WebNLG TCF random'!N23</f>
        <v/>
      </c>
      <c r="O76" s="99" t="str">
        <f>'retrieve WebNLG TCF random'!O23</f>
        <v/>
      </c>
    </row>
    <row r="77">
      <c r="A77" s="99">
        <f>'retrieve WebNLG TCF random'!A15</f>
        <v>75</v>
      </c>
      <c r="B77" s="99" t="str">
        <f>'retrieve WebNLG TCF random'!B15</f>
        <v>tomato is an ingredient of amatriciana sauce which is a member of the solanaceae family. tomato is a fruit of solanales.</v>
      </c>
      <c r="C77" s="99" t="str">
        <f>'retrieve WebNLG TCF random'!C15</f>
        <v>Tomato|family|Solanaceae ++ Amatriciana_sauce|ingredient|Tomato ++ Tomato|order|Solanales</v>
      </c>
      <c r="D77" s="99" t="str">
        <f>'retrieve WebNLG TCF random'!D15</f>
        <v>0.825</v>
      </c>
      <c r="E77" s="99" t="str">
        <f>'retrieve WebNLG TCF random'!E15</f>
        <v>not OK</v>
      </c>
      <c r="F77" s="99" t="str">
        <f>'retrieve WebNLG TCF random'!F15</f>
        <v>OK</v>
      </c>
      <c r="G77" s="99" t="str">
        <f>'retrieve WebNLG TCF random'!G15</f>
        <v>x</v>
      </c>
      <c r="H77" s="99" t="str">
        <f>'retrieve WebNLG TCF random'!H15</f>
        <v/>
      </c>
      <c r="I77" s="99" t="str">
        <f>'retrieve WebNLG TCF random'!I15</f>
        <v/>
      </c>
      <c r="J77" s="99" t="str">
        <f>'retrieve WebNLG TCF random'!J15</f>
        <v/>
      </c>
      <c r="K77" s="99" t="str">
        <f>'retrieve WebNLG TCF random'!K15</f>
        <v/>
      </c>
      <c r="L77" s="99" t="str">
        <f>'retrieve WebNLG TCF random'!L15</f>
        <v>x</v>
      </c>
      <c r="M77" s="99" t="str">
        <f>'retrieve WebNLG TCF random'!M15</f>
        <v/>
      </c>
      <c r="N77" s="99" t="str">
        <f>'retrieve WebNLG TCF random'!N15</f>
        <v/>
      </c>
      <c r="O77" s="99" t="str">
        <f>'retrieve WebNLG TCF random'!O15</f>
        <v/>
      </c>
    </row>
    <row r="78">
      <c r="A78" s="99">
        <f>'retrieve WebNLG AB random'!A39</f>
        <v>76</v>
      </c>
      <c r="B78" s="99" t="str">
        <f>'retrieve WebNLG AB random'!B39</f>
        <v>john van den brom has been manager of az alkmaar and is part of the club netherlands national football team club. he is also attached to the club netherlands national football team.</v>
      </c>
      <c r="C78" s="99" t="str">
        <f>'retrieve WebNLG AB random'!C39</f>
        <v>AZ_Alkmaar|manager|John_van_den_Brom ++ John_van_den_Brom|club|Vitesse_Arnhem ++ John_van_den_Brom|club|AFC_Ajax ++ John_van_den_Brom|club|Netherlands_national_football_team</v>
      </c>
      <c r="D78" s="99" t="str">
        <f>'retrieve WebNLG AB random'!D39</f>
        <v>0.006</v>
      </c>
      <c r="E78" s="99" t="str">
        <f>'retrieve WebNLG AB random'!E39</f>
        <v>OK</v>
      </c>
      <c r="F78" s="99" t="str">
        <f>'retrieve WebNLG AB random'!F39</f>
        <v>omission</v>
      </c>
      <c r="G78" s="99" t="str">
        <f>'retrieve WebNLG AB random'!G39</f>
        <v/>
      </c>
      <c r="H78" s="99" t="str">
        <f>'retrieve WebNLG AB random'!H39</f>
        <v/>
      </c>
      <c r="I78" s="99" t="str">
        <f>'retrieve WebNLG AB random'!I39</f>
        <v>x</v>
      </c>
      <c r="J78" s="99" t="str">
        <f>'retrieve WebNLG AB random'!J39</f>
        <v/>
      </c>
      <c r="K78" s="99" t="str">
        <f>'retrieve WebNLG AB random'!K39</f>
        <v>x</v>
      </c>
      <c r="L78" s="99" t="str">
        <f>'retrieve WebNLG AB random'!L39</f>
        <v/>
      </c>
      <c r="M78" s="99" t="str">
        <f>'retrieve WebNLG AB random'!M39</f>
        <v>x</v>
      </c>
      <c r="N78" s="99" t="str">
        <f>'retrieve WebNLG AB random'!N39</f>
        <v/>
      </c>
      <c r="O78" s="99" t="str">
        <f>'retrieve WebNLG AB random'!O39</f>
        <v>should be hallucination (e.g. repetition of club and Netherlands_national_football_team) + omission (e.g. Vitesse and AFC missing)</v>
      </c>
    </row>
    <row r="79">
      <c r="A79" s="99">
        <f>'retrieve WebNLG TCF random'!A41</f>
        <v>77</v>
      </c>
      <c r="B79" s="99" t="str">
        <f>'retrieve WebNLG TCF random'!B41</f>
        <v>baku turkish martyrs ' memorial is located in azerbaijan, which has artur rasizade as prime minister. baku is the capital of azerbaijan.</v>
      </c>
      <c r="C79" s="99" t="str">
        <f>'retrieve WebNLG TCF random'!C41</f>
        <v>Azerbaijan|capital|Baku ++ Azerbaijan|leaderTitle|Prime_Minister_of_Azerbaijan ++ Baku_Turkish_Martyrs'_Memorial|location|Azerbaijan ++ Azerbaijan|leaderName|Artur_Rasizade</v>
      </c>
      <c r="D79" s="99" t="str">
        <f>'retrieve WebNLG TCF random'!D41</f>
        <v>0.475</v>
      </c>
      <c r="E79" s="99" t="str">
        <f>'retrieve WebNLG TCF random'!E41</f>
        <v>OK</v>
      </c>
      <c r="F79" s="99" t="str">
        <f>'retrieve WebNLG TCF random'!F41</f>
        <v>omission</v>
      </c>
      <c r="G79" s="99" t="str">
        <f>'retrieve WebNLG TCF random'!G41</f>
        <v>x</v>
      </c>
      <c r="H79" s="99" t="str">
        <f>'retrieve WebNLG TCF random'!H41</f>
        <v/>
      </c>
      <c r="I79" s="99" t="str">
        <f>'retrieve WebNLG TCF random'!I41</f>
        <v/>
      </c>
      <c r="J79" s="99" t="str">
        <f>'retrieve WebNLG TCF random'!J41</f>
        <v/>
      </c>
      <c r="K79" s="99" t="str">
        <f>'retrieve WebNLG TCF random'!K41</f>
        <v/>
      </c>
      <c r="L79" s="99" t="str">
        <f>'retrieve WebNLG TCF random'!L41</f>
        <v/>
      </c>
      <c r="M79" s="99" t="str">
        <f>'retrieve WebNLG TCF random'!M41</f>
        <v/>
      </c>
      <c r="N79" s="99" t="str">
        <f>'retrieve WebNLG TCF random'!N41</f>
        <v/>
      </c>
      <c r="O79" s="99" t="str">
        <f>'retrieve WebNLG TCF random'!O41</f>
        <v/>
      </c>
    </row>
    <row r="80">
      <c r="A80" s="99">
        <f>'retrieve WebNLG AB random'!A3</f>
        <v>78</v>
      </c>
      <c r="B80" s="99" t="str">
        <f>'retrieve WebNLG AB random'!B3</f>
        <v>gubbio is from umbria.</v>
      </c>
      <c r="C80" s="99" t="str">
        <f>'retrieve WebNLG AB random'!C3</f>
        <v>Gubbio|region|Umbria</v>
      </c>
      <c r="D80" s="99" t="str">
        <f>'retrieve WebNLG AB random'!D3</f>
        <v>0.948</v>
      </c>
      <c r="E80" s="99" t="str">
        <f>'retrieve WebNLG AB random'!E3</f>
        <v>not OK</v>
      </c>
      <c r="F80" s="99" t="str">
        <f>'retrieve WebNLG AB random'!F3</f>
        <v>OK</v>
      </c>
      <c r="G80" s="99" t="str">
        <f>'retrieve WebNLG AB random'!G3</f>
        <v>x</v>
      </c>
      <c r="H80" s="99" t="str">
        <f>'retrieve WebNLG AB random'!H3</f>
        <v/>
      </c>
      <c r="I80" s="99" t="str">
        <f>'retrieve WebNLG AB random'!I3</f>
        <v/>
      </c>
      <c r="J80" s="99" t="str">
        <f>'retrieve WebNLG AB random'!J3</f>
        <v>x</v>
      </c>
      <c r="K80" s="99" t="str">
        <f>'retrieve WebNLG AB random'!K3</f>
        <v/>
      </c>
      <c r="L80" s="99" t="str">
        <f>'retrieve WebNLG AB random'!L3</f>
        <v/>
      </c>
      <c r="M80" s="99" t="str">
        <f>'retrieve WebNLG AB random'!M3</f>
        <v>x</v>
      </c>
      <c r="N80" s="99" t="str">
        <f>'retrieve WebNLG AB random'!N3</f>
        <v/>
      </c>
      <c r="O80" s="99" t="str">
        <f>'retrieve WebNLG AB random'!O3</f>
        <v>gubbio is from' instead of e.g. 'Gubbio is in'</v>
      </c>
    </row>
    <row r="81">
      <c r="A81" s="99">
        <f>'retrieve WebNLG AB random'!A36</f>
        <v>79</v>
      </c>
      <c r="B81" s="99" t="str">
        <f>'retrieve WebNLG AB random'!B36</f>
        <v>auburn is part of pierce county, washington. auburn, washington is in united states auburn is part of king county, washington. auburn, washington has a population density of 914.8 inhabitants per square kilometre. auburn, washington has a total area of 77.41 (square kilometres)</v>
      </c>
      <c r="C81" s="99" t="str">
        <f>'retrieve WebNLG AB random'!C36</f>
        <v>Auburn,_Washington|isPartOf|Pierce_County,_Washington ++ Auburn,_Washington|country|United_States ++ Auburn,_Washington|isPartOf|King_County,_Washington ++ Auburn,_Washington|populationDensity|914.8 (inhabitants per square kilometre) ++ Auburn,_Washington|areaTotal|77.41 (square kilometres)</v>
      </c>
      <c r="D81" s="99" t="str">
        <f>'retrieve WebNLG AB random'!D36</f>
        <v>0.425</v>
      </c>
      <c r="E81" s="99" t="str">
        <f>'retrieve WebNLG AB random'!E36</f>
        <v>OK</v>
      </c>
      <c r="F81" s="99" t="str">
        <f>'retrieve WebNLG AB random'!F36</f>
        <v>omission</v>
      </c>
      <c r="G81" s="99" t="str">
        <f>'retrieve WebNLG AB random'!G36</f>
        <v>x</v>
      </c>
      <c r="H81" s="99" t="str">
        <f>'retrieve WebNLG AB random'!H36</f>
        <v/>
      </c>
      <c r="I81" s="99" t="str">
        <f>'retrieve WebNLG AB random'!I36</f>
        <v/>
      </c>
      <c r="J81" s="99" t="str">
        <f>'retrieve WebNLG AB random'!J36</f>
        <v/>
      </c>
      <c r="K81" s="99" t="str">
        <f>'retrieve WebNLG AB random'!K36</f>
        <v/>
      </c>
      <c r="L81" s="99" t="str">
        <f>'retrieve WebNLG AB random'!L36</f>
        <v/>
      </c>
      <c r="M81" s="99" t="str">
        <f>'retrieve WebNLG AB random'!M36</f>
        <v/>
      </c>
      <c r="N81" s="99" t="str">
        <f>'retrieve WebNLG AB random'!N36</f>
        <v/>
      </c>
      <c r="O81" s="99" t="str">
        <f>'retrieve WebNLG AB random'!O36</f>
        <v>NLI wrongly has omission, unclear why</v>
      </c>
    </row>
    <row r="82">
      <c r="A82" s="99">
        <f>'retrieve WebNLG TCF random'!A38</f>
        <v>80</v>
      </c>
      <c r="B82" s="99" t="str">
        <f>'retrieve WebNLG TCF random'!B38</f>
        <v>carl a. wirtanen discovered (29075) 1950 da.</v>
      </c>
      <c r="C82" s="99" t="str">
        <f>'retrieve WebNLG TCF random'!C38</f>
        <v>(29075)_1950_DA|discoverer|Carl_A._Wirtanen</v>
      </c>
      <c r="D82" s="99" t="str">
        <f>'retrieve WebNLG TCF random'!D38</f>
        <v>0.982</v>
      </c>
      <c r="E82" s="99" t="str">
        <f>'retrieve WebNLG TCF random'!E38</f>
        <v>not OK</v>
      </c>
      <c r="F82" s="99" t="str">
        <f>'retrieve WebNLG TCF random'!F38</f>
        <v>OK</v>
      </c>
      <c r="G82" s="99" t="str">
        <f>'retrieve WebNLG TCF random'!G38</f>
        <v/>
      </c>
      <c r="H82" s="99" t="str">
        <f>'retrieve WebNLG TCF random'!H38</f>
        <v>x</v>
      </c>
      <c r="I82" s="99" t="str">
        <f>'retrieve WebNLG TCF random'!I38</f>
        <v/>
      </c>
      <c r="J82" s="99" t="str">
        <f>'retrieve WebNLG TCF random'!J38</f>
        <v/>
      </c>
      <c r="K82" s="99" t="str">
        <f>'retrieve WebNLG TCF random'!K38</f>
        <v/>
      </c>
      <c r="L82" s="99" t="str">
        <f>'retrieve WebNLG TCF random'!L38</f>
        <v/>
      </c>
      <c r="M82" s="99" t="str">
        <f>'retrieve WebNLG TCF random'!M38</f>
        <v/>
      </c>
      <c r="N82" s="99" t="str">
        <f>'retrieve WebNLG TCF random'!N38</f>
        <v/>
      </c>
      <c r="O82" s="99" t="str">
        <f>'retrieve WebNLG TCF random'!O38</f>
        <v/>
      </c>
    </row>
    <row r="83">
      <c r="A83" s="99">
        <f>'retrieve WebNLG AB random'!A38</f>
        <v>81</v>
      </c>
      <c r="B83" s="99" t="str">
        <f>'retrieve WebNLG AB random'!B38</f>
        <v>. the ingredients include kway teow, beef tender loin, gula melaka, sliced, dried black beans, garlic, dark soy sauce, lengkuas, oyster sauce, soya sauce, chilli and sesame oil beef kway teow is made in singapore and indonesia.</v>
      </c>
      <c r="C83" s="99" t="str">
        <f>'retrieve WebNLG AB random'!C38</f>
        <v>Beef_kway_teow|mainIngredients|"Kway teow, beef tender loin, gula Melaka, sliced, dried black beans, garlic, dark soy sauce, lengkuas, oyster sauce, soya sauce, chilli and sesame oil" ++ Beef_kway_teow|country|"Singapore and Indonesia"</v>
      </c>
      <c r="D83" s="99" t="str">
        <f>'retrieve WebNLG AB random'!D38</f>
        <v>0.915</v>
      </c>
      <c r="E83" s="99" t="str">
        <f>'retrieve WebNLG AB random'!E38</f>
        <v>not OK</v>
      </c>
      <c r="F83" s="99" t="str">
        <f>'retrieve WebNLG AB random'!F38</f>
        <v>OK</v>
      </c>
      <c r="G83" s="99" t="str">
        <f>'retrieve WebNLG AB random'!G38</f>
        <v/>
      </c>
      <c r="H83" s="99" t="str">
        <f>'retrieve WebNLG AB random'!H38</f>
        <v>x</v>
      </c>
      <c r="I83" s="99" t="str">
        <f>'retrieve WebNLG AB random'!I38</f>
        <v/>
      </c>
      <c r="J83" s="99" t="str">
        <f>'retrieve WebNLG AB random'!J38</f>
        <v/>
      </c>
      <c r="K83" s="99" t="str">
        <f>'retrieve WebNLG AB random'!K38</f>
        <v/>
      </c>
      <c r="L83" s="99" t="str">
        <f>'retrieve WebNLG AB random'!L38</f>
        <v/>
      </c>
      <c r="M83" s="99" t="str">
        <f>'retrieve WebNLG AB random'!M38</f>
        <v/>
      </c>
      <c r="N83" s="99" t="str">
        <f>'retrieve WebNLG AB random'!N38</f>
        <v>x</v>
      </c>
      <c r="O83" s="99" t="str">
        <f>'retrieve WebNLG AB random'!O38</f>
        <v>gold has not Ok maybe because of coherence issues</v>
      </c>
    </row>
    <row r="84">
      <c r="A84" s="99">
        <f>'retrieve WebNLG AB random'!A20</f>
        <v>82</v>
      </c>
      <c r="B84" s="99" t="str">
        <f>'retrieve WebNLG AB random'!B20</f>
        <v>mason school of business is located in alan b miller hall in united states. alan b. miller opened in 30th march 2007.</v>
      </c>
      <c r="C84" s="99" t="str">
        <f>'retrieve WebNLG AB random'!C20</f>
        <v>Alan_B._Miller_Hall|buildingStartDate|"30 March 2007" ++ Mason_School_of_Business|country|United_States ++ Alan_B._Miller_Hall|currentTenants|Mason_School_of_Business</v>
      </c>
      <c r="D84" s="99" t="str">
        <f>'retrieve WebNLG AB random'!D20</f>
        <v>0.227</v>
      </c>
      <c r="E84" s="99" t="str">
        <f>'retrieve WebNLG AB random'!E20</f>
        <v>OK</v>
      </c>
      <c r="F84" s="99" t="str">
        <f>'retrieve WebNLG AB random'!F20</f>
        <v>omission</v>
      </c>
      <c r="G84" s="99" t="str">
        <f>'retrieve WebNLG AB random'!G20</f>
        <v/>
      </c>
      <c r="H84" s="99" t="str">
        <f>'retrieve WebNLG AB random'!H20</f>
        <v/>
      </c>
      <c r="I84" s="99" t="str">
        <f>'retrieve WebNLG AB random'!I20</f>
        <v>x</v>
      </c>
      <c r="J84" s="99" t="str">
        <f>'retrieve WebNLG AB random'!J20</f>
        <v/>
      </c>
      <c r="K84" s="99" t="str">
        <f>'retrieve WebNLG AB random'!K20</f>
        <v/>
      </c>
      <c r="L84" s="99" t="str">
        <f>'retrieve WebNLG AB random'!L20</f>
        <v/>
      </c>
      <c r="M84" s="99" t="str">
        <f>'retrieve WebNLG AB random'!M20</f>
        <v>x</v>
      </c>
      <c r="N84" s="99" t="str">
        <f>'retrieve WebNLG AB random'!N20</f>
        <v/>
      </c>
      <c r="O84" s="99" t="str">
        <f>'retrieve WebNLG AB random'!O20</f>
        <v>should be hallucination+omission (buildingStartDate vs. 'opened')</v>
      </c>
    </row>
    <row r="85">
      <c r="A85" s="99">
        <f>'retrieve WebNLG TCF random'!A1</f>
        <v>83</v>
      </c>
      <c r="B85" s="99" t="str">
        <f>'retrieve WebNLG TCF random'!B1</f>
        <v>asterix was created by rené goscinny and albert uderzo, the former being a french national.</v>
      </c>
      <c r="C85" s="99" t="str">
        <f>'retrieve WebNLG TCF random'!C1</f>
        <v>Asterix_(comicsCharacter)|creator|René_Goscinny ++ René_Goscinny|nationality|French_people ++ Asterix_(comicsCharacter)|creator|Albert_Uderzo</v>
      </c>
      <c r="D85" s="99" t="str">
        <f>'retrieve WebNLG TCF random'!D1</f>
        <v>0.167</v>
      </c>
      <c r="E85" s="99" t="str">
        <f>'retrieve WebNLG TCF random'!E1</f>
        <v>not OK</v>
      </c>
      <c r="F85" s="99" t="str">
        <f>'retrieve WebNLG TCF random'!F1</f>
        <v>omission</v>
      </c>
      <c r="G85" s="99" t="str">
        <f>'retrieve WebNLG TCF random'!G1</f>
        <v/>
      </c>
      <c r="H85" s="99" t="str">
        <f>'retrieve WebNLG TCF random'!H1</f>
        <v/>
      </c>
      <c r="I85" s="99" t="str">
        <f>'retrieve WebNLG TCF random'!I1</f>
        <v>x</v>
      </c>
      <c r="J85" s="99" t="str">
        <f>'retrieve WebNLG TCF random'!J1</f>
        <v/>
      </c>
      <c r="K85" s="99" t="str">
        <f>'retrieve WebNLG TCF random'!K1</f>
        <v/>
      </c>
      <c r="L85" s="99" t="str">
        <f>'retrieve WebNLG TCF random'!L1</f>
        <v/>
      </c>
      <c r="M85" s="99" t="str">
        <f>'retrieve WebNLG TCF random'!M1</f>
        <v/>
      </c>
      <c r="N85" s="99" t="str">
        <f>'retrieve WebNLG TCF random'!N1</f>
        <v/>
      </c>
      <c r="O85" s="99" t="str">
        <f>'retrieve WebNLG TCF random'!O1</f>
        <v>ok</v>
      </c>
    </row>
    <row r="86">
      <c r="A86" s="99">
        <f>'retrieve WebNLG TCF random'!A29</f>
        <v>84</v>
      </c>
      <c r="B86" s="99" t="str">
        <f>'retrieve WebNLG TCF random'!B29</f>
        <v>107 camilla discoverer n. r. pogson n. r. pogson was born in nottingham n. r. pogson, england</v>
      </c>
      <c r="C86" s="99" t="str">
        <f>'retrieve WebNLG TCF random'!C29</f>
        <v>107_Camilla|discoverer|N._R._Pogson ++ N._R._Pogson|birthPlace|Nottingham ++ N._R._Pogson|nationality|England</v>
      </c>
      <c r="D86" s="99" t="str">
        <f>'retrieve WebNLG TCF random'!D29</f>
        <v>0.911</v>
      </c>
      <c r="E86" s="99" t="str">
        <f>'retrieve WebNLG TCF random'!E29</f>
        <v>not OK</v>
      </c>
      <c r="F86" s="99" t="str">
        <f>'retrieve WebNLG TCF random'!F29</f>
        <v>OK</v>
      </c>
      <c r="G86" s="99" t="str">
        <f>'retrieve WebNLG TCF random'!G29</f>
        <v/>
      </c>
      <c r="H86" s="99" t="str">
        <f>'retrieve WebNLG TCF random'!H29</f>
        <v>x</v>
      </c>
      <c r="I86" s="99" t="str">
        <f>'retrieve WebNLG TCF random'!I29</f>
        <v/>
      </c>
      <c r="J86" s="99" t="str">
        <f>'retrieve WebNLG TCF random'!J29</f>
        <v/>
      </c>
      <c r="K86" s="99" t="str">
        <f>'retrieve WebNLG TCF random'!K29</f>
        <v/>
      </c>
      <c r="L86" s="99" t="str">
        <f>'retrieve WebNLG TCF random'!L29</f>
        <v/>
      </c>
      <c r="M86" s="99" t="str">
        <f>'retrieve WebNLG TCF random'!M29</f>
        <v/>
      </c>
      <c r="N86" s="99" t="str">
        <f>'retrieve WebNLG TCF random'!N29</f>
        <v/>
      </c>
      <c r="O86" s="99" t="str">
        <f>'retrieve WebNLG TCF random'!O29</f>
        <v/>
      </c>
    </row>
    <row r="87">
      <c r="A87" s="99">
        <f>'retrieve WebNLG AB random'!A27</f>
        <v>85</v>
      </c>
      <c r="B87" s="99" t="str">
        <f>'retrieve WebNLG AB random'!B27</f>
        <v>the school of business and social sciences at the aarhus university is located in the city of aarhus which has a magistrate government. it is affiliated with the european university association which has its headquarters in brussels. aarhus has mols to its northeast and mols is to the northeast of aarhus.</v>
      </c>
      <c r="C87" s="99" t="str">
        <f>'retrieve WebNLG AB random'!C27</f>
        <v>School of Business and Social Sciences at the Aarhus University|city|Aarhus ++ European_University_Association|headquarters|Brussels ++ Aarhus|has to its northeast|Mols ++ School of Business and Social Sciences at the Aarhus University|affiliation|European_University_Association ++ Aarhus|governmentType|Magistrate</v>
      </c>
      <c r="D87" s="99" t="str">
        <f>'retrieve WebNLG AB random'!D27</f>
        <v>0.841</v>
      </c>
      <c r="E87" s="99" t="str">
        <f>'retrieve WebNLG AB random'!E27</f>
        <v>not OK</v>
      </c>
      <c r="F87" s="99" t="str">
        <f>'retrieve WebNLG AB random'!F27</f>
        <v>OK</v>
      </c>
      <c r="G87" s="99" t="str">
        <f>'retrieve WebNLG AB random'!G27</f>
        <v>x</v>
      </c>
      <c r="H87" s="99" t="str">
        <f>'retrieve WebNLG AB random'!H27</f>
        <v/>
      </c>
      <c r="I87" s="99" t="str">
        <f>'retrieve WebNLG AB random'!I27</f>
        <v/>
      </c>
      <c r="J87" s="99" t="str">
        <f>'retrieve WebNLG AB random'!J27</f>
        <v/>
      </c>
      <c r="K87" s="99" t="str">
        <f>'retrieve WebNLG AB random'!K27</f>
        <v/>
      </c>
      <c r="L87" s="99" t="str">
        <f>'retrieve WebNLG AB random'!L27</f>
        <v/>
      </c>
      <c r="M87" s="99" t="str">
        <f>'retrieve WebNLG AB random'!M27</f>
        <v>x</v>
      </c>
      <c r="N87" s="99" t="str">
        <f>'retrieve WebNLG AB random'!N27</f>
        <v/>
      </c>
      <c r="O87" s="99" t="str">
        <f>'retrieve WebNLG AB random'!O27</f>
        <v>double realisation of the has to its northeast predicate</v>
      </c>
    </row>
    <row r="88">
      <c r="A88" s="99">
        <f>'retrieve WebNLG TCF random'!A36</f>
        <v>86</v>
      </c>
      <c r="B88" s="99" t="str">
        <f>'retrieve WebNLG TCF random'!B36</f>
        <v>the inhabitants of the united states are known as americans and the language spoken is english. the country is inhabited by americans and the population is known as americans. the country is the location of angola, indiana which is part of steuben county, in indiana.</v>
      </c>
      <c r="C88" s="99" t="str">
        <f>'retrieve WebNLG TCF random'!C36</f>
        <v>United_States|language|English_language ++ Angola,_Indiana|isPartOf|Steuben_County,_Indiana ++ United_States|demonym|Americans ++ Angola,_Indiana|country|United_States ++ United_States|ethnicGroup|Asian_Americans</v>
      </c>
      <c r="D88" s="99" t="str">
        <f>'retrieve WebNLG TCF random'!D36</f>
        <v>0.579</v>
      </c>
      <c r="E88" s="99" t="str">
        <f>'retrieve WebNLG TCF random'!E36</f>
        <v>not OK</v>
      </c>
      <c r="F88" s="99" t="str">
        <f>'retrieve WebNLG TCF random'!F36</f>
        <v>OK</v>
      </c>
      <c r="G88" s="99" t="str">
        <f>'retrieve WebNLG TCF random'!G36</f>
        <v>x</v>
      </c>
      <c r="H88" s="99" t="str">
        <f>'retrieve WebNLG TCF random'!H36</f>
        <v/>
      </c>
      <c r="I88" s="99" t="str">
        <f>'retrieve WebNLG TCF random'!I36</f>
        <v/>
      </c>
      <c r="J88" s="99" t="str">
        <f>'retrieve WebNLG TCF random'!J36</f>
        <v/>
      </c>
      <c r="K88" s="99" t="str">
        <f>'retrieve WebNLG TCF random'!K36</f>
        <v/>
      </c>
      <c r="L88" s="99" t="str">
        <f>'retrieve WebNLG TCF random'!L36</f>
        <v/>
      </c>
      <c r="M88" s="99" t="str">
        <f>'retrieve WebNLG TCF random'!M36</f>
        <v/>
      </c>
      <c r="N88" s="99" t="str">
        <f>'retrieve WebNLG TCF random'!N36</f>
        <v/>
      </c>
      <c r="O88" s="99" t="str">
        <f>'retrieve WebNLG TCF random'!O36</f>
        <v/>
      </c>
    </row>
    <row r="89">
      <c r="A89" s="99">
        <f>'retrieve WebNLG AB random'!A12</f>
        <v>87</v>
      </c>
      <c r="B89" s="99" t="str">
        <f>'retrieve WebNLG AB random'!B12</f>
        <v>the architect of julia morgan is los angeles herald-examiner.</v>
      </c>
      <c r="C89" s="99" t="str">
        <f>'retrieve WebNLG AB random'!C12</f>
        <v>Julia_Morgan|significantBuilding|Los_Angeles_Herald-Examiner</v>
      </c>
      <c r="D89" s="99" t="str">
        <f>'retrieve WebNLG AB random'!D12</f>
        <v>0.572</v>
      </c>
      <c r="E89" s="99" t="str">
        <f>'retrieve WebNLG AB random'!E12</f>
        <v>not OK</v>
      </c>
      <c r="F89" s="99" t="str">
        <f>'retrieve WebNLG AB random'!F12</f>
        <v>OK</v>
      </c>
      <c r="G89" s="99" t="str">
        <f>'retrieve WebNLG AB random'!G12</f>
        <v>x</v>
      </c>
      <c r="H89" s="99" t="str">
        <f>'retrieve WebNLG AB random'!H12</f>
        <v/>
      </c>
      <c r="I89" s="99" t="str">
        <f>'retrieve WebNLG AB random'!I12</f>
        <v/>
      </c>
      <c r="J89" s="99" t="str">
        <f>'retrieve WebNLG AB random'!J12</f>
        <v/>
      </c>
      <c r="K89" s="99" t="str">
        <f>'retrieve WebNLG AB random'!K12</f>
        <v/>
      </c>
      <c r="L89" s="99" t="str">
        <f>'retrieve WebNLG AB random'!L12</f>
        <v/>
      </c>
      <c r="M89" s="99" t="str">
        <f>'retrieve WebNLG AB random'!M12</f>
        <v>x</v>
      </c>
      <c r="N89" s="99" t="str">
        <f>'retrieve WebNLG AB random'!N12</f>
        <v/>
      </c>
      <c r="O89" s="99" t="str">
        <f>'retrieve WebNLG AB random'!O12</f>
        <v>subject and object are there but link is missing</v>
      </c>
    </row>
    <row r="90">
      <c r="A90" s="99">
        <f>'retrieve WebNLG AB random'!A29</f>
        <v>88</v>
      </c>
      <c r="B90" s="99" t="str">
        <f>'retrieve WebNLG AB random'!B29</f>
        <v>al asad airbase is operated by the united states air force and fought in the invasion of grenada. the mcdonnell douglas f-15 eagle is an aircraft fighter in the united states air force.</v>
      </c>
      <c r="C90" s="99" t="str">
        <f>'retrieve WebNLG AB random'!C29</f>
        <v>Al_Asad_Airbase|operatingOrganisation|United_States_Air_Force ++ United_States_Air_Force|battles|Invasion_of_Grenada ++ United_States_Air_Force|aircraftFighter|McDonnell_Douglas_F-15_Eagle</v>
      </c>
      <c r="D90" s="99" t="str">
        <f>'retrieve WebNLG AB random'!D29</f>
        <v>0.986</v>
      </c>
      <c r="E90" s="99" t="str">
        <f>'retrieve WebNLG AB random'!E29</f>
        <v>not OK</v>
      </c>
      <c r="F90" s="99" t="str">
        <f>'retrieve WebNLG AB random'!F29</f>
        <v>OK</v>
      </c>
      <c r="G90" s="99" t="str">
        <f>'retrieve WebNLG AB random'!G29</f>
        <v>x</v>
      </c>
      <c r="H90" s="99" t="str">
        <f>'retrieve WebNLG AB random'!H29</f>
        <v/>
      </c>
      <c r="I90" s="99" t="str">
        <f>'retrieve WebNLG AB random'!I29</f>
        <v/>
      </c>
      <c r="J90" s="99" t="str">
        <f>'retrieve WebNLG AB random'!J29</f>
        <v/>
      </c>
      <c r="K90" s="99" t="str">
        <f>'retrieve WebNLG AB random'!K29</f>
        <v/>
      </c>
      <c r="L90" s="99" t="str">
        <f>'retrieve WebNLG AB random'!L29</f>
        <v/>
      </c>
      <c r="M90" s="99" t="str">
        <f>'retrieve WebNLG AB random'!M29</f>
        <v>x</v>
      </c>
      <c r="N90" s="99" t="str">
        <f>'retrieve WebNLG AB random'!N29</f>
        <v/>
      </c>
      <c r="O90" s="99" t="str">
        <f>'retrieve WebNLG AB random'!O29</f>
        <v>should be h+o - battles predicate partially omitted (subject should be 'US airforce' but is 'al asad airbase')</v>
      </c>
    </row>
    <row r="91">
      <c r="A91" s="99">
        <f>'retrieve WebNLG TCF random'!A33</f>
        <v>89</v>
      </c>
      <c r="B91" s="99" t="str">
        <f>'retrieve WebNLG TCF random'!B33</f>
        <v>adams county, pennsylvania is southwest of carroll county, maryland.</v>
      </c>
      <c r="C91" s="99" t="str">
        <f>'retrieve WebNLG TCF random'!C33</f>
        <v>Adams_County,_Pennsylvania|has to its southeast|Carroll_County,_Maryland</v>
      </c>
      <c r="D91" s="99" t="str">
        <f>'retrieve WebNLG TCF random'!D33</f>
        <v>0.559</v>
      </c>
      <c r="E91" s="99" t="str">
        <f>'retrieve WebNLG TCF random'!E33</f>
        <v>not OK</v>
      </c>
      <c r="F91" s="99" t="str">
        <f>'retrieve WebNLG TCF random'!F33</f>
        <v>OK</v>
      </c>
      <c r="G91" s="99" t="str">
        <f>'retrieve WebNLG TCF random'!G33</f>
        <v/>
      </c>
      <c r="H91" s="99" t="str">
        <f>'retrieve WebNLG TCF random'!H33</f>
        <v>x</v>
      </c>
      <c r="I91" s="99" t="str">
        <f>'retrieve WebNLG TCF random'!I33</f>
        <v/>
      </c>
      <c r="J91" s="99" t="str">
        <f>'retrieve WebNLG TCF random'!J33</f>
        <v/>
      </c>
      <c r="K91" s="99" t="str">
        <f>'retrieve WebNLG TCF random'!K33</f>
        <v/>
      </c>
      <c r="L91" s="99" t="str">
        <f>'retrieve WebNLG TCF random'!L33</f>
        <v/>
      </c>
      <c r="M91" s="99" t="str">
        <f>'retrieve WebNLG TCF random'!M33</f>
        <v/>
      </c>
      <c r="N91" s="99" t="str">
        <f>'retrieve WebNLG TCF random'!N33</f>
        <v/>
      </c>
      <c r="O91" s="99" t="str">
        <f>'retrieve WebNLG TCF random'!O33</f>
        <v/>
      </c>
    </row>
    <row r="92">
      <c r="A92" s="99">
        <f>'retrieve WebNLG TCF random'!A22</f>
        <v>90</v>
      </c>
      <c r="B92" s="99" t="str">
        <f>'retrieve WebNLG TCF random'!B22</f>
        <v>the 14th new jersey volunteer infantry monument is near frederick , maryland in the district of the monocacy national battlefield .</v>
      </c>
      <c r="C92" s="99" t="str">
        <f>'retrieve WebNLG TCF random'!C22</f>
        <v>14th_New_Jersey_Volunteer_Infantry_Monument|district|Monocacy_National_Battlefield ++ Monocacy_National_Battlefield|nearestCity|Frederick,_Maryland</v>
      </c>
      <c r="D92" s="99" t="str">
        <f>'retrieve WebNLG TCF random'!D22</f>
        <v>0.730</v>
      </c>
      <c r="E92" s="99" t="str">
        <f>'retrieve WebNLG TCF random'!E22</f>
        <v>not OK</v>
      </c>
      <c r="F92" s="99" t="str">
        <f>'retrieve WebNLG TCF random'!F22</f>
        <v>OK</v>
      </c>
      <c r="G92" s="99" t="str">
        <f>'retrieve WebNLG TCF random'!G22</f>
        <v/>
      </c>
      <c r="H92" s="99" t="str">
        <f>'retrieve WebNLG TCF random'!H22</f>
        <v>x</v>
      </c>
      <c r="I92" s="99" t="str">
        <f>'retrieve WebNLG TCF random'!I22</f>
        <v/>
      </c>
      <c r="J92" s="99" t="str">
        <f>'retrieve WebNLG TCF random'!J22</f>
        <v/>
      </c>
      <c r="K92" s="99" t="str">
        <f>'retrieve WebNLG TCF random'!K22</f>
        <v/>
      </c>
      <c r="L92" s="99" t="str">
        <f>'retrieve WebNLG TCF random'!L22</f>
        <v/>
      </c>
      <c r="M92" s="99" t="str">
        <f>'retrieve WebNLG TCF random'!M22</f>
        <v/>
      </c>
      <c r="N92" s="99" t="str">
        <f>'retrieve WebNLG TCF random'!N22</f>
        <v/>
      </c>
      <c r="O92" s="99" t="str">
        <f>'retrieve WebNLG TCF random'!O22</f>
        <v/>
      </c>
    </row>
    <row r="93">
      <c r="A93" s="99">
        <f>'retrieve WebNLG AB random'!A18</f>
        <v>91</v>
      </c>
      <c r="B93" s="99" t="str">
        <f>'retrieve WebNLG AB random'!B18</f>
        <v>to the south of adams county, pennsylvania was carroll county, maryland.</v>
      </c>
      <c r="C93" s="99" t="str">
        <f>'retrieve WebNLG AB random'!C18</f>
        <v>Adams_County,_Pennsylvania|has to its southeast|Carroll_County,_Maryland</v>
      </c>
      <c r="D93" s="99" t="str">
        <f>'retrieve WebNLG AB random'!D18</f>
        <v>0.957</v>
      </c>
      <c r="E93" s="99" t="str">
        <f>'retrieve WebNLG AB random'!E18</f>
        <v>not OK</v>
      </c>
      <c r="F93" s="99" t="str">
        <f>'retrieve WebNLG AB random'!F18</f>
        <v>OK</v>
      </c>
      <c r="G93" s="99" t="str">
        <f>'retrieve WebNLG AB random'!G18</f>
        <v>x</v>
      </c>
      <c r="H93" s="99" t="str">
        <f>'retrieve WebNLG AB random'!H18</f>
        <v/>
      </c>
      <c r="I93" s="99" t="str">
        <f>'retrieve WebNLG AB random'!I18</f>
        <v/>
      </c>
      <c r="J93" s="99" t="str">
        <f>'retrieve WebNLG AB random'!J18</f>
        <v/>
      </c>
      <c r="K93" s="99" t="str">
        <f>'retrieve WebNLG AB random'!K18</f>
        <v/>
      </c>
      <c r="L93" s="99" t="str">
        <f>'retrieve WebNLG AB random'!L18</f>
        <v/>
      </c>
      <c r="M93" s="99" t="str">
        <f>'retrieve WebNLG AB random'!M18</f>
        <v>x</v>
      </c>
      <c r="N93" s="99" t="str">
        <f>'retrieve WebNLG AB random'!N18</f>
        <v/>
      </c>
      <c r="O93" s="99" t="str">
        <f>'retrieve WebNLG AB random'!O18</f>
        <v>should be h+o ('south' vs southeast)</v>
      </c>
    </row>
    <row r="94">
      <c r="A94" s="99">
        <f>'retrieve WebNLG AB random'!A10</f>
        <v>92</v>
      </c>
      <c r="B94" s="99" t="str">
        <f>'retrieve WebNLG AB random'!B10</f>
        <v>azerbaijan 's leader is the prime minister.</v>
      </c>
      <c r="C94" s="99" t="str">
        <f>'retrieve WebNLG AB random'!C10</f>
        <v>Azerbaijan|leaderTitle|Prime_Minister_of_Azerbaijan</v>
      </c>
      <c r="D94" s="99" t="str">
        <f>'retrieve WebNLG AB random'!D10</f>
        <v>0.977</v>
      </c>
      <c r="E94" s="99" t="str">
        <f>'retrieve WebNLG AB random'!E10</f>
        <v>not OK</v>
      </c>
      <c r="F94" s="99" t="str">
        <f>'retrieve WebNLG AB random'!F10</f>
        <v>OK</v>
      </c>
      <c r="G94" s="99" t="str">
        <f>'retrieve WebNLG AB random'!G10</f>
        <v/>
      </c>
      <c r="H94" s="99" t="str">
        <f>'retrieve WebNLG AB random'!H10</f>
        <v>x</v>
      </c>
      <c r="I94" s="99" t="str">
        <f>'retrieve WebNLG AB random'!I10</f>
        <v/>
      </c>
      <c r="J94" s="99" t="str">
        <f>'retrieve WebNLG AB random'!J10</f>
        <v/>
      </c>
      <c r="K94" s="99" t="str">
        <f>'retrieve WebNLG AB random'!K10</f>
        <v/>
      </c>
      <c r="L94" s="99" t="str">
        <f>'retrieve WebNLG AB random'!L10</f>
        <v/>
      </c>
      <c r="M94" s="99" t="str">
        <f>'retrieve WebNLG AB random'!M10</f>
        <v/>
      </c>
      <c r="N94" s="99" t="str">
        <f>'retrieve WebNLG AB random'!N10</f>
        <v>x</v>
      </c>
      <c r="O94" s="99" t="str">
        <f>'retrieve WebNLG AB random'!O10</f>
        <v>gold has not Ok maybe because Title isn't explicity realised</v>
      </c>
    </row>
    <row r="95">
      <c r="A95" s="99">
        <f>'retrieve WebNLG TCF random'!A46</f>
        <v>93</v>
      </c>
      <c r="B95" s="99" t="str">
        <f>'retrieve WebNLG TCF random'!B46</f>
        <v>rolando maran , who has managed ac chievo verona , was born in italy .</v>
      </c>
      <c r="C95" s="99" t="str">
        <f>'retrieve WebNLG TCF random'!C46</f>
        <v>A.C._Chievo_Verona|manager|Rolando_Maran ++ Rolando_Maran|placeOfBirth|Italy</v>
      </c>
      <c r="D95" s="99" t="str">
        <f>'retrieve WebNLG TCF random'!D46</f>
        <v>0.955</v>
      </c>
      <c r="E95" s="99" t="str">
        <f>'retrieve WebNLG TCF random'!E46</f>
        <v>not OK</v>
      </c>
      <c r="F95" s="99" t="str">
        <f>'retrieve WebNLG TCF random'!F46</f>
        <v>OK</v>
      </c>
      <c r="G95" s="99" t="str">
        <f>'retrieve WebNLG TCF random'!G46</f>
        <v/>
      </c>
      <c r="H95" s="99" t="str">
        <f>'retrieve WebNLG TCF random'!H46</f>
        <v>x</v>
      </c>
      <c r="I95" s="99" t="str">
        <f>'retrieve WebNLG TCF random'!I46</f>
        <v/>
      </c>
      <c r="J95" s="99" t="str">
        <f>'retrieve WebNLG TCF random'!J46</f>
        <v/>
      </c>
      <c r="K95" s="99" t="str">
        <f>'retrieve WebNLG TCF random'!K46</f>
        <v/>
      </c>
      <c r="L95" s="99" t="str">
        <f>'retrieve WebNLG TCF random'!L46</f>
        <v/>
      </c>
      <c r="M95" s="99" t="str">
        <f>'retrieve WebNLG TCF random'!M46</f>
        <v/>
      </c>
      <c r="N95" s="99" t="str">
        <f>'retrieve WebNLG TCF random'!N46</f>
        <v/>
      </c>
      <c r="O95" s="99" t="str">
        <f>'retrieve WebNLG TCF random'!O46</f>
        <v/>
      </c>
    </row>
    <row r="96">
      <c r="A96" s="99">
        <f>'retrieve WebNLG TCF random'!A45</f>
        <v>94</v>
      </c>
      <c r="B96" s="99" t="str">
        <f>'retrieve WebNLG TCF random'!B45</f>
        <v>associazione calcio lumezzane spa is the nickname of ac lumezzane. lumezzane have 4150 members and play in lega pro/a.</v>
      </c>
      <c r="C96" s="99" t="str">
        <f>'retrieve WebNLG TCF random'!C45</f>
        <v>A.C._Lumezzane|fullname|"Associazione Calcio Lumezzane SpA" ++ A.C._Lumezzane|league|"Lega Pro/A" ++ A.C._Lumezzane|numberOfMembers|4150</v>
      </c>
      <c r="D96" s="99" t="str">
        <f>'retrieve WebNLG TCF random'!D45</f>
        <v>0.331</v>
      </c>
      <c r="E96" s="99" t="str">
        <f>'retrieve WebNLG TCF random'!E45</f>
        <v>OK</v>
      </c>
      <c r="F96" s="99" t="str">
        <f>'retrieve WebNLG TCF random'!F45</f>
        <v>omission</v>
      </c>
      <c r="G96" s="99" t="str">
        <f>'retrieve WebNLG TCF random'!G45</f>
        <v>x</v>
      </c>
      <c r="H96" s="99" t="str">
        <f>'retrieve WebNLG TCF random'!H45</f>
        <v/>
      </c>
      <c r="I96" s="99" t="str">
        <f>'retrieve WebNLG TCF random'!I45</f>
        <v/>
      </c>
      <c r="J96" s="99" t="str">
        <f>'retrieve WebNLG TCF random'!J45</f>
        <v/>
      </c>
      <c r="K96" s="99" t="str">
        <f>'retrieve WebNLG TCF random'!K45</f>
        <v/>
      </c>
      <c r="L96" s="99" t="str">
        <f>'retrieve WebNLG TCF random'!L45</f>
        <v/>
      </c>
      <c r="M96" s="99" t="str">
        <f>'retrieve WebNLG TCF random'!M45</f>
        <v/>
      </c>
      <c r="N96" s="99" t="str">
        <f>'retrieve WebNLG TCF random'!N45</f>
        <v/>
      </c>
      <c r="O96" s="99" t="str">
        <f>'retrieve WebNLG TCF random'!O45</f>
        <v/>
      </c>
    </row>
    <row r="97">
      <c r="A97" s="99">
        <f>'retrieve WebNLG AB random'!A46</f>
        <v>95</v>
      </c>
      <c r="B97" s="99" t="str">
        <f>'retrieve WebNLG AB random'!B46</f>
        <v>elliot see is an american who was born in dallas and graduated from the university of texas at austin.</v>
      </c>
      <c r="C97" s="99" t="str">
        <f>'retrieve WebNLG AB random'!C46</f>
        <v>Elliot_See|almaMater|University_of_Texas_at_Austin ++ Elliot_See|birthPlace|Dallas ++ Elliot_See|nationality|United_States</v>
      </c>
      <c r="D97" s="99" t="str">
        <f>'retrieve WebNLG AB random'!D46</f>
        <v>0.173</v>
      </c>
      <c r="E97" s="99" t="str">
        <f>'retrieve WebNLG AB random'!E46</f>
        <v>OK</v>
      </c>
      <c r="F97" s="99" t="str">
        <f>'retrieve WebNLG AB random'!F46</f>
        <v>hallucination</v>
      </c>
      <c r="G97" s="99" t="str">
        <f>'retrieve WebNLG AB random'!G46</f>
        <v>x</v>
      </c>
      <c r="H97" s="99" t="str">
        <f>'retrieve WebNLG AB random'!H46</f>
        <v/>
      </c>
      <c r="I97" s="99" t="str">
        <f>'retrieve WebNLG AB random'!I46</f>
        <v/>
      </c>
      <c r="J97" s="99" t="str">
        <f>'retrieve WebNLG AB random'!J46</f>
        <v/>
      </c>
      <c r="K97" s="99" t="str">
        <f>'retrieve WebNLG AB random'!K46</f>
        <v>x</v>
      </c>
      <c r="L97" s="99" t="str">
        <f>'retrieve WebNLG AB random'!L46</f>
        <v/>
      </c>
      <c r="M97" s="99" t="str">
        <f>'retrieve WebNLG AB random'!M46</f>
        <v/>
      </c>
      <c r="N97" s="99" t="str">
        <f>'retrieve WebNLG AB random'!N46</f>
        <v/>
      </c>
      <c r="O97" s="99" t="str">
        <f>'retrieve WebNLG AB random'!O46</f>
        <v>NLI wrongly has hallucination, unclear why</v>
      </c>
    </row>
    <row r="98">
      <c r="A98" s="99">
        <f>'retrieve WebNLG TCF random'!A44</f>
        <v>96</v>
      </c>
      <c r="B98" s="99" t="str">
        <f>'retrieve WebNLG TCF random'!B44</f>
        <v>the comic character asterix was created by albert uderzo and rene goscinny, who is french.</v>
      </c>
      <c r="C98" s="99" t="str">
        <f>'retrieve WebNLG TCF random'!C44</f>
        <v>Asterix_(comicsCharacter)|creator|René_Goscinny ++ René_Goscinny|nationality|French_people ++ Asterix_(comicsCharacter)|creator|Albert_Uderzo</v>
      </c>
      <c r="D98" s="99" t="str">
        <f>'retrieve WebNLG TCF random'!D44</f>
        <v>0.137</v>
      </c>
      <c r="E98" s="99" t="str">
        <f>'retrieve WebNLG TCF random'!E44</f>
        <v>OK</v>
      </c>
      <c r="F98" s="99" t="str">
        <f>'retrieve WebNLG TCF random'!F44</f>
        <v>omission</v>
      </c>
      <c r="G98" s="99" t="str">
        <f>'retrieve WebNLG TCF random'!G44</f>
        <v>x</v>
      </c>
      <c r="H98" s="99" t="str">
        <f>'retrieve WebNLG TCF random'!H44</f>
        <v/>
      </c>
      <c r="I98" s="99" t="str">
        <f>'retrieve WebNLG TCF random'!I44</f>
        <v/>
      </c>
      <c r="J98" s="99" t="str">
        <f>'retrieve WebNLG TCF random'!J44</f>
        <v/>
      </c>
      <c r="K98" s="99" t="str">
        <f>'retrieve WebNLG TCF random'!K44</f>
        <v/>
      </c>
      <c r="L98" s="99" t="str">
        <f>'retrieve WebNLG TCF random'!L44</f>
        <v/>
      </c>
      <c r="M98" s="99" t="str">
        <f>'retrieve WebNLG TCF random'!M44</f>
        <v/>
      </c>
      <c r="N98" s="99" t="str">
        <f>'retrieve WebNLG TCF random'!N44</f>
        <v/>
      </c>
      <c r="O98" s="99" t="str">
        <f>'retrieve WebNLG TCF random'!O44</f>
        <v/>
      </c>
    </row>
    <row r="99">
      <c r="A99" s="99">
        <f>'retrieve WebNLG TCF random'!A43</f>
        <v>97</v>
      </c>
      <c r="B99" s="99" t="str">
        <f>'retrieve WebNLG TCF random'!B43</f>
        <v>1 decembrie 1918 university is in the state of alba.</v>
      </c>
      <c r="C99" s="99" t="str">
        <f>'retrieve WebNLG TCF random'!C43</f>
        <v>1_Decembrie_1918_University|state|Alba</v>
      </c>
      <c r="D99" s="99" t="str">
        <f>'retrieve WebNLG TCF random'!D43</f>
        <v>0.978</v>
      </c>
      <c r="E99" s="99" t="str">
        <f>'retrieve WebNLG TCF random'!E43</f>
        <v>not OK</v>
      </c>
      <c r="F99" s="99" t="str">
        <f>'retrieve WebNLG TCF random'!F43</f>
        <v>OK</v>
      </c>
      <c r="G99" s="99" t="str">
        <f>'retrieve WebNLG TCF random'!G43</f>
        <v/>
      </c>
      <c r="H99" s="99" t="str">
        <f>'retrieve WebNLG TCF random'!H43</f>
        <v>x</v>
      </c>
      <c r="I99" s="99" t="str">
        <f>'retrieve WebNLG TCF random'!I43</f>
        <v/>
      </c>
      <c r="J99" s="99" t="str">
        <f>'retrieve WebNLG TCF random'!J43</f>
        <v/>
      </c>
      <c r="K99" s="99" t="str">
        <f>'retrieve WebNLG TCF random'!K43</f>
        <v/>
      </c>
      <c r="L99" s="99" t="str">
        <f>'retrieve WebNLG TCF random'!L43</f>
        <v/>
      </c>
      <c r="M99" s="99" t="str">
        <f>'retrieve WebNLG TCF random'!M43</f>
        <v/>
      </c>
      <c r="N99" s="99" t="str">
        <f>'retrieve WebNLG TCF random'!N43</f>
        <v/>
      </c>
      <c r="O99" s="99" t="str">
        <f>'retrieve WebNLG TCF random'!O43</f>
        <v/>
      </c>
    </row>
    <row r="100">
      <c r="A100" s="99">
        <f>'retrieve WebNLG AB random'!A32</f>
        <v>98</v>
      </c>
      <c r="B100" s="99" t="str">
        <f>'retrieve WebNLG AB random'!B32</f>
        <v> a severed wasp ' originates from united states, where the language is english. english is spoken in great britain. washington dc is the capital of it. native americans live in here.</v>
      </c>
      <c r="C100" s="99" t="str">
        <f>'retrieve WebNLG AB random'!C32</f>
        <v>English_language|spokenIn|Great_Britain ++ United_States|language|English_language ++ United_States|capital|Washington,_D.C. ++ A_Severed_Wasp|country|United_States ++ United_States|ethnicGroup|Native_Americans_in_the_United_States</v>
      </c>
      <c r="D100" s="99" t="str">
        <f>'retrieve WebNLG AB random'!D32</f>
        <v>0.481</v>
      </c>
      <c r="E100" s="99" t="str">
        <f>'retrieve WebNLG AB random'!E32</f>
        <v>OK</v>
      </c>
      <c r="F100" s="99" t="str">
        <f>'retrieve WebNLG AB random'!F32</f>
        <v>omission</v>
      </c>
      <c r="G100" s="99" t="str">
        <f>'retrieve WebNLG AB random'!G32</f>
        <v>x</v>
      </c>
      <c r="H100" s="99" t="str">
        <f>'retrieve WebNLG AB random'!H32</f>
        <v/>
      </c>
      <c r="I100" s="99" t="str">
        <f>'retrieve WebNLG AB random'!I32</f>
        <v/>
      </c>
      <c r="J100" s="99" t="str">
        <f>'retrieve WebNLG AB random'!J32</f>
        <v/>
      </c>
      <c r="K100" s="99" t="str">
        <f>'retrieve WebNLG AB random'!K32</f>
        <v>x</v>
      </c>
      <c r="L100" s="99" t="str">
        <f>'retrieve WebNLG AB random'!L32</f>
        <v/>
      </c>
      <c r="M100" s="99" t="str">
        <f>'retrieve WebNLG AB random'!M32</f>
        <v/>
      </c>
      <c r="N100" s="99" t="str">
        <f>'retrieve WebNLG AB random'!N32</f>
        <v/>
      </c>
      <c r="O100" s="99" t="str">
        <f>'retrieve WebNLG AB random'!O32</f>
        <v>NLI wrongly has omission maybe because of elided subjects and objects</v>
      </c>
    </row>
    <row r="101">
      <c r="A101" s="99">
        <f>'retrieve WebNLG TCF random'!A4</f>
        <v>99</v>
      </c>
      <c r="B101" s="99" t="str">
        <f>'retrieve WebNLG TCF random'!B4</f>
        <v>baku is the capital of azerbaijan where the leader is artur rasizade and the capital city is baku. the country is the location of the baku turkish martyrs memorial which is dedicated to the ottoman army soldiers killed in the battle of baku.</v>
      </c>
      <c r="C101" s="99" t="str">
        <f>'retrieve WebNLG TCF random'!C4</f>
        <v>Azerbaijan|capital|Baku ++ Azerbaijan|leaderTitle|Prime_Minister_of_Azerbaijan ++ Baku_Turkish_Martyrs'_Memorial|dedicatedTo|"Ottoman Army soldiers killed in the Battle of Baku" ++ Baku_Turkish_Martyrs'_Memorial|location|Azerbaijan ++ Azerbaijan|leaderName|Artur_Rasizade</v>
      </c>
      <c r="D101" s="99" t="str">
        <f>'retrieve WebNLG TCF random'!D4</f>
        <v>0.161</v>
      </c>
      <c r="E101" s="99" t="str">
        <f>'retrieve WebNLG TCF random'!E4</f>
        <v>OK</v>
      </c>
      <c r="F101" s="99" t="str">
        <f>'retrieve WebNLG TCF random'!F4</f>
        <v>omission</v>
      </c>
      <c r="G101" s="99" t="str">
        <f>'retrieve WebNLG TCF random'!G4</f>
        <v>x</v>
      </c>
      <c r="H101" s="99" t="str">
        <f>'retrieve WebNLG TCF random'!H4</f>
        <v/>
      </c>
      <c r="I101" s="99" t="str">
        <f>'retrieve WebNLG TCF random'!I4</f>
        <v/>
      </c>
      <c r="J101" s="99" t="str">
        <f>'retrieve WebNLG TCF random'!J4</f>
        <v/>
      </c>
      <c r="K101" s="99" t="str">
        <f>'retrieve WebNLG TCF random'!K4</f>
        <v/>
      </c>
      <c r="L101" s="99" t="str">
        <f>'retrieve WebNLG TCF random'!L4</f>
        <v/>
      </c>
      <c r="M101" s="99" t="str">
        <f>'retrieve WebNLG TCF random'!M4</f>
        <v/>
      </c>
      <c r="N101" s="99" t="str">
        <f>'retrieve WebNLG TCF random'!N4</f>
        <v/>
      </c>
      <c r="O101" s="99" t="str">
        <f>'retrieve WebNLG TCF random'!O4</f>
        <v/>
      </c>
    </row>
    <row r="102">
      <c r="A102" s="99">
        <f>'retrieve WebNLG TCF random'!A2</f>
        <v>100</v>
      </c>
      <c r="B102" s="99" t="str">
        <f>'retrieve WebNLG TCF random'!B2</f>
        <v>levan khomeriki manages fc dinamo batumi and plays for aleksandre guruli.</v>
      </c>
      <c r="C102" s="99" t="str">
        <f>'retrieve WebNLG TCF random'!C2</f>
        <v>FC_Dinamo_Batumi|manager|Levan_Khomeriki ++ Aleksandre_Guruli|club|FC_Dinamo_Batumi</v>
      </c>
      <c r="D102" s="99" t="str">
        <f>'retrieve WebNLG TCF random'!D2</f>
        <v>0.714</v>
      </c>
      <c r="E102" s="99" t="str">
        <f>'retrieve WebNLG TCF random'!E2</f>
        <v>not OK</v>
      </c>
      <c r="F102" s="99" t="str">
        <f>'retrieve WebNLG TCF random'!F2</f>
        <v>OK</v>
      </c>
      <c r="G102" s="99" t="str">
        <f>'retrieve WebNLG TCF random'!G2</f>
        <v/>
      </c>
      <c r="H102" s="99" t="str">
        <f>'retrieve WebNLG TCF random'!H2</f>
        <v>x</v>
      </c>
      <c r="I102" s="99" t="str">
        <f>'retrieve WebNLG TCF random'!I2</f>
        <v/>
      </c>
      <c r="J102" s="99" t="str">
        <f>'retrieve WebNLG TCF random'!J2</f>
        <v/>
      </c>
      <c r="K102" s="99" t="str">
        <f>'retrieve WebNLG TCF random'!K2</f>
        <v/>
      </c>
      <c r="L102" s="99" t="str">
        <f>'retrieve WebNLG TCF random'!L2</f>
        <v/>
      </c>
      <c r="M102" s="99" t="str">
        <f>'retrieve WebNLG TCF random'!M2</f>
        <v/>
      </c>
      <c r="N102" s="99" t="str">
        <f>'retrieve WebNLG TCF random'!N2</f>
        <v/>
      </c>
      <c r="O102" s="99" t="str">
        <f>'retrieve WebNLG TCF random'!O2</f>
        <v/>
      </c>
    </row>
    <row r="103">
      <c r="G103" s="144">
        <f t="shared" ref="G103:N103" si="1">COUNTIF(G3:G102, "x")</f>
        <v>59</v>
      </c>
      <c r="H103" s="144">
        <f t="shared" si="1"/>
        <v>35</v>
      </c>
      <c r="I103" s="144">
        <f t="shared" si="1"/>
        <v>6</v>
      </c>
      <c r="J103" s="144">
        <f t="shared" si="1"/>
        <v>5</v>
      </c>
      <c r="K103" s="144">
        <f t="shared" si="1"/>
        <v>10</v>
      </c>
      <c r="L103" s="144">
        <f t="shared" si="1"/>
        <v>10</v>
      </c>
      <c r="M103" s="144">
        <f t="shared" si="1"/>
        <v>28</v>
      </c>
      <c r="N103" s="144">
        <f t="shared" si="1"/>
        <v>12</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5" t="s">
        <v>1013</v>
      </c>
      <c r="B1" s="146"/>
      <c r="C1" s="146"/>
      <c r="D1" s="147"/>
      <c r="E1" s="145" t="s">
        <v>1014</v>
      </c>
      <c r="F1" s="146"/>
      <c r="G1" s="146"/>
      <c r="H1" s="147"/>
    </row>
    <row r="2">
      <c r="A2" s="148"/>
      <c r="B2" s="98" t="s">
        <v>1015</v>
      </c>
      <c r="C2" s="98" t="s">
        <v>1016</v>
      </c>
      <c r="D2" s="149" t="s">
        <v>1017</v>
      </c>
      <c r="E2" s="150"/>
      <c r="F2" s="98" t="s">
        <v>1015</v>
      </c>
      <c r="G2" s="98" t="s">
        <v>1016</v>
      </c>
      <c r="H2" s="149" t="s">
        <v>1017</v>
      </c>
    </row>
    <row r="3">
      <c r="A3" s="148" t="s">
        <v>1018</v>
      </c>
      <c r="B3" s="99">
        <f>COUNTIF('Original-E2E'!G4:G103,"x")</f>
        <v>34</v>
      </c>
      <c r="C3" s="99">
        <f>COUNTIF('E2E Combined OD + ZK'!G3:G102,"x")</f>
        <v>36</v>
      </c>
      <c r="D3" s="151">
        <f>COUNTIF('E2E Combined AB + TCF'!G3:G102,"x")</f>
        <v>41</v>
      </c>
      <c r="E3" s="148" t="s">
        <v>1018</v>
      </c>
      <c r="F3" s="99">
        <f>COUNTIF('Original-WebNLG'!G4:G104,"x")</f>
        <v>51</v>
      </c>
      <c r="G3" s="99">
        <f>COUNTIF('WebNLG Combined OD + ZK'!G3:G102,"x")</f>
        <v>38</v>
      </c>
      <c r="H3" s="151">
        <f>COUNTIF('WebNLG Combined AB + TCF'!G3:G102,"x")</f>
        <v>59</v>
      </c>
    </row>
    <row r="4">
      <c r="A4" s="148" t="s">
        <v>1019</v>
      </c>
      <c r="B4" s="99">
        <f>COUNTIF('Original-E2E'!H4:H103,"x")</f>
        <v>45</v>
      </c>
      <c r="C4" s="144">
        <f>COUNTIF('E2E Combined OD + ZK'!H3:H102,"x")</f>
        <v>48</v>
      </c>
      <c r="D4" s="152">
        <f>COUNTIF('E2E Combined AB + TCF'!H3:H102,"x")</f>
        <v>44</v>
      </c>
      <c r="E4" s="148" t="s">
        <v>1019</v>
      </c>
      <c r="F4" s="144">
        <f>COUNTIF('Original-WebNLG'!H4:H104,"x")</f>
        <v>42</v>
      </c>
      <c r="G4" s="144">
        <f>COUNTIF('WebNLG Combined OD + ZK'!H3:H102,"x")</f>
        <v>40</v>
      </c>
      <c r="H4" s="152">
        <f>COUNTIF('WebNLG Combined AB + TCF'!H3:H102,"x")</f>
        <v>35</v>
      </c>
    </row>
    <row r="5">
      <c r="A5" s="148" t="s">
        <v>16</v>
      </c>
      <c r="B5" s="99">
        <f>COUNTIF('Original-E2E'!I4:I103,"x")</f>
        <v>18</v>
      </c>
      <c r="C5" s="144">
        <f>COUNTIF('E2E Combined OD + ZK'!I3:I102,"x")</f>
        <v>16</v>
      </c>
      <c r="D5" s="152">
        <f>COUNTIF('E2E Combined AB + TCF'!I3:I102,"x")</f>
        <v>15</v>
      </c>
      <c r="E5" s="148" t="s">
        <v>16</v>
      </c>
      <c r="F5" s="144">
        <f>COUNTIF('Original-WebNLG'!I4:I104,"x")</f>
        <v>7</v>
      </c>
      <c r="G5" s="144">
        <f>COUNTIF('WebNLG Combined OD + ZK'!I3:I102,"x")</f>
        <v>15</v>
      </c>
      <c r="H5" s="152">
        <f>COUNTIF('WebNLG Combined AB + TCF'!I3:I102,"x")</f>
        <v>6</v>
      </c>
    </row>
    <row r="6">
      <c r="A6" s="148" t="s">
        <v>1020</v>
      </c>
      <c r="B6" s="99">
        <f>COUNTIF('Original-E2E'!J4:J103,"x")</f>
        <v>5</v>
      </c>
      <c r="C6" s="144">
        <f>COUNTIF('E2E Combined OD + ZK'!J3:J102,"x")</f>
        <v>6</v>
      </c>
      <c r="D6" s="152">
        <f>COUNTIF('E2E Combined AB + TCF'!J3:J102,"x")</f>
        <v>6</v>
      </c>
      <c r="E6" s="148" t="s">
        <v>1020</v>
      </c>
      <c r="F6" s="144">
        <f>COUNTIF('Original-WebNLG'!J4:J104,"x")</f>
        <v>22</v>
      </c>
      <c r="G6" s="144">
        <f>COUNTIF('WebNLG Combined OD + ZK'!J3:J102,"x")</f>
        <v>16</v>
      </c>
      <c r="H6" s="152">
        <f>COUNTIF('WebNLG Combined AB + TCF'!J3:J102,"x")</f>
        <v>5</v>
      </c>
    </row>
    <row r="7">
      <c r="A7" s="148" t="s">
        <v>1021</v>
      </c>
      <c r="B7" s="144">
        <f>COUNTIF('Original-E2E'!K4:K103,"x")</f>
        <v>30</v>
      </c>
      <c r="C7" s="144">
        <f>COUNTIF('E2E Combined OD + ZK'!K3:K102,"x")</f>
        <v>33</v>
      </c>
      <c r="D7" s="152">
        <f>COUNTIF('E2E Combined AB + TCF'!K3:K102,"x")</f>
        <v>28</v>
      </c>
      <c r="E7" s="148" t="s">
        <v>1021</v>
      </c>
      <c r="F7" s="144">
        <f>COUNTIF('Original-WebNLG'!K4:K104,"x")</f>
        <v>7</v>
      </c>
      <c r="G7" s="144">
        <f>COUNTIF('WebNLG Combined OD + ZK'!K3:K102,"x")</f>
        <v>3</v>
      </c>
      <c r="H7" s="152">
        <f>COUNTIF('WebNLG Combined AB + TCF'!K3:K102,"x")</f>
        <v>10</v>
      </c>
    </row>
    <row r="8">
      <c r="A8" s="148" t="s">
        <v>1022</v>
      </c>
      <c r="B8" s="144">
        <f>COUNTIF('Original-E2E'!L4:L103,"x")</f>
        <v>10</v>
      </c>
      <c r="C8" s="144">
        <f>COUNTIF('E2E Combined OD + ZK'!L3:L102,"x")</f>
        <v>13</v>
      </c>
      <c r="D8" s="152">
        <f>COUNTIF('E2E Combined AB + TCF'!L3:L102,"x")</f>
        <v>8</v>
      </c>
      <c r="E8" s="148" t="s">
        <v>1022</v>
      </c>
      <c r="F8" s="144">
        <f>COUNTIF('Original-WebNLG'!L4:L104,"x")</f>
        <v>14</v>
      </c>
      <c r="G8" s="144">
        <f>COUNTIF('WebNLG Combined OD + ZK'!L3:L102,"x")</f>
        <v>27</v>
      </c>
      <c r="H8" s="152">
        <f>COUNTIF('WebNLG Combined AB + TCF'!L3:L102,"x")</f>
        <v>10</v>
      </c>
    </row>
    <row r="9">
      <c r="A9" s="148" t="s">
        <v>1023</v>
      </c>
      <c r="B9" s="144">
        <f>COUNTIF('Original-E2E'!M4:M103,"x")</f>
        <v>8</v>
      </c>
      <c r="C9" s="144">
        <f>COUNTIF('E2E Combined OD + ZK'!M3:M102,"x")</f>
        <v>5</v>
      </c>
      <c r="D9" s="152">
        <f>COUNTIF('E2E Combined AB + TCF'!M3:M102,"x")</f>
        <v>22</v>
      </c>
      <c r="E9" s="148" t="s">
        <v>1023</v>
      </c>
      <c r="F9" s="144">
        <f>COUNTIF('Original-WebNLG'!M4:M104,"x")</f>
        <v>8</v>
      </c>
      <c r="G9" s="144">
        <f>COUNTIF('WebNLG Combined OD + ZK'!M3:M102,"x")</f>
        <v>25</v>
      </c>
      <c r="H9" s="152">
        <f>COUNTIF('WebNLG Combined AB + TCF'!M3:M102,"x")</f>
        <v>28</v>
      </c>
    </row>
    <row r="10">
      <c r="A10" s="148" t="s">
        <v>1024</v>
      </c>
      <c r="B10" s="144">
        <f>COUNTIF('Original-E2E'!N4:N103,"x")</f>
        <v>16</v>
      </c>
      <c r="C10" s="144">
        <f>COUNTIF('E2E Combined OD + ZK'!N3:N102,"x")</f>
        <v>11</v>
      </c>
      <c r="D10" s="152">
        <f>COUNTIF('E2E Combined AB + TCF'!N3:N102,"x")</f>
        <v>24</v>
      </c>
      <c r="E10" s="148" t="s">
        <v>1024</v>
      </c>
      <c r="F10" s="144">
        <f>COUNTIF('Original-WebNLG'!N4:N104,"x")</f>
        <v>15</v>
      </c>
      <c r="G10" s="144">
        <f>COUNTIF('WebNLG Combined OD + ZK'!N3:N102,"x")</f>
        <v>19</v>
      </c>
      <c r="H10" s="152">
        <f>COUNTIF('WebNLG Combined AB + TCF'!N3:N102,"x")</f>
        <v>12</v>
      </c>
    </row>
    <row r="11">
      <c r="A11" s="153" t="s">
        <v>1025</v>
      </c>
      <c r="B11" s="154">
        <f>COUNTIF('Original-E2E'!O4:O103,"x")</f>
        <v>17</v>
      </c>
      <c r="C11" s="154">
        <f>COUNTIF('E2E Combined OD + ZK'!O3:O102,"x")</f>
        <v>20</v>
      </c>
      <c r="D11" s="155">
        <f>COUNTIF('E2E Combined AB + TCF'!O3:O102,"x")</f>
        <v>8</v>
      </c>
      <c r="E11" s="156"/>
      <c r="F11" s="73"/>
      <c r="G11" s="73"/>
      <c r="H11" s="157"/>
    </row>
    <row r="13">
      <c r="A13" s="98" t="s">
        <v>1026</v>
      </c>
      <c r="B13" s="99">
        <f>CORREL(B3:B5,C3:C5)</f>
        <v>0.9993216506</v>
      </c>
      <c r="E13" s="98" t="s">
        <v>1026</v>
      </c>
      <c r="F13" s="99">
        <f>CORREL(F3:F5,G3:G5)</f>
        <v>0.964602796</v>
      </c>
    </row>
    <row r="14">
      <c r="A14" s="98" t="s">
        <v>1027</v>
      </c>
      <c r="B14" s="99">
        <f>CORREL(B3:B5,D3:D5)</f>
        <v>0.9483221129</v>
      </c>
      <c r="E14" s="98" t="s">
        <v>1027</v>
      </c>
      <c r="F14" s="99">
        <f>CORREL(F3:F5,H3:H5)</f>
        <v>0.9625971483</v>
      </c>
    </row>
    <row r="15">
      <c r="A15" s="158" t="s">
        <v>1028</v>
      </c>
      <c r="B15" s="99">
        <f>CORREL(C3:C5,D3:D5)</f>
        <v>0.9593644139</v>
      </c>
      <c r="E15" s="158" t="s">
        <v>1028</v>
      </c>
      <c r="F15" s="99">
        <f>CORREL(G3:G5,H3:H5)</f>
        <v>0.8570759465</v>
      </c>
    </row>
    <row r="17">
      <c r="A17" s="158" t="s">
        <v>1029</v>
      </c>
      <c r="B17" s="99">
        <f>CORREL(B6:B11,C6:C11)</f>
        <v>0.9470305357</v>
      </c>
      <c r="E17" s="158" t="s">
        <v>1029</v>
      </c>
      <c r="F17" s="99">
        <f>CORREL(F6:F10,G6:G10)</f>
        <v>0.2087983004</v>
      </c>
    </row>
    <row r="18">
      <c r="A18" s="158" t="s">
        <v>1030</v>
      </c>
      <c r="B18" s="99">
        <f>CORREL(B6:B11,D6:D11)</f>
        <v>0.6203548026</v>
      </c>
      <c r="E18" s="158" t="s">
        <v>1030</v>
      </c>
      <c r="F18" s="99">
        <f>CORREL(F6:F10,H6:H10)</f>
        <v>-0.6301826067</v>
      </c>
    </row>
    <row r="19">
      <c r="A19" s="158" t="s">
        <v>1031</v>
      </c>
      <c r="B19" s="99">
        <f>CORREL(C6:C11,D6:D11)</f>
        <v>0.3731338295</v>
      </c>
      <c r="E19" s="158" t="s">
        <v>1031</v>
      </c>
      <c r="F19" s="99">
        <f>CORREL(G6:G10,H6:H10)</f>
        <v>0.4144312328</v>
      </c>
    </row>
  </sheetData>
  <mergeCells count="2">
    <mergeCell ref="A1:D1"/>
    <mergeCell ref="E1:H1"/>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9" t="s">
        <v>1032</v>
      </c>
      <c r="D1" s="149" t="s">
        <v>1033</v>
      </c>
      <c r="E1" s="159" t="s">
        <v>1034</v>
      </c>
      <c r="H1" s="149" t="s">
        <v>1033</v>
      </c>
      <c r="I1" s="159" t="s">
        <v>1035</v>
      </c>
      <c r="L1" s="149" t="s">
        <v>1033</v>
      </c>
      <c r="M1" s="159" t="s">
        <v>1036</v>
      </c>
      <c r="P1" s="98" t="s">
        <v>1033</v>
      </c>
    </row>
    <row r="2">
      <c r="A2" s="99">
        <f>COUNTA('Original-E2E'!G4,'E2E Combined OD + ZK'!G3)</f>
        <v>0</v>
      </c>
      <c r="B2" s="144">
        <f>COUNTA('Original-E2E'!H4,'E2E Combined OD + ZK'!H3)</f>
        <v>2</v>
      </c>
      <c r="C2" s="144">
        <f>COUNTA('Original-E2E'!I4,'E2E Combined OD + ZK'!I3)</f>
        <v>0</v>
      </c>
      <c r="D2" s="151">
        <f t="shared" ref="D2:D101" si="1">((A2^2+B2^2+C2^2)-2)/(2*(2-1))</f>
        <v>1</v>
      </c>
      <c r="E2" s="99">
        <f>COUNTA('Original-E2E'!G4,'E2E Combined AB + TCF'!G3)</f>
        <v>0</v>
      </c>
      <c r="F2" s="144">
        <f>COUNTA('Original-E2E'!H4,'E2E Combined AB + TCF'!H3)</f>
        <v>2</v>
      </c>
      <c r="G2" s="144">
        <f>COUNTA('Original-E2E'!I4,'E2E Combined AB + TCF'!I3)</f>
        <v>0</v>
      </c>
      <c r="H2" s="152">
        <f t="shared" ref="H2:H101" si="2">((E2^2+F2^2+G2^2)-2)/(2*(2-1))</f>
        <v>1</v>
      </c>
      <c r="I2" s="99">
        <f>COUNTA('E2E Combined OD + ZK'!G3,'E2E Combined AB + TCF'!G3)</f>
        <v>0</v>
      </c>
      <c r="J2" s="144">
        <f>COUNTA('E2E Combined OD + ZK'!H3,'E2E Combined AB + TCF'!H3)</f>
        <v>2</v>
      </c>
      <c r="K2" s="99">
        <f>COUNTA('E2E Combined OD + ZK'!I3,'E2E Combined AB + TCF'!I3)</f>
        <v>0</v>
      </c>
      <c r="L2" s="151">
        <f t="shared" ref="L2:L101" si="3">((I2^2+J2^2+K2^2)-2)/(2*(2-1))</f>
        <v>1</v>
      </c>
      <c r="M2" s="99">
        <f>COUNTA('Original-E2E'!G4,'E2E Combined OD + ZK'!G3,'E2E Combined AB + TCF'!G3)</f>
        <v>0</v>
      </c>
      <c r="N2" s="144">
        <f>COUNTA('Original-E2E'!H4,'E2E Combined OD + ZK'!H3,'E2E Combined AB + TCF'!H3)</f>
        <v>3</v>
      </c>
      <c r="O2" s="144">
        <f>COUNTA('Original-E2E'!I4,'E2E Combined OD + ZK'!I3,'E2E Combined AB + TCF'!I3)</f>
        <v>0</v>
      </c>
      <c r="P2" s="99">
        <f t="shared" ref="P2:P101" si="4">((M2^2+N2^2+O2^2)-3)/(3*(3-1))</f>
        <v>1</v>
      </c>
    </row>
    <row r="3">
      <c r="A3" s="99">
        <f>COUNTA('Original-E2E'!G5,'E2E Combined OD + ZK'!G4)</f>
        <v>0</v>
      </c>
      <c r="B3" s="144">
        <f>COUNTA('Original-E2E'!H5,'E2E Combined OD + ZK'!H4)</f>
        <v>2</v>
      </c>
      <c r="C3" s="144">
        <f>COUNTA('Original-E2E'!I5,'E2E Combined OD + ZK'!I4)</f>
        <v>0</v>
      </c>
      <c r="D3" s="151">
        <f t="shared" si="1"/>
        <v>1</v>
      </c>
      <c r="E3" s="99">
        <f>COUNTA('Original-E2E'!G5,'E2E Combined AB + TCF'!G4)</f>
        <v>0</v>
      </c>
      <c r="F3" s="144">
        <f>COUNTA('Original-E2E'!H5,'E2E Combined AB + TCF'!H4)</f>
        <v>2</v>
      </c>
      <c r="G3" s="144">
        <f>COUNTA('Original-E2E'!I5,'E2E Combined AB + TCF'!I4)</f>
        <v>0</v>
      </c>
      <c r="H3" s="152">
        <f t="shared" si="2"/>
        <v>1</v>
      </c>
      <c r="I3" s="99">
        <f>COUNTA('E2E Combined OD + ZK'!G4,'E2E Combined AB + TCF'!G4)</f>
        <v>0</v>
      </c>
      <c r="J3" s="144">
        <f>COUNTA('E2E Combined OD + ZK'!H4,'E2E Combined AB + TCF'!H4)</f>
        <v>2</v>
      </c>
      <c r="K3" s="99">
        <f>COUNTA('E2E Combined OD + ZK'!I4,'E2E Combined AB + TCF'!I4)</f>
        <v>0</v>
      </c>
      <c r="L3" s="151">
        <f t="shared" si="3"/>
        <v>1</v>
      </c>
      <c r="M3" s="99">
        <f>COUNTA('Original-E2E'!G5,'E2E Combined OD + ZK'!G4,'E2E Combined AB + TCF'!G4)</f>
        <v>0</v>
      </c>
      <c r="N3" s="144">
        <f>COUNTA('Original-E2E'!H5,'E2E Combined OD + ZK'!H4,'E2E Combined AB + TCF'!H4)</f>
        <v>3</v>
      </c>
      <c r="O3" s="144">
        <f>COUNTA('Original-E2E'!I5,'E2E Combined OD + ZK'!I4,'E2E Combined AB + TCF'!I4)</f>
        <v>0</v>
      </c>
      <c r="P3" s="99">
        <f t="shared" si="4"/>
        <v>1</v>
      </c>
    </row>
    <row r="4">
      <c r="A4" s="99">
        <f>COUNTA('Original-E2E'!G6,'E2E Combined OD + ZK'!G5)</f>
        <v>0</v>
      </c>
      <c r="B4" s="144">
        <f>COUNTA('Original-E2E'!H6,'E2E Combined OD + ZK'!H5)</f>
        <v>2</v>
      </c>
      <c r="C4" s="144">
        <f>COUNTA('Original-E2E'!I6,'E2E Combined OD + ZK'!I5)</f>
        <v>0</v>
      </c>
      <c r="D4" s="151">
        <f t="shared" si="1"/>
        <v>1</v>
      </c>
      <c r="E4" s="99">
        <f>COUNTA('Original-E2E'!G6,'E2E Combined AB + TCF'!G5)</f>
        <v>0</v>
      </c>
      <c r="F4" s="144">
        <f>COUNTA('Original-E2E'!H6,'E2E Combined AB + TCF'!H5)</f>
        <v>2</v>
      </c>
      <c r="G4" s="144">
        <f>COUNTA('Original-E2E'!I6,'E2E Combined AB + TCF'!I5)</f>
        <v>0</v>
      </c>
      <c r="H4" s="152">
        <f t="shared" si="2"/>
        <v>1</v>
      </c>
      <c r="I4" s="99">
        <f>COUNTA('E2E Combined OD + ZK'!G5,'E2E Combined AB + TCF'!G5)</f>
        <v>0</v>
      </c>
      <c r="J4" s="144">
        <f>COUNTA('E2E Combined OD + ZK'!H5,'E2E Combined AB + TCF'!H5)</f>
        <v>2</v>
      </c>
      <c r="K4" s="99">
        <f>COUNTA('E2E Combined OD + ZK'!I5,'E2E Combined AB + TCF'!I5)</f>
        <v>0</v>
      </c>
      <c r="L4" s="151">
        <f t="shared" si="3"/>
        <v>1</v>
      </c>
      <c r="M4" s="99">
        <f>COUNTA('Original-E2E'!G6,'E2E Combined OD + ZK'!G5,'E2E Combined AB + TCF'!G5)</f>
        <v>0</v>
      </c>
      <c r="N4" s="144">
        <f>COUNTA('Original-E2E'!H6,'E2E Combined OD + ZK'!H5,'E2E Combined AB + TCF'!H5)</f>
        <v>3</v>
      </c>
      <c r="O4" s="144">
        <f>COUNTA('Original-E2E'!I6,'E2E Combined OD + ZK'!I5,'E2E Combined AB + TCF'!I5)</f>
        <v>0</v>
      </c>
      <c r="P4" s="99">
        <f t="shared" si="4"/>
        <v>1</v>
      </c>
    </row>
    <row r="5">
      <c r="A5" s="99">
        <f>COUNTA('Original-E2E'!G7,'E2E Combined OD + ZK'!G6)</f>
        <v>2</v>
      </c>
      <c r="B5" s="144">
        <f>COUNTA('Original-E2E'!H7,'E2E Combined OD + ZK'!H6)</f>
        <v>0</v>
      </c>
      <c r="C5" s="144">
        <f>COUNTA('Original-E2E'!I7,'E2E Combined OD + ZK'!I6)</f>
        <v>0</v>
      </c>
      <c r="D5" s="151">
        <f t="shared" si="1"/>
        <v>1</v>
      </c>
      <c r="E5" s="99">
        <f>COUNTA('Original-E2E'!G7,'E2E Combined AB + TCF'!G6)</f>
        <v>2</v>
      </c>
      <c r="F5" s="144">
        <f>COUNTA('Original-E2E'!H7,'E2E Combined AB + TCF'!H6)</f>
        <v>0</v>
      </c>
      <c r="G5" s="144">
        <f>COUNTA('Original-E2E'!I7,'E2E Combined AB + TCF'!I6)</f>
        <v>0</v>
      </c>
      <c r="H5" s="152">
        <f t="shared" si="2"/>
        <v>1</v>
      </c>
      <c r="I5" s="99">
        <f>COUNTA('E2E Combined OD + ZK'!G6,'E2E Combined AB + TCF'!G6)</f>
        <v>2</v>
      </c>
      <c r="J5" s="144">
        <f>COUNTA('E2E Combined OD + ZK'!H6,'E2E Combined AB + TCF'!H6)</f>
        <v>0</v>
      </c>
      <c r="K5" s="99">
        <f>COUNTA('E2E Combined OD + ZK'!I6,'E2E Combined AB + TCF'!I6)</f>
        <v>0</v>
      </c>
      <c r="L5" s="151">
        <f t="shared" si="3"/>
        <v>1</v>
      </c>
      <c r="M5" s="99">
        <f>COUNTA('Original-E2E'!G7,'E2E Combined OD + ZK'!G6,'E2E Combined AB + TCF'!G6)</f>
        <v>3</v>
      </c>
      <c r="N5" s="144">
        <f>COUNTA('Original-E2E'!H7,'E2E Combined OD + ZK'!H6,'E2E Combined AB + TCF'!H6)</f>
        <v>0</v>
      </c>
      <c r="O5" s="144">
        <f>COUNTA('Original-E2E'!I7,'E2E Combined OD + ZK'!I6,'E2E Combined AB + TCF'!I6)</f>
        <v>0</v>
      </c>
      <c r="P5" s="99">
        <f t="shared" si="4"/>
        <v>1</v>
      </c>
    </row>
    <row r="6">
      <c r="A6" s="99">
        <f>COUNTA('Original-E2E'!G8,'E2E Combined OD + ZK'!G7)</f>
        <v>0</v>
      </c>
      <c r="B6" s="144">
        <f>COUNTA('Original-E2E'!H8,'E2E Combined OD + ZK'!H7)</f>
        <v>0</v>
      </c>
      <c r="C6" s="144">
        <f>COUNTA('Original-E2E'!I8,'E2E Combined OD + ZK'!I7)</f>
        <v>2</v>
      </c>
      <c r="D6" s="151">
        <f t="shared" si="1"/>
        <v>1</v>
      </c>
      <c r="E6" s="99">
        <f>COUNTA('Original-E2E'!G8,'E2E Combined AB + TCF'!G7)</f>
        <v>0</v>
      </c>
      <c r="F6" s="144">
        <f>COUNTA('Original-E2E'!H8,'E2E Combined AB + TCF'!H7)</f>
        <v>0</v>
      </c>
      <c r="G6" s="144">
        <f>COUNTA('Original-E2E'!I8,'E2E Combined AB + TCF'!I7)</f>
        <v>2</v>
      </c>
      <c r="H6" s="152">
        <f t="shared" si="2"/>
        <v>1</v>
      </c>
      <c r="I6" s="99">
        <f>COUNTA('E2E Combined OD + ZK'!G7,'E2E Combined AB + TCF'!G7)</f>
        <v>0</v>
      </c>
      <c r="J6" s="144">
        <f>COUNTA('E2E Combined OD + ZK'!H7,'E2E Combined AB + TCF'!H7)</f>
        <v>0</v>
      </c>
      <c r="K6" s="99">
        <f>COUNTA('E2E Combined OD + ZK'!I7,'E2E Combined AB + TCF'!I7)</f>
        <v>2</v>
      </c>
      <c r="L6" s="151">
        <f t="shared" si="3"/>
        <v>1</v>
      </c>
      <c r="M6" s="99">
        <f>COUNTA('Original-E2E'!G8,'E2E Combined OD + ZK'!G7,'E2E Combined AB + TCF'!G7)</f>
        <v>0</v>
      </c>
      <c r="N6" s="144">
        <f>COUNTA('Original-E2E'!H8,'E2E Combined OD + ZK'!H7,'E2E Combined AB + TCF'!H7)</f>
        <v>0</v>
      </c>
      <c r="O6" s="144">
        <f>COUNTA('Original-E2E'!I8,'E2E Combined OD + ZK'!I7,'E2E Combined AB + TCF'!I7)</f>
        <v>3</v>
      </c>
      <c r="P6" s="99">
        <f t="shared" si="4"/>
        <v>1</v>
      </c>
    </row>
    <row r="7">
      <c r="A7" s="99">
        <f>COUNTA('Original-E2E'!G9,'E2E Combined OD + ZK'!G8)</f>
        <v>2</v>
      </c>
      <c r="B7" s="144">
        <f>COUNTA('Original-E2E'!H9,'E2E Combined OD + ZK'!H8)</f>
        <v>0</v>
      </c>
      <c r="C7" s="144">
        <f>COUNTA('Original-E2E'!I9,'E2E Combined OD + ZK'!I8)</f>
        <v>0</v>
      </c>
      <c r="D7" s="151">
        <f t="shared" si="1"/>
        <v>1</v>
      </c>
      <c r="E7" s="99">
        <f>COUNTA('Original-E2E'!G9,'E2E Combined AB + TCF'!G8)</f>
        <v>2</v>
      </c>
      <c r="F7" s="144">
        <f>COUNTA('Original-E2E'!H9,'E2E Combined AB + TCF'!H8)</f>
        <v>0</v>
      </c>
      <c r="G7" s="144">
        <f>COUNTA('Original-E2E'!I9,'E2E Combined AB + TCF'!I8)</f>
        <v>0</v>
      </c>
      <c r="H7" s="152">
        <f t="shared" si="2"/>
        <v>1</v>
      </c>
      <c r="I7" s="99">
        <f>COUNTA('E2E Combined OD + ZK'!G8,'E2E Combined AB + TCF'!G8)</f>
        <v>2</v>
      </c>
      <c r="J7" s="144">
        <f>COUNTA('E2E Combined OD + ZK'!H8,'E2E Combined AB + TCF'!H8)</f>
        <v>0</v>
      </c>
      <c r="K7" s="99">
        <f>COUNTA('E2E Combined OD + ZK'!I8,'E2E Combined AB + TCF'!I8)</f>
        <v>0</v>
      </c>
      <c r="L7" s="151">
        <f t="shared" si="3"/>
        <v>1</v>
      </c>
      <c r="M7" s="99">
        <f>COUNTA('Original-E2E'!G9,'E2E Combined OD + ZK'!G8,'E2E Combined AB + TCF'!G8)</f>
        <v>3</v>
      </c>
      <c r="N7" s="144">
        <f>COUNTA('Original-E2E'!H9,'E2E Combined OD + ZK'!H8,'E2E Combined AB + TCF'!H8)</f>
        <v>0</v>
      </c>
      <c r="O7" s="144">
        <f>COUNTA('Original-E2E'!I9,'E2E Combined OD + ZK'!I8,'E2E Combined AB + TCF'!I8)</f>
        <v>0</v>
      </c>
      <c r="P7" s="99">
        <f t="shared" si="4"/>
        <v>1</v>
      </c>
    </row>
    <row r="8">
      <c r="A8" s="99">
        <f>COUNTA('Original-E2E'!G10,'E2E Combined OD + ZK'!G9)</f>
        <v>1</v>
      </c>
      <c r="B8" s="144">
        <f>COUNTA('Original-E2E'!H10,'E2E Combined OD + ZK'!H9)</f>
        <v>0</v>
      </c>
      <c r="C8" s="144">
        <f>COUNTA('Original-E2E'!I10,'E2E Combined OD + ZK'!I9)</f>
        <v>0</v>
      </c>
      <c r="D8" s="151">
        <f t="shared" si="1"/>
        <v>-0.5</v>
      </c>
      <c r="E8" s="99">
        <f>COUNTA('Original-E2E'!G10,'E2E Combined AB + TCF'!G9)</f>
        <v>1</v>
      </c>
      <c r="F8" s="144">
        <f>COUNTA('Original-E2E'!H10,'E2E Combined AB + TCF'!H9)</f>
        <v>0</v>
      </c>
      <c r="G8" s="144">
        <f>COUNTA('Original-E2E'!I10,'E2E Combined AB + TCF'!I9)</f>
        <v>0</v>
      </c>
      <c r="H8" s="152">
        <f t="shared" si="2"/>
        <v>-0.5</v>
      </c>
      <c r="I8" s="99">
        <f>COUNTA('E2E Combined OD + ZK'!G9,'E2E Combined AB + TCF'!G9)</f>
        <v>2</v>
      </c>
      <c r="J8" s="144">
        <f>COUNTA('E2E Combined OD + ZK'!H9,'E2E Combined AB + TCF'!H9)</f>
        <v>0</v>
      </c>
      <c r="K8" s="99">
        <f>COUNTA('E2E Combined OD + ZK'!I9,'E2E Combined AB + TCF'!I9)</f>
        <v>0</v>
      </c>
      <c r="L8" s="151">
        <f t="shared" si="3"/>
        <v>1</v>
      </c>
      <c r="M8" s="99">
        <f>COUNTA('Original-E2E'!G10,'E2E Combined OD + ZK'!G9,'E2E Combined AB + TCF'!G9)</f>
        <v>2</v>
      </c>
      <c r="N8" s="144">
        <f>COUNTA('Original-E2E'!H10,'E2E Combined OD + ZK'!H9,'E2E Combined AB + TCF'!H9)</f>
        <v>0</v>
      </c>
      <c r="O8" s="144">
        <f>COUNTA('Original-E2E'!I10,'E2E Combined OD + ZK'!I9,'E2E Combined AB + TCF'!I9)</f>
        <v>0</v>
      </c>
      <c r="P8" s="99">
        <f t="shared" si="4"/>
        <v>0.1666666667</v>
      </c>
    </row>
    <row r="9">
      <c r="A9" s="99">
        <f>COUNTA('Original-E2E'!G11,'E2E Combined OD + ZK'!G10)</f>
        <v>0</v>
      </c>
      <c r="B9" s="144">
        <f>COUNTA('Original-E2E'!H11,'E2E Combined OD + ZK'!H10)</f>
        <v>1</v>
      </c>
      <c r="C9" s="144">
        <f>COUNTA('Original-E2E'!I11,'E2E Combined OD + ZK'!I10)</f>
        <v>1</v>
      </c>
      <c r="D9" s="151">
        <f t="shared" si="1"/>
        <v>0</v>
      </c>
      <c r="E9" s="99">
        <f>COUNTA('Original-E2E'!G11,'E2E Combined AB + TCF'!G10)</f>
        <v>1</v>
      </c>
      <c r="F9" s="144">
        <f>COUNTA('Original-E2E'!H11,'E2E Combined AB + TCF'!H10)</f>
        <v>0</v>
      </c>
      <c r="G9" s="144">
        <f>COUNTA('Original-E2E'!I11,'E2E Combined AB + TCF'!I10)</f>
        <v>1</v>
      </c>
      <c r="H9" s="152">
        <f t="shared" si="2"/>
        <v>0</v>
      </c>
      <c r="I9" s="99">
        <f>COUNTA('E2E Combined OD + ZK'!G10,'E2E Combined AB + TCF'!G10)</f>
        <v>1</v>
      </c>
      <c r="J9" s="144">
        <f>COUNTA('E2E Combined OD + ZK'!H10,'E2E Combined AB + TCF'!H10)</f>
        <v>1</v>
      </c>
      <c r="K9" s="99">
        <f>COUNTA('E2E Combined OD + ZK'!I10,'E2E Combined AB + TCF'!I10)</f>
        <v>0</v>
      </c>
      <c r="L9" s="151">
        <f t="shared" si="3"/>
        <v>0</v>
      </c>
      <c r="M9" s="99">
        <f>COUNTA('Original-E2E'!G11,'E2E Combined OD + ZK'!G10,'E2E Combined AB + TCF'!G10)</f>
        <v>1</v>
      </c>
      <c r="N9" s="144">
        <f>COUNTA('Original-E2E'!H11,'E2E Combined OD + ZK'!H10,'E2E Combined AB + TCF'!H10)</f>
        <v>1</v>
      </c>
      <c r="O9" s="144">
        <f>COUNTA('Original-E2E'!I11,'E2E Combined OD + ZK'!I10,'E2E Combined AB + TCF'!I10)</f>
        <v>1</v>
      </c>
      <c r="P9" s="99">
        <f t="shared" si="4"/>
        <v>0</v>
      </c>
    </row>
    <row r="10">
      <c r="A10" s="99">
        <f>COUNTA('Original-E2E'!G12,'E2E Combined OD + ZK'!G11)</f>
        <v>2</v>
      </c>
      <c r="B10" s="144">
        <f>COUNTA('Original-E2E'!H12,'E2E Combined OD + ZK'!H11)</f>
        <v>0</v>
      </c>
      <c r="C10" s="144">
        <f>COUNTA('Original-E2E'!I12,'E2E Combined OD + ZK'!I11)</f>
        <v>0</v>
      </c>
      <c r="D10" s="151">
        <f t="shared" si="1"/>
        <v>1</v>
      </c>
      <c r="E10" s="99">
        <f>COUNTA('Original-E2E'!G12,'E2E Combined AB + TCF'!G11)</f>
        <v>2</v>
      </c>
      <c r="F10" s="144">
        <f>COUNTA('Original-E2E'!H12,'E2E Combined AB + TCF'!H11)</f>
        <v>0</v>
      </c>
      <c r="G10" s="144">
        <f>COUNTA('Original-E2E'!I12,'E2E Combined AB + TCF'!I11)</f>
        <v>0</v>
      </c>
      <c r="H10" s="152">
        <f t="shared" si="2"/>
        <v>1</v>
      </c>
      <c r="I10" s="99">
        <f>COUNTA('E2E Combined OD + ZK'!G11,'E2E Combined AB + TCF'!G11)</f>
        <v>2</v>
      </c>
      <c r="J10" s="144">
        <f>COUNTA('E2E Combined OD + ZK'!H11,'E2E Combined AB + TCF'!H11)</f>
        <v>0</v>
      </c>
      <c r="K10" s="99">
        <f>COUNTA('E2E Combined OD + ZK'!I11,'E2E Combined AB + TCF'!I11)</f>
        <v>0</v>
      </c>
      <c r="L10" s="151">
        <f t="shared" si="3"/>
        <v>1</v>
      </c>
      <c r="M10" s="99">
        <f>COUNTA('Original-E2E'!G12,'E2E Combined OD + ZK'!G11,'E2E Combined AB + TCF'!G11)</f>
        <v>3</v>
      </c>
      <c r="N10" s="144">
        <f>COUNTA('Original-E2E'!H12,'E2E Combined OD + ZK'!H11,'E2E Combined AB + TCF'!H11)</f>
        <v>0</v>
      </c>
      <c r="O10" s="144">
        <f>COUNTA('Original-E2E'!I12,'E2E Combined OD + ZK'!I11,'E2E Combined AB + TCF'!I11)</f>
        <v>0</v>
      </c>
      <c r="P10" s="99">
        <f t="shared" si="4"/>
        <v>1</v>
      </c>
    </row>
    <row r="11">
      <c r="A11" s="99">
        <f>COUNTA('Original-E2E'!G13,'E2E Combined OD + ZK'!G12)</f>
        <v>0</v>
      </c>
      <c r="B11" s="144">
        <f>COUNTA('Original-E2E'!H13,'E2E Combined OD + ZK'!H12)</f>
        <v>2</v>
      </c>
      <c r="C11" s="144">
        <f>COUNTA('Original-E2E'!I13,'E2E Combined OD + ZK'!I12)</f>
        <v>0</v>
      </c>
      <c r="D11" s="151">
        <f t="shared" si="1"/>
        <v>1</v>
      </c>
      <c r="E11" s="99">
        <f>COUNTA('Original-E2E'!G13,'E2E Combined AB + TCF'!G12)</f>
        <v>0</v>
      </c>
      <c r="F11" s="144">
        <f>COUNTA('Original-E2E'!H13,'E2E Combined AB + TCF'!H12)</f>
        <v>2</v>
      </c>
      <c r="G11" s="144">
        <f>COUNTA('Original-E2E'!I13,'E2E Combined AB + TCF'!I12)</f>
        <v>0</v>
      </c>
      <c r="H11" s="152">
        <f t="shared" si="2"/>
        <v>1</v>
      </c>
      <c r="I11" s="99">
        <f>COUNTA('E2E Combined OD + ZK'!G12,'E2E Combined AB + TCF'!G12)</f>
        <v>0</v>
      </c>
      <c r="J11" s="144">
        <f>COUNTA('E2E Combined OD + ZK'!H12,'E2E Combined AB + TCF'!H12)</f>
        <v>2</v>
      </c>
      <c r="K11" s="99">
        <f>COUNTA('E2E Combined OD + ZK'!I12,'E2E Combined AB + TCF'!I12)</f>
        <v>0</v>
      </c>
      <c r="L11" s="151">
        <f t="shared" si="3"/>
        <v>1</v>
      </c>
      <c r="M11" s="99">
        <f>COUNTA('Original-E2E'!G13,'E2E Combined OD + ZK'!G12,'E2E Combined AB + TCF'!G12)</f>
        <v>0</v>
      </c>
      <c r="N11" s="144">
        <f>COUNTA('Original-E2E'!H13,'E2E Combined OD + ZK'!H12,'E2E Combined AB + TCF'!H12)</f>
        <v>3</v>
      </c>
      <c r="O11" s="144">
        <f>COUNTA('Original-E2E'!I13,'E2E Combined OD + ZK'!I12,'E2E Combined AB + TCF'!I12)</f>
        <v>0</v>
      </c>
      <c r="P11" s="99">
        <f t="shared" si="4"/>
        <v>1</v>
      </c>
    </row>
    <row r="12">
      <c r="A12" s="99">
        <f>COUNTA('Original-E2E'!G14,'E2E Combined OD + ZK'!G13)</f>
        <v>0</v>
      </c>
      <c r="B12" s="144">
        <f>COUNTA('Original-E2E'!H14,'E2E Combined OD + ZK'!H13)</f>
        <v>2</v>
      </c>
      <c r="C12" s="144">
        <f>COUNTA('Original-E2E'!I14,'E2E Combined OD + ZK'!I13)</f>
        <v>0</v>
      </c>
      <c r="D12" s="151">
        <f t="shared" si="1"/>
        <v>1</v>
      </c>
      <c r="E12" s="99">
        <f>COUNTA('Original-E2E'!G14,'E2E Combined AB + TCF'!G13)</f>
        <v>0</v>
      </c>
      <c r="F12" s="144">
        <f>COUNTA('Original-E2E'!H14,'E2E Combined AB + TCF'!H13)</f>
        <v>2</v>
      </c>
      <c r="G12" s="144">
        <f>COUNTA('Original-E2E'!I14,'E2E Combined AB + TCF'!I13)</f>
        <v>0</v>
      </c>
      <c r="H12" s="152">
        <f t="shared" si="2"/>
        <v>1</v>
      </c>
      <c r="I12" s="99">
        <f>COUNTA('E2E Combined OD + ZK'!G13,'E2E Combined AB + TCF'!G13)</f>
        <v>0</v>
      </c>
      <c r="J12" s="144">
        <f>COUNTA('E2E Combined OD + ZK'!H13,'E2E Combined AB + TCF'!H13)</f>
        <v>2</v>
      </c>
      <c r="K12" s="99">
        <f>COUNTA('E2E Combined OD + ZK'!I13,'E2E Combined AB + TCF'!I13)</f>
        <v>0</v>
      </c>
      <c r="L12" s="151">
        <f t="shared" si="3"/>
        <v>1</v>
      </c>
      <c r="M12" s="99">
        <f>COUNTA('Original-E2E'!G14,'E2E Combined OD + ZK'!G13,'E2E Combined AB + TCF'!G13)</f>
        <v>0</v>
      </c>
      <c r="N12" s="144">
        <f>COUNTA('Original-E2E'!H14,'E2E Combined OD + ZK'!H13,'E2E Combined AB + TCF'!H13)</f>
        <v>3</v>
      </c>
      <c r="O12" s="144">
        <f>COUNTA('Original-E2E'!I14,'E2E Combined OD + ZK'!I13,'E2E Combined AB + TCF'!I13)</f>
        <v>0</v>
      </c>
      <c r="P12" s="99">
        <f t="shared" si="4"/>
        <v>1</v>
      </c>
    </row>
    <row r="13">
      <c r="A13" s="99">
        <f>COUNTA('Original-E2E'!G15,'E2E Combined OD + ZK'!G14)</f>
        <v>0</v>
      </c>
      <c r="B13" s="144">
        <f>COUNTA('Original-E2E'!H15,'E2E Combined OD + ZK'!H14)</f>
        <v>0</v>
      </c>
      <c r="C13" s="144">
        <f>COUNTA('Original-E2E'!I15,'E2E Combined OD + ZK'!I14)</f>
        <v>2</v>
      </c>
      <c r="D13" s="151">
        <f t="shared" si="1"/>
        <v>1</v>
      </c>
      <c r="E13" s="99">
        <f>COUNTA('Original-E2E'!G15,'E2E Combined AB + TCF'!G14)</f>
        <v>1</v>
      </c>
      <c r="F13" s="144">
        <f>COUNTA('Original-E2E'!H15,'E2E Combined AB + TCF'!H14)</f>
        <v>0</v>
      </c>
      <c r="G13" s="144">
        <f>COUNTA('Original-E2E'!I15,'E2E Combined AB + TCF'!I14)</f>
        <v>1</v>
      </c>
      <c r="H13" s="152">
        <f t="shared" si="2"/>
        <v>0</v>
      </c>
      <c r="I13" s="99">
        <f>COUNTA('E2E Combined OD + ZK'!G14,'E2E Combined AB + TCF'!G14)</f>
        <v>1</v>
      </c>
      <c r="J13" s="144">
        <f>COUNTA('E2E Combined OD + ZK'!H14,'E2E Combined AB + TCF'!H14)</f>
        <v>0</v>
      </c>
      <c r="K13" s="99">
        <f>COUNTA('E2E Combined OD + ZK'!I14,'E2E Combined AB + TCF'!I14)</f>
        <v>1</v>
      </c>
      <c r="L13" s="151">
        <f t="shared" si="3"/>
        <v>0</v>
      </c>
      <c r="M13" s="99">
        <f>COUNTA('Original-E2E'!G15,'E2E Combined OD + ZK'!G14,'E2E Combined AB + TCF'!G14)</f>
        <v>1</v>
      </c>
      <c r="N13" s="144">
        <f>COUNTA('Original-E2E'!H15,'E2E Combined OD + ZK'!H14,'E2E Combined AB + TCF'!H14)</f>
        <v>0</v>
      </c>
      <c r="O13" s="144">
        <f>COUNTA('Original-E2E'!I15,'E2E Combined OD + ZK'!I14,'E2E Combined AB + TCF'!I14)</f>
        <v>2</v>
      </c>
      <c r="P13" s="99">
        <f t="shared" si="4"/>
        <v>0.3333333333</v>
      </c>
    </row>
    <row r="14">
      <c r="A14" s="99">
        <f>COUNTA('Original-E2E'!G16,'E2E Combined OD + ZK'!G15)</f>
        <v>0</v>
      </c>
      <c r="B14" s="144">
        <f>COUNTA('Original-E2E'!H16,'E2E Combined OD + ZK'!H15)</f>
        <v>2</v>
      </c>
      <c r="C14" s="144">
        <f>COUNTA('Original-E2E'!I16,'E2E Combined OD + ZK'!I15)</f>
        <v>0</v>
      </c>
      <c r="D14" s="151">
        <f t="shared" si="1"/>
        <v>1</v>
      </c>
      <c r="E14" s="99">
        <f>COUNTA('Original-E2E'!G16,'E2E Combined AB + TCF'!G15)</f>
        <v>0</v>
      </c>
      <c r="F14" s="144">
        <f>COUNTA('Original-E2E'!H16,'E2E Combined AB + TCF'!H15)</f>
        <v>2</v>
      </c>
      <c r="G14" s="144">
        <f>COUNTA('Original-E2E'!I16,'E2E Combined AB + TCF'!I15)</f>
        <v>0</v>
      </c>
      <c r="H14" s="152">
        <f t="shared" si="2"/>
        <v>1</v>
      </c>
      <c r="I14" s="99">
        <f>COUNTA('E2E Combined OD + ZK'!G15,'E2E Combined AB + TCF'!G15)</f>
        <v>0</v>
      </c>
      <c r="J14" s="144">
        <f>COUNTA('E2E Combined OD + ZK'!H15,'E2E Combined AB + TCF'!H15)</f>
        <v>2</v>
      </c>
      <c r="K14" s="99">
        <f>COUNTA('E2E Combined OD + ZK'!I15,'E2E Combined AB + TCF'!I15)</f>
        <v>0</v>
      </c>
      <c r="L14" s="151">
        <f t="shared" si="3"/>
        <v>1</v>
      </c>
      <c r="M14" s="99">
        <f>COUNTA('Original-E2E'!G16,'E2E Combined OD + ZK'!G15,'E2E Combined AB + TCF'!G15)</f>
        <v>0</v>
      </c>
      <c r="N14" s="144">
        <f>COUNTA('Original-E2E'!H16,'E2E Combined OD + ZK'!H15,'E2E Combined AB + TCF'!H15)</f>
        <v>3</v>
      </c>
      <c r="O14" s="144">
        <f>COUNTA('Original-E2E'!I16,'E2E Combined OD + ZK'!I15,'E2E Combined AB + TCF'!I15)</f>
        <v>0</v>
      </c>
      <c r="P14" s="99">
        <f t="shared" si="4"/>
        <v>1</v>
      </c>
    </row>
    <row r="15">
      <c r="A15" s="99">
        <f>COUNTA('Original-E2E'!G17,'E2E Combined OD + ZK'!G16)</f>
        <v>1</v>
      </c>
      <c r="B15" s="144">
        <f>COUNTA('Original-E2E'!H17,'E2E Combined OD + ZK'!H16)</f>
        <v>0</v>
      </c>
      <c r="C15" s="144">
        <f>COUNTA('Original-E2E'!I17,'E2E Combined OD + ZK'!I16)</f>
        <v>0</v>
      </c>
      <c r="D15" s="151">
        <f t="shared" si="1"/>
        <v>-0.5</v>
      </c>
      <c r="E15" s="99">
        <f>COUNTA('Original-E2E'!G17,'E2E Combined AB + TCF'!G16)</f>
        <v>1</v>
      </c>
      <c r="F15" s="144">
        <f>COUNTA('Original-E2E'!H17,'E2E Combined AB + TCF'!H16)</f>
        <v>0</v>
      </c>
      <c r="G15" s="144">
        <f>COUNTA('Original-E2E'!I17,'E2E Combined AB + TCF'!I16)</f>
        <v>0</v>
      </c>
      <c r="H15" s="152">
        <f t="shared" si="2"/>
        <v>-0.5</v>
      </c>
      <c r="I15" s="99">
        <f>COUNTA('E2E Combined OD + ZK'!G16,'E2E Combined AB + TCF'!G16)</f>
        <v>2</v>
      </c>
      <c r="J15" s="144">
        <f>COUNTA('E2E Combined OD + ZK'!H16,'E2E Combined AB + TCF'!H16)</f>
        <v>0</v>
      </c>
      <c r="K15" s="99">
        <f>COUNTA('E2E Combined OD + ZK'!I16,'E2E Combined AB + TCF'!I16)</f>
        <v>0</v>
      </c>
      <c r="L15" s="151">
        <f t="shared" si="3"/>
        <v>1</v>
      </c>
      <c r="M15" s="99">
        <f>COUNTA('Original-E2E'!G17,'E2E Combined OD + ZK'!G16,'E2E Combined AB + TCF'!G16)</f>
        <v>2</v>
      </c>
      <c r="N15" s="144">
        <f>COUNTA('Original-E2E'!H17,'E2E Combined OD + ZK'!H16,'E2E Combined AB + TCF'!H16)</f>
        <v>0</v>
      </c>
      <c r="O15" s="144">
        <f>COUNTA('Original-E2E'!I17,'E2E Combined OD + ZK'!I16,'E2E Combined AB + TCF'!I16)</f>
        <v>0</v>
      </c>
      <c r="P15" s="99">
        <f t="shared" si="4"/>
        <v>0.1666666667</v>
      </c>
    </row>
    <row r="16">
      <c r="A16" s="99">
        <f>COUNTA('Original-E2E'!G18,'E2E Combined OD + ZK'!G17)</f>
        <v>1</v>
      </c>
      <c r="B16" s="144">
        <f>COUNTA('Original-E2E'!H18,'E2E Combined OD + ZK'!H17)</f>
        <v>1</v>
      </c>
      <c r="C16" s="144">
        <f>COUNTA('Original-E2E'!I18,'E2E Combined OD + ZK'!I17)</f>
        <v>0</v>
      </c>
      <c r="D16" s="151">
        <f t="shared" si="1"/>
        <v>0</v>
      </c>
      <c r="E16" s="99">
        <f>COUNTA('Original-E2E'!G18,'E2E Combined AB + TCF'!G17)</f>
        <v>2</v>
      </c>
      <c r="F16" s="144">
        <f>COUNTA('Original-E2E'!H18,'E2E Combined AB + TCF'!H17)</f>
        <v>0</v>
      </c>
      <c r="G16" s="144">
        <f>COUNTA('Original-E2E'!I18,'E2E Combined AB + TCF'!I17)</f>
        <v>0</v>
      </c>
      <c r="H16" s="152">
        <f t="shared" si="2"/>
        <v>1</v>
      </c>
      <c r="I16" s="99">
        <f>COUNTA('E2E Combined OD + ZK'!G17,'E2E Combined AB + TCF'!G17)</f>
        <v>1</v>
      </c>
      <c r="J16" s="144">
        <f>COUNTA('E2E Combined OD + ZK'!H17,'E2E Combined AB + TCF'!H17)</f>
        <v>1</v>
      </c>
      <c r="K16" s="99">
        <f>COUNTA('E2E Combined OD + ZK'!I17,'E2E Combined AB + TCF'!I17)</f>
        <v>0</v>
      </c>
      <c r="L16" s="151">
        <f t="shared" si="3"/>
        <v>0</v>
      </c>
      <c r="M16" s="99">
        <f>COUNTA('Original-E2E'!G18,'E2E Combined OD + ZK'!G17,'E2E Combined AB + TCF'!G17)</f>
        <v>2</v>
      </c>
      <c r="N16" s="144">
        <f>COUNTA('Original-E2E'!H18,'E2E Combined OD + ZK'!H17,'E2E Combined AB + TCF'!H17)</f>
        <v>1</v>
      </c>
      <c r="O16" s="144">
        <f>COUNTA('Original-E2E'!I18,'E2E Combined OD + ZK'!I17,'E2E Combined AB + TCF'!I17)</f>
        <v>0</v>
      </c>
      <c r="P16" s="99">
        <f t="shared" si="4"/>
        <v>0.3333333333</v>
      </c>
    </row>
    <row r="17">
      <c r="A17" s="99">
        <f>COUNTA('Original-E2E'!G19,'E2E Combined OD + ZK'!G18)</f>
        <v>0</v>
      </c>
      <c r="B17" s="144">
        <f>COUNTA('Original-E2E'!H19,'E2E Combined OD + ZK'!H18)</f>
        <v>2</v>
      </c>
      <c r="C17" s="144">
        <f>COUNTA('Original-E2E'!I19,'E2E Combined OD + ZK'!I18)</f>
        <v>0</v>
      </c>
      <c r="D17" s="151">
        <f t="shared" si="1"/>
        <v>1</v>
      </c>
      <c r="E17" s="99">
        <f>COUNTA('Original-E2E'!G19,'E2E Combined AB + TCF'!G18)</f>
        <v>0</v>
      </c>
      <c r="F17" s="144">
        <f>COUNTA('Original-E2E'!H19,'E2E Combined AB + TCF'!H18)</f>
        <v>2</v>
      </c>
      <c r="G17" s="144">
        <f>COUNTA('Original-E2E'!I19,'E2E Combined AB + TCF'!I18)</f>
        <v>0</v>
      </c>
      <c r="H17" s="152">
        <f t="shared" si="2"/>
        <v>1</v>
      </c>
      <c r="I17" s="99">
        <f>COUNTA('E2E Combined OD + ZK'!G18,'E2E Combined AB + TCF'!G18)</f>
        <v>0</v>
      </c>
      <c r="J17" s="144">
        <f>COUNTA('E2E Combined OD + ZK'!H18,'E2E Combined AB + TCF'!H18)</f>
        <v>2</v>
      </c>
      <c r="K17" s="99">
        <f>COUNTA('E2E Combined OD + ZK'!I18,'E2E Combined AB + TCF'!I18)</f>
        <v>0</v>
      </c>
      <c r="L17" s="151">
        <f t="shared" si="3"/>
        <v>1</v>
      </c>
      <c r="M17" s="99">
        <f>COUNTA('Original-E2E'!G19,'E2E Combined OD + ZK'!G18,'E2E Combined AB + TCF'!G18)</f>
        <v>0</v>
      </c>
      <c r="N17" s="144">
        <f>COUNTA('Original-E2E'!H19,'E2E Combined OD + ZK'!H18,'E2E Combined AB + TCF'!H18)</f>
        <v>3</v>
      </c>
      <c r="O17" s="144">
        <f>COUNTA('Original-E2E'!I19,'E2E Combined OD + ZK'!I18,'E2E Combined AB + TCF'!I18)</f>
        <v>0</v>
      </c>
      <c r="P17" s="99">
        <f t="shared" si="4"/>
        <v>1</v>
      </c>
    </row>
    <row r="18">
      <c r="A18" s="99">
        <f>COUNTA('Original-E2E'!G20,'E2E Combined OD + ZK'!G19)</f>
        <v>1</v>
      </c>
      <c r="B18" s="144">
        <f>COUNTA('Original-E2E'!H20,'E2E Combined OD + ZK'!H19)</f>
        <v>0</v>
      </c>
      <c r="C18" s="144">
        <f>COUNTA('Original-E2E'!I20,'E2E Combined OD + ZK'!I19)</f>
        <v>0</v>
      </c>
      <c r="D18" s="151">
        <f t="shared" si="1"/>
        <v>-0.5</v>
      </c>
      <c r="E18" s="99">
        <f>COUNTA('Original-E2E'!G20,'E2E Combined AB + TCF'!G19)</f>
        <v>1</v>
      </c>
      <c r="F18" s="144">
        <f>COUNTA('Original-E2E'!H20,'E2E Combined AB + TCF'!H19)</f>
        <v>0</v>
      </c>
      <c r="G18" s="144">
        <f>COUNTA('Original-E2E'!I20,'E2E Combined AB + TCF'!I19)</f>
        <v>0</v>
      </c>
      <c r="H18" s="152">
        <f t="shared" si="2"/>
        <v>-0.5</v>
      </c>
      <c r="I18" s="99">
        <f>COUNTA('E2E Combined OD + ZK'!G19,'E2E Combined AB + TCF'!G19)</f>
        <v>2</v>
      </c>
      <c r="J18" s="144">
        <f>COUNTA('E2E Combined OD + ZK'!H19,'E2E Combined AB + TCF'!H19)</f>
        <v>0</v>
      </c>
      <c r="K18" s="99">
        <f>COUNTA('E2E Combined OD + ZK'!I19,'E2E Combined AB + TCF'!I19)</f>
        <v>0</v>
      </c>
      <c r="L18" s="151">
        <f t="shared" si="3"/>
        <v>1</v>
      </c>
      <c r="M18" s="99">
        <f>COUNTA('Original-E2E'!G20,'E2E Combined OD + ZK'!G19,'E2E Combined AB + TCF'!G19)</f>
        <v>2</v>
      </c>
      <c r="N18" s="144">
        <f>COUNTA('Original-E2E'!H20,'E2E Combined OD + ZK'!H19,'E2E Combined AB + TCF'!H19)</f>
        <v>0</v>
      </c>
      <c r="O18" s="144">
        <f>COUNTA('Original-E2E'!I20,'E2E Combined OD + ZK'!I19,'E2E Combined AB + TCF'!I19)</f>
        <v>0</v>
      </c>
      <c r="P18" s="99">
        <f t="shared" si="4"/>
        <v>0.1666666667</v>
      </c>
    </row>
    <row r="19">
      <c r="A19" s="99">
        <f>COUNTA('Original-E2E'!G21,'E2E Combined OD + ZK'!G20)</f>
        <v>0</v>
      </c>
      <c r="B19" s="144">
        <f>COUNTA('Original-E2E'!H21,'E2E Combined OD + ZK'!H20)</f>
        <v>2</v>
      </c>
      <c r="C19" s="144">
        <f>COUNTA('Original-E2E'!I21,'E2E Combined OD + ZK'!I20)</f>
        <v>0</v>
      </c>
      <c r="D19" s="151">
        <f t="shared" si="1"/>
        <v>1</v>
      </c>
      <c r="E19" s="99">
        <f>COUNTA('Original-E2E'!G21,'E2E Combined AB + TCF'!G20)</f>
        <v>0</v>
      </c>
      <c r="F19" s="144">
        <f>COUNTA('Original-E2E'!H21,'E2E Combined AB + TCF'!H20)</f>
        <v>2</v>
      </c>
      <c r="G19" s="144">
        <f>COUNTA('Original-E2E'!I21,'E2E Combined AB + TCF'!I20)</f>
        <v>0</v>
      </c>
      <c r="H19" s="152">
        <f t="shared" si="2"/>
        <v>1</v>
      </c>
      <c r="I19" s="99">
        <f>COUNTA('E2E Combined OD + ZK'!G20,'E2E Combined AB + TCF'!G20)</f>
        <v>0</v>
      </c>
      <c r="J19" s="144">
        <f>COUNTA('E2E Combined OD + ZK'!H20,'E2E Combined AB + TCF'!H20)</f>
        <v>2</v>
      </c>
      <c r="K19" s="99">
        <f>COUNTA('E2E Combined OD + ZK'!I20,'E2E Combined AB + TCF'!I20)</f>
        <v>0</v>
      </c>
      <c r="L19" s="151">
        <f t="shared" si="3"/>
        <v>1</v>
      </c>
      <c r="M19" s="99">
        <f>COUNTA('Original-E2E'!G21,'E2E Combined OD + ZK'!G20,'E2E Combined AB + TCF'!G20)</f>
        <v>0</v>
      </c>
      <c r="N19" s="144">
        <f>COUNTA('Original-E2E'!H21,'E2E Combined OD + ZK'!H20,'E2E Combined AB + TCF'!H20)</f>
        <v>3</v>
      </c>
      <c r="O19" s="144">
        <f>COUNTA('Original-E2E'!I21,'E2E Combined OD + ZK'!I20,'E2E Combined AB + TCF'!I20)</f>
        <v>0</v>
      </c>
      <c r="P19" s="99">
        <f t="shared" si="4"/>
        <v>1</v>
      </c>
    </row>
    <row r="20">
      <c r="A20" s="99">
        <f>COUNTA('Original-E2E'!G22,'E2E Combined OD + ZK'!G21)</f>
        <v>0</v>
      </c>
      <c r="B20" s="144">
        <f>COUNTA('Original-E2E'!H22,'E2E Combined OD + ZK'!H21)</f>
        <v>2</v>
      </c>
      <c r="C20" s="144">
        <f>COUNTA('Original-E2E'!I22,'E2E Combined OD + ZK'!I21)</f>
        <v>0</v>
      </c>
      <c r="D20" s="151">
        <f t="shared" si="1"/>
        <v>1</v>
      </c>
      <c r="E20" s="99">
        <f>COUNTA('Original-E2E'!G22,'E2E Combined AB + TCF'!G21)</f>
        <v>0</v>
      </c>
      <c r="F20" s="144">
        <f>COUNTA('Original-E2E'!H22,'E2E Combined AB + TCF'!H21)</f>
        <v>2</v>
      </c>
      <c r="G20" s="144">
        <f>COUNTA('Original-E2E'!I22,'E2E Combined AB + TCF'!I21)</f>
        <v>0</v>
      </c>
      <c r="H20" s="152">
        <f t="shared" si="2"/>
        <v>1</v>
      </c>
      <c r="I20" s="99">
        <f>COUNTA('E2E Combined OD + ZK'!G21,'E2E Combined AB + TCF'!G21)</f>
        <v>0</v>
      </c>
      <c r="J20" s="144">
        <f>COUNTA('E2E Combined OD + ZK'!H21,'E2E Combined AB + TCF'!H21)</f>
        <v>2</v>
      </c>
      <c r="K20" s="99">
        <f>COUNTA('E2E Combined OD + ZK'!I21,'E2E Combined AB + TCF'!I21)</f>
        <v>0</v>
      </c>
      <c r="L20" s="151">
        <f t="shared" si="3"/>
        <v>1</v>
      </c>
      <c r="M20" s="99">
        <f>COUNTA('Original-E2E'!G22,'E2E Combined OD + ZK'!G21,'E2E Combined AB + TCF'!G21)</f>
        <v>0</v>
      </c>
      <c r="N20" s="144">
        <f>COUNTA('Original-E2E'!H22,'E2E Combined OD + ZK'!H21,'E2E Combined AB + TCF'!H21)</f>
        <v>3</v>
      </c>
      <c r="O20" s="144">
        <f>COUNTA('Original-E2E'!I22,'E2E Combined OD + ZK'!I21,'E2E Combined AB + TCF'!I21)</f>
        <v>0</v>
      </c>
      <c r="P20" s="99">
        <f t="shared" si="4"/>
        <v>1</v>
      </c>
    </row>
    <row r="21">
      <c r="A21" s="99">
        <f>COUNTA('Original-E2E'!G23,'E2E Combined OD + ZK'!G22)</f>
        <v>0</v>
      </c>
      <c r="B21" s="144">
        <f>COUNTA('Original-E2E'!H23,'E2E Combined OD + ZK'!H22)</f>
        <v>2</v>
      </c>
      <c r="C21" s="144">
        <f>COUNTA('Original-E2E'!I23,'E2E Combined OD + ZK'!I22)</f>
        <v>0</v>
      </c>
      <c r="D21" s="151">
        <f t="shared" si="1"/>
        <v>1</v>
      </c>
      <c r="E21" s="99">
        <f>COUNTA('Original-E2E'!G23,'E2E Combined AB + TCF'!G22)</f>
        <v>0</v>
      </c>
      <c r="F21" s="144">
        <f>COUNTA('Original-E2E'!H23,'E2E Combined AB + TCF'!H22)</f>
        <v>2</v>
      </c>
      <c r="G21" s="144">
        <f>COUNTA('Original-E2E'!I23,'E2E Combined AB + TCF'!I22)</f>
        <v>0</v>
      </c>
      <c r="H21" s="152">
        <f t="shared" si="2"/>
        <v>1</v>
      </c>
      <c r="I21" s="99">
        <f>COUNTA('E2E Combined OD + ZK'!G22,'E2E Combined AB + TCF'!G22)</f>
        <v>0</v>
      </c>
      <c r="J21" s="144">
        <f>COUNTA('E2E Combined OD + ZK'!H22,'E2E Combined AB + TCF'!H22)</f>
        <v>2</v>
      </c>
      <c r="K21" s="99">
        <f>COUNTA('E2E Combined OD + ZK'!I22,'E2E Combined AB + TCF'!I22)</f>
        <v>0</v>
      </c>
      <c r="L21" s="151">
        <f t="shared" si="3"/>
        <v>1</v>
      </c>
      <c r="M21" s="99">
        <f>COUNTA('Original-E2E'!G23,'E2E Combined OD + ZK'!G22,'E2E Combined AB + TCF'!G22)</f>
        <v>0</v>
      </c>
      <c r="N21" s="144">
        <f>COUNTA('Original-E2E'!H23,'E2E Combined OD + ZK'!H22,'E2E Combined AB + TCF'!H22)</f>
        <v>3</v>
      </c>
      <c r="O21" s="144">
        <f>COUNTA('Original-E2E'!I23,'E2E Combined OD + ZK'!I22,'E2E Combined AB + TCF'!I22)</f>
        <v>0</v>
      </c>
      <c r="P21" s="99">
        <f t="shared" si="4"/>
        <v>1</v>
      </c>
    </row>
    <row r="22">
      <c r="A22" s="99">
        <f>COUNTA('Original-E2E'!G24,'E2E Combined OD + ZK'!G23)</f>
        <v>2</v>
      </c>
      <c r="B22" s="144">
        <f>COUNTA('Original-E2E'!H24,'E2E Combined OD + ZK'!H23)</f>
        <v>0</v>
      </c>
      <c r="C22" s="144">
        <f>COUNTA('Original-E2E'!I24,'E2E Combined OD + ZK'!I23)</f>
        <v>0</v>
      </c>
      <c r="D22" s="151">
        <f t="shared" si="1"/>
        <v>1</v>
      </c>
      <c r="E22" s="99">
        <f>COUNTA('Original-E2E'!G24,'E2E Combined AB + TCF'!G23)</f>
        <v>2</v>
      </c>
      <c r="F22" s="144">
        <f>COUNTA('Original-E2E'!H24,'E2E Combined AB + TCF'!H23)</f>
        <v>0</v>
      </c>
      <c r="G22" s="144">
        <f>COUNTA('Original-E2E'!I24,'E2E Combined AB + TCF'!I23)</f>
        <v>0</v>
      </c>
      <c r="H22" s="152">
        <f t="shared" si="2"/>
        <v>1</v>
      </c>
      <c r="I22" s="99">
        <f>COUNTA('E2E Combined OD + ZK'!G23,'E2E Combined AB + TCF'!G23)</f>
        <v>2</v>
      </c>
      <c r="J22" s="144">
        <f>COUNTA('E2E Combined OD + ZK'!H23,'E2E Combined AB + TCF'!H23)</f>
        <v>0</v>
      </c>
      <c r="K22" s="99">
        <f>COUNTA('E2E Combined OD + ZK'!I23,'E2E Combined AB + TCF'!I23)</f>
        <v>0</v>
      </c>
      <c r="L22" s="151">
        <f t="shared" si="3"/>
        <v>1</v>
      </c>
      <c r="M22" s="99">
        <f>COUNTA('Original-E2E'!G24,'E2E Combined OD + ZK'!G23,'E2E Combined AB + TCF'!G23)</f>
        <v>3</v>
      </c>
      <c r="N22" s="144">
        <f>COUNTA('Original-E2E'!H24,'E2E Combined OD + ZK'!H23,'E2E Combined AB + TCF'!H23)</f>
        <v>0</v>
      </c>
      <c r="O22" s="144">
        <f>COUNTA('Original-E2E'!I24,'E2E Combined OD + ZK'!I23,'E2E Combined AB + TCF'!I23)</f>
        <v>0</v>
      </c>
      <c r="P22" s="99">
        <f t="shared" si="4"/>
        <v>1</v>
      </c>
    </row>
    <row r="23">
      <c r="A23" s="99">
        <f>COUNTA('Original-E2E'!G25,'E2E Combined OD + ZK'!G24)</f>
        <v>0</v>
      </c>
      <c r="B23" s="144">
        <f>COUNTA('Original-E2E'!H25,'E2E Combined OD + ZK'!H24)</f>
        <v>2</v>
      </c>
      <c r="C23" s="144">
        <f>COUNTA('Original-E2E'!I25,'E2E Combined OD + ZK'!I24)</f>
        <v>0</v>
      </c>
      <c r="D23" s="151">
        <f t="shared" si="1"/>
        <v>1</v>
      </c>
      <c r="E23" s="99">
        <f>COUNTA('Original-E2E'!G25,'E2E Combined AB + TCF'!G24)</f>
        <v>0</v>
      </c>
      <c r="F23" s="144">
        <f>COUNTA('Original-E2E'!H25,'E2E Combined AB + TCF'!H24)</f>
        <v>2</v>
      </c>
      <c r="G23" s="144">
        <f>COUNTA('Original-E2E'!I25,'E2E Combined AB + TCF'!I24)</f>
        <v>0</v>
      </c>
      <c r="H23" s="152">
        <f t="shared" si="2"/>
        <v>1</v>
      </c>
      <c r="I23" s="99">
        <f>COUNTA('E2E Combined OD + ZK'!G24,'E2E Combined AB + TCF'!G24)</f>
        <v>0</v>
      </c>
      <c r="J23" s="144">
        <f>COUNTA('E2E Combined OD + ZK'!H24,'E2E Combined AB + TCF'!H24)</f>
        <v>2</v>
      </c>
      <c r="K23" s="99">
        <f>COUNTA('E2E Combined OD + ZK'!I24,'E2E Combined AB + TCF'!I24)</f>
        <v>0</v>
      </c>
      <c r="L23" s="151">
        <f t="shared" si="3"/>
        <v>1</v>
      </c>
      <c r="M23" s="99">
        <f>COUNTA('Original-E2E'!G25,'E2E Combined OD + ZK'!G24,'E2E Combined AB + TCF'!G24)</f>
        <v>0</v>
      </c>
      <c r="N23" s="144">
        <f>COUNTA('Original-E2E'!H25,'E2E Combined OD + ZK'!H24,'E2E Combined AB + TCF'!H24)</f>
        <v>3</v>
      </c>
      <c r="O23" s="144">
        <f>COUNTA('Original-E2E'!I25,'E2E Combined OD + ZK'!I24,'E2E Combined AB + TCF'!I24)</f>
        <v>0</v>
      </c>
      <c r="P23" s="99">
        <f t="shared" si="4"/>
        <v>1</v>
      </c>
    </row>
    <row r="24">
      <c r="A24" s="99">
        <f>COUNTA('Original-E2E'!G26,'E2E Combined OD + ZK'!G25)</f>
        <v>0</v>
      </c>
      <c r="B24" s="144">
        <f>COUNTA('Original-E2E'!H26,'E2E Combined OD + ZK'!H25)</f>
        <v>2</v>
      </c>
      <c r="C24" s="144">
        <f>COUNTA('Original-E2E'!I26,'E2E Combined OD + ZK'!I25)</f>
        <v>0</v>
      </c>
      <c r="D24" s="151">
        <f t="shared" si="1"/>
        <v>1</v>
      </c>
      <c r="E24" s="99">
        <f>COUNTA('Original-E2E'!G26,'E2E Combined AB + TCF'!G25)</f>
        <v>0</v>
      </c>
      <c r="F24" s="144">
        <f>COUNTA('Original-E2E'!H26,'E2E Combined AB + TCF'!H25)</f>
        <v>1</v>
      </c>
      <c r="G24" s="144">
        <f>COUNTA('Original-E2E'!I26,'E2E Combined AB + TCF'!I25)</f>
        <v>1</v>
      </c>
      <c r="H24" s="152">
        <f t="shared" si="2"/>
        <v>0</v>
      </c>
      <c r="I24" s="99">
        <f>COUNTA('E2E Combined OD + ZK'!G25,'E2E Combined AB + TCF'!G25)</f>
        <v>0</v>
      </c>
      <c r="J24" s="144">
        <f>COUNTA('E2E Combined OD + ZK'!H25,'E2E Combined AB + TCF'!H25)</f>
        <v>1</v>
      </c>
      <c r="K24" s="99">
        <f>COUNTA('E2E Combined OD + ZK'!I25,'E2E Combined AB + TCF'!I25)</f>
        <v>1</v>
      </c>
      <c r="L24" s="151">
        <f t="shared" si="3"/>
        <v>0</v>
      </c>
      <c r="M24" s="99">
        <f>COUNTA('Original-E2E'!G26,'E2E Combined OD + ZK'!G25,'E2E Combined AB + TCF'!G25)</f>
        <v>0</v>
      </c>
      <c r="N24" s="144">
        <f>COUNTA('Original-E2E'!H26,'E2E Combined OD + ZK'!H25,'E2E Combined AB + TCF'!H25)</f>
        <v>2</v>
      </c>
      <c r="O24" s="144">
        <f>COUNTA('Original-E2E'!I26,'E2E Combined OD + ZK'!I25,'E2E Combined AB + TCF'!I25)</f>
        <v>1</v>
      </c>
      <c r="P24" s="99">
        <f t="shared" si="4"/>
        <v>0.3333333333</v>
      </c>
    </row>
    <row r="25">
      <c r="A25" s="99">
        <f>COUNTA('Original-E2E'!G27,'E2E Combined OD + ZK'!G26)</f>
        <v>0</v>
      </c>
      <c r="B25" s="144">
        <f>COUNTA('Original-E2E'!H27,'E2E Combined OD + ZK'!H26)</f>
        <v>0</v>
      </c>
      <c r="C25" s="144">
        <f>COUNTA('Original-E2E'!I27,'E2E Combined OD + ZK'!I26)</f>
        <v>2</v>
      </c>
      <c r="D25" s="151">
        <f t="shared" si="1"/>
        <v>1</v>
      </c>
      <c r="E25" s="99">
        <f>COUNTA('Original-E2E'!G27,'E2E Combined AB + TCF'!G26)</f>
        <v>0</v>
      </c>
      <c r="F25" s="144">
        <f>COUNTA('Original-E2E'!H27,'E2E Combined AB + TCF'!H26)</f>
        <v>0</v>
      </c>
      <c r="G25" s="144">
        <f>COUNTA('Original-E2E'!I27,'E2E Combined AB + TCF'!I26)</f>
        <v>2</v>
      </c>
      <c r="H25" s="152">
        <f t="shared" si="2"/>
        <v>1</v>
      </c>
      <c r="I25" s="99">
        <f>COUNTA('E2E Combined OD + ZK'!G26,'E2E Combined AB + TCF'!G26)</f>
        <v>0</v>
      </c>
      <c r="J25" s="144">
        <f>COUNTA('E2E Combined OD + ZK'!H26,'E2E Combined AB + TCF'!H26)</f>
        <v>0</v>
      </c>
      <c r="K25" s="99">
        <f>COUNTA('E2E Combined OD + ZK'!I26,'E2E Combined AB + TCF'!I26)</f>
        <v>2</v>
      </c>
      <c r="L25" s="151">
        <f t="shared" si="3"/>
        <v>1</v>
      </c>
      <c r="M25" s="99">
        <f>COUNTA('Original-E2E'!G27,'E2E Combined OD + ZK'!G26,'E2E Combined AB + TCF'!G26)</f>
        <v>0</v>
      </c>
      <c r="N25" s="144">
        <f>COUNTA('Original-E2E'!H27,'E2E Combined OD + ZK'!H26,'E2E Combined AB + TCF'!H26)</f>
        <v>0</v>
      </c>
      <c r="O25" s="144">
        <f>COUNTA('Original-E2E'!I27,'E2E Combined OD + ZK'!I26,'E2E Combined AB + TCF'!I26)</f>
        <v>3</v>
      </c>
      <c r="P25" s="99">
        <f t="shared" si="4"/>
        <v>1</v>
      </c>
    </row>
    <row r="26">
      <c r="A26" s="99">
        <f>COUNTA('Original-E2E'!G28,'E2E Combined OD + ZK'!G27)</f>
        <v>0</v>
      </c>
      <c r="B26" s="144">
        <f>COUNTA('Original-E2E'!H28,'E2E Combined OD + ZK'!H27)</f>
        <v>2</v>
      </c>
      <c r="C26" s="144">
        <f>COUNTA('Original-E2E'!I28,'E2E Combined OD + ZK'!I27)</f>
        <v>0</v>
      </c>
      <c r="D26" s="151">
        <f t="shared" si="1"/>
        <v>1</v>
      </c>
      <c r="E26" s="99">
        <f>COUNTA('Original-E2E'!G28,'E2E Combined AB + TCF'!G27)</f>
        <v>0</v>
      </c>
      <c r="F26" s="144">
        <f>COUNTA('Original-E2E'!H28,'E2E Combined AB + TCF'!H27)</f>
        <v>2</v>
      </c>
      <c r="G26" s="144">
        <f>COUNTA('Original-E2E'!I28,'E2E Combined AB + TCF'!I27)</f>
        <v>0</v>
      </c>
      <c r="H26" s="152">
        <f t="shared" si="2"/>
        <v>1</v>
      </c>
      <c r="I26" s="99">
        <f>COUNTA('E2E Combined OD + ZK'!G27,'E2E Combined AB + TCF'!G27)</f>
        <v>0</v>
      </c>
      <c r="J26" s="144">
        <f>COUNTA('E2E Combined OD + ZK'!H27,'E2E Combined AB + TCF'!H27)</f>
        <v>2</v>
      </c>
      <c r="K26" s="99">
        <f>COUNTA('E2E Combined OD + ZK'!I27,'E2E Combined AB + TCF'!I27)</f>
        <v>0</v>
      </c>
      <c r="L26" s="151">
        <f t="shared" si="3"/>
        <v>1</v>
      </c>
      <c r="M26" s="99">
        <f>COUNTA('Original-E2E'!G28,'E2E Combined OD + ZK'!G27,'E2E Combined AB + TCF'!G27)</f>
        <v>0</v>
      </c>
      <c r="N26" s="144">
        <f>COUNTA('Original-E2E'!H28,'E2E Combined OD + ZK'!H27,'E2E Combined AB + TCF'!H27)</f>
        <v>3</v>
      </c>
      <c r="O26" s="144">
        <f>COUNTA('Original-E2E'!I28,'E2E Combined OD + ZK'!I27,'E2E Combined AB + TCF'!I27)</f>
        <v>0</v>
      </c>
      <c r="P26" s="99">
        <f t="shared" si="4"/>
        <v>1</v>
      </c>
    </row>
    <row r="27">
      <c r="A27" s="99">
        <f>COUNTA('Original-E2E'!G29,'E2E Combined OD + ZK'!G28)</f>
        <v>0</v>
      </c>
      <c r="B27" s="144">
        <f>COUNTA('Original-E2E'!H29,'E2E Combined OD + ZK'!H28)</f>
        <v>2</v>
      </c>
      <c r="C27" s="144">
        <f>COUNTA('Original-E2E'!I29,'E2E Combined OD + ZK'!I28)</f>
        <v>0</v>
      </c>
      <c r="D27" s="151">
        <f t="shared" si="1"/>
        <v>1</v>
      </c>
      <c r="E27" s="99">
        <f>COUNTA('Original-E2E'!G29,'E2E Combined AB + TCF'!G28)</f>
        <v>0</v>
      </c>
      <c r="F27" s="144">
        <f>COUNTA('Original-E2E'!H29,'E2E Combined AB + TCF'!H28)</f>
        <v>2</v>
      </c>
      <c r="G27" s="144">
        <f>COUNTA('Original-E2E'!I29,'E2E Combined AB + TCF'!I28)</f>
        <v>0</v>
      </c>
      <c r="H27" s="152">
        <f t="shared" si="2"/>
        <v>1</v>
      </c>
      <c r="I27" s="99">
        <f>COUNTA('E2E Combined OD + ZK'!G28,'E2E Combined AB + TCF'!G28)</f>
        <v>0</v>
      </c>
      <c r="J27" s="144">
        <f>COUNTA('E2E Combined OD + ZK'!H28,'E2E Combined AB + TCF'!H28)</f>
        <v>2</v>
      </c>
      <c r="K27" s="99">
        <f>COUNTA('E2E Combined OD + ZK'!I28,'E2E Combined AB + TCF'!I28)</f>
        <v>0</v>
      </c>
      <c r="L27" s="151">
        <f t="shared" si="3"/>
        <v>1</v>
      </c>
      <c r="M27" s="99">
        <f>COUNTA('Original-E2E'!G29,'E2E Combined OD + ZK'!G28,'E2E Combined AB + TCF'!G28)</f>
        <v>0</v>
      </c>
      <c r="N27" s="144">
        <f>COUNTA('Original-E2E'!H29,'E2E Combined OD + ZK'!H28,'E2E Combined AB + TCF'!H28)</f>
        <v>3</v>
      </c>
      <c r="O27" s="144">
        <f>COUNTA('Original-E2E'!I29,'E2E Combined OD + ZK'!I28,'E2E Combined AB + TCF'!I28)</f>
        <v>0</v>
      </c>
      <c r="P27" s="99">
        <f t="shared" si="4"/>
        <v>1</v>
      </c>
    </row>
    <row r="28">
      <c r="A28" s="99">
        <f>COUNTA('Original-E2E'!G30,'E2E Combined OD + ZK'!G29)</f>
        <v>0</v>
      </c>
      <c r="B28" s="144">
        <f>COUNTA('Original-E2E'!H30,'E2E Combined OD + ZK'!H29)</f>
        <v>1</v>
      </c>
      <c r="C28" s="144">
        <f>COUNTA('Original-E2E'!I30,'E2E Combined OD + ZK'!I29)</f>
        <v>1</v>
      </c>
      <c r="D28" s="151">
        <f t="shared" si="1"/>
        <v>0</v>
      </c>
      <c r="E28" s="99">
        <f>COUNTA('Original-E2E'!G30,'E2E Combined AB + TCF'!G29)</f>
        <v>0</v>
      </c>
      <c r="F28" s="144">
        <f>COUNTA('Original-E2E'!H30,'E2E Combined AB + TCF'!H29)</f>
        <v>2</v>
      </c>
      <c r="G28" s="144">
        <f>COUNTA('Original-E2E'!I30,'E2E Combined AB + TCF'!I29)</f>
        <v>0</v>
      </c>
      <c r="H28" s="152">
        <f t="shared" si="2"/>
        <v>1</v>
      </c>
      <c r="I28" s="99">
        <f>COUNTA('E2E Combined OD + ZK'!G29,'E2E Combined AB + TCF'!G29)</f>
        <v>0</v>
      </c>
      <c r="J28" s="144">
        <f>COUNTA('E2E Combined OD + ZK'!H29,'E2E Combined AB + TCF'!H29)</f>
        <v>1</v>
      </c>
      <c r="K28" s="99">
        <f>COUNTA('E2E Combined OD + ZK'!I29,'E2E Combined AB + TCF'!I29)</f>
        <v>1</v>
      </c>
      <c r="L28" s="151">
        <f t="shared" si="3"/>
        <v>0</v>
      </c>
      <c r="M28" s="99">
        <f>COUNTA('Original-E2E'!G30,'E2E Combined OD + ZK'!G29,'E2E Combined AB + TCF'!G29)</f>
        <v>0</v>
      </c>
      <c r="N28" s="144">
        <f>COUNTA('Original-E2E'!H30,'E2E Combined OD + ZK'!H29,'E2E Combined AB + TCF'!H29)</f>
        <v>2</v>
      </c>
      <c r="O28" s="144">
        <f>COUNTA('Original-E2E'!I30,'E2E Combined OD + ZK'!I29,'E2E Combined AB + TCF'!I29)</f>
        <v>1</v>
      </c>
      <c r="P28" s="99">
        <f t="shared" si="4"/>
        <v>0.3333333333</v>
      </c>
    </row>
    <row r="29">
      <c r="A29" s="99">
        <f>COUNTA('Original-E2E'!G31,'E2E Combined OD + ZK'!G30)</f>
        <v>2</v>
      </c>
      <c r="B29" s="144">
        <f>COUNTA('Original-E2E'!H31,'E2E Combined OD + ZK'!H30)</f>
        <v>0</v>
      </c>
      <c r="C29" s="144">
        <f>COUNTA('Original-E2E'!I31,'E2E Combined OD + ZK'!I30)</f>
        <v>0</v>
      </c>
      <c r="D29" s="151">
        <f t="shared" si="1"/>
        <v>1</v>
      </c>
      <c r="E29" s="99">
        <f>COUNTA('Original-E2E'!G31,'E2E Combined AB + TCF'!G30)</f>
        <v>2</v>
      </c>
      <c r="F29" s="144">
        <f>COUNTA('Original-E2E'!H31,'E2E Combined AB + TCF'!H30)</f>
        <v>0</v>
      </c>
      <c r="G29" s="144">
        <f>COUNTA('Original-E2E'!I31,'E2E Combined AB + TCF'!I30)</f>
        <v>0</v>
      </c>
      <c r="H29" s="152">
        <f t="shared" si="2"/>
        <v>1</v>
      </c>
      <c r="I29" s="99">
        <f>COUNTA('E2E Combined OD + ZK'!G30,'E2E Combined AB + TCF'!G30)</f>
        <v>2</v>
      </c>
      <c r="J29" s="144">
        <f>COUNTA('E2E Combined OD + ZK'!H30,'E2E Combined AB + TCF'!H30)</f>
        <v>0</v>
      </c>
      <c r="K29" s="99">
        <f>COUNTA('E2E Combined OD + ZK'!I30,'E2E Combined AB + TCF'!I30)</f>
        <v>0</v>
      </c>
      <c r="L29" s="151">
        <f t="shared" si="3"/>
        <v>1</v>
      </c>
      <c r="M29" s="99">
        <f>COUNTA('Original-E2E'!G31,'E2E Combined OD + ZK'!G30,'E2E Combined AB + TCF'!G30)</f>
        <v>3</v>
      </c>
      <c r="N29" s="144">
        <f>COUNTA('Original-E2E'!H31,'E2E Combined OD + ZK'!H30,'E2E Combined AB + TCF'!H30)</f>
        <v>0</v>
      </c>
      <c r="O29" s="144">
        <f>COUNTA('Original-E2E'!I31,'E2E Combined OD + ZK'!I30,'E2E Combined AB + TCF'!I30)</f>
        <v>0</v>
      </c>
      <c r="P29" s="99">
        <f t="shared" si="4"/>
        <v>1</v>
      </c>
    </row>
    <row r="30">
      <c r="A30" s="99">
        <f>COUNTA('Original-E2E'!G32,'E2E Combined OD + ZK'!G31)</f>
        <v>0</v>
      </c>
      <c r="B30" s="144">
        <f>COUNTA('Original-E2E'!H32,'E2E Combined OD + ZK'!H31)</f>
        <v>2</v>
      </c>
      <c r="C30" s="144">
        <f>COUNTA('Original-E2E'!I32,'E2E Combined OD + ZK'!I31)</f>
        <v>0</v>
      </c>
      <c r="D30" s="151">
        <f t="shared" si="1"/>
        <v>1</v>
      </c>
      <c r="E30" s="99">
        <f>COUNTA('Original-E2E'!G32,'E2E Combined AB + TCF'!G31)</f>
        <v>0</v>
      </c>
      <c r="F30" s="144">
        <f>COUNTA('Original-E2E'!H32,'E2E Combined AB + TCF'!H31)</f>
        <v>2</v>
      </c>
      <c r="G30" s="144">
        <f>COUNTA('Original-E2E'!I32,'E2E Combined AB + TCF'!I31)</f>
        <v>0</v>
      </c>
      <c r="H30" s="152">
        <f t="shared" si="2"/>
        <v>1</v>
      </c>
      <c r="I30" s="99">
        <f>COUNTA('E2E Combined OD + ZK'!G31,'E2E Combined AB + TCF'!G31)</f>
        <v>0</v>
      </c>
      <c r="J30" s="144">
        <f>COUNTA('E2E Combined OD + ZK'!H31,'E2E Combined AB + TCF'!H31)</f>
        <v>2</v>
      </c>
      <c r="K30" s="99">
        <f>COUNTA('E2E Combined OD + ZK'!I31,'E2E Combined AB + TCF'!I31)</f>
        <v>0</v>
      </c>
      <c r="L30" s="151">
        <f t="shared" si="3"/>
        <v>1</v>
      </c>
      <c r="M30" s="99">
        <f>COUNTA('Original-E2E'!G32,'E2E Combined OD + ZK'!G31,'E2E Combined AB + TCF'!G31)</f>
        <v>0</v>
      </c>
      <c r="N30" s="144">
        <f>COUNTA('Original-E2E'!H32,'E2E Combined OD + ZK'!H31,'E2E Combined AB + TCF'!H31)</f>
        <v>3</v>
      </c>
      <c r="O30" s="144">
        <f>COUNTA('Original-E2E'!I32,'E2E Combined OD + ZK'!I31,'E2E Combined AB + TCF'!I31)</f>
        <v>0</v>
      </c>
      <c r="P30" s="99">
        <f t="shared" si="4"/>
        <v>1</v>
      </c>
    </row>
    <row r="31">
      <c r="A31" s="99">
        <f>COUNTA('Original-E2E'!G33,'E2E Combined OD + ZK'!G32)</f>
        <v>2</v>
      </c>
      <c r="B31" s="144">
        <f>COUNTA('Original-E2E'!H33,'E2E Combined OD + ZK'!H32)</f>
        <v>0</v>
      </c>
      <c r="C31" s="144">
        <f>COUNTA('Original-E2E'!I33,'E2E Combined OD + ZK'!I32)</f>
        <v>0</v>
      </c>
      <c r="D31" s="151">
        <f t="shared" si="1"/>
        <v>1</v>
      </c>
      <c r="E31" s="99">
        <f>COUNTA('Original-E2E'!G33,'E2E Combined AB + TCF'!G32)</f>
        <v>2</v>
      </c>
      <c r="F31" s="144">
        <f>COUNTA('Original-E2E'!H33,'E2E Combined AB + TCF'!H32)</f>
        <v>0</v>
      </c>
      <c r="G31" s="144">
        <f>COUNTA('Original-E2E'!I33,'E2E Combined AB + TCF'!I32)</f>
        <v>0</v>
      </c>
      <c r="H31" s="152">
        <f t="shared" si="2"/>
        <v>1</v>
      </c>
      <c r="I31" s="99">
        <f>COUNTA('E2E Combined OD + ZK'!G32,'E2E Combined AB + TCF'!G32)</f>
        <v>2</v>
      </c>
      <c r="J31" s="144">
        <f>COUNTA('E2E Combined OD + ZK'!H32,'E2E Combined AB + TCF'!H32)</f>
        <v>0</v>
      </c>
      <c r="K31" s="99">
        <f>COUNTA('E2E Combined OD + ZK'!I32,'E2E Combined AB + TCF'!I32)</f>
        <v>0</v>
      </c>
      <c r="L31" s="151">
        <f t="shared" si="3"/>
        <v>1</v>
      </c>
      <c r="M31" s="99">
        <f>COUNTA('Original-E2E'!G33,'E2E Combined OD + ZK'!G32,'E2E Combined AB + TCF'!G32)</f>
        <v>3</v>
      </c>
      <c r="N31" s="144">
        <f>COUNTA('Original-E2E'!H33,'E2E Combined OD + ZK'!H32,'E2E Combined AB + TCF'!H32)</f>
        <v>0</v>
      </c>
      <c r="O31" s="144">
        <f>COUNTA('Original-E2E'!I33,'E2E Combined OD + ZK'!I32,'E2E Combined AB + TCF'!I32)</f>
        <v>0</v>
      </c>
      <c r="P31" s="99">
        <f t="shared" si="4"/>
        <v>1</v>
      </c>
    </row>
    <row r="32">
      <c r="A32" s="99">
        <f>COUNTA('Original-E2E'!G34,'E2E Combined OD + ZK'!G33)</f>
        <v>0</v>
      </c>
      <c r="B32" s="144">
        <f>COUNTA('Original-E2E'!H34,'E2E Combined OD + ZK'!H33)</f>
        <v>0</v>
      </c>
      <c r="C32" s="144">
        <f>COUNTA('Original-E2E'!I34,'E2E Combined OD + ZK'!I33)</f>
        <v>2</v>
      </c>
      <c r="D32" s="151">
        <f t="shared" si="1"/>
        <v>1</v>
      </c>
      <c r="E32" s="99">
        <f>COUNTA('Original-E2E'!G34,'E2E Combined AB + TCF'!G33)</f>
        <v>0</v>
      </c>
      <c r="F32" s="144">
        <f>COUNTA('Original-E2E'!H34,'E2E Combined AB + TCF'!H33)</f>
        <v>0</v>
      </c>
      <c r="G32" s="144">
        <f>COUNTA('Original-E2E'!I34,'E2E Combined AB + TCF'!I33)</f>
        <v>2</v>
      </c>
      <c r="H32" s="152">
        <f t="shared" si="2"/>
        <v>1</v>
      </c>
      <c r="I32" s="99">
        <f>COUNTA('E2E Combined OD + ZK'!G33,'E2E Combined AB + TCF'!G33)</f>
        <v>0</v>
      </c>
      <c r="J32" s="144">
        <f>COUNTA('E2E Combined OD + ZK'!H33,'E2E Combined AB + TCF'!H33)</f>
        <v>0</v>
      </c>
      <c r="K32" s="99">
        <f>COUNTA('E2E Combined OD + ZK'!I33,'E2E Combined AB + TCF'!I33)</f>
        <v>2</v>
      </c>
      <c r="L32" s="151">
        <f t="shared" si="3"/>
        <v>1</v>
      </c>
      <c r="M32" s="99">
        <f>COUNTA('Original-E2E'!G34,'E2E Combined OD + ZK'!G33,'E2E Combined AB + TCF'!G33)</f>
        <v>0</v>
      </c>
      <c r="N32" s="144">
        <f>COUNTA('Original-E2E'!H34,'E2E Combined OD + ZK'!H33,'E2E Combined AB + TCF'!H33)</f>
        <v>0</v>
      </c>
      <c r="O32" s="144">
        <f>COUNTA('Original-E2E'!I34,'E2E Combined OD + ZK'!I33,'E2E Combined AB + TCF'!I33)</f>
        <v>3</v>
      </c>
      <c r="P32" s="99">
        <f t="shared" si="4"/>
        <v>1</v>
      </c>
    </row>
    <row r="33">
      <c r="A33" s="99">
        <f>COUNTA('Original-E2E'!G35,'E2E Combined OD + ZK'!G34)</f>
        <v>2</v>
      </c>
      <c r="B33" s="144">
        <f>COUNTA('Original-E2E'!H35,'E2E Combined OD + ZK'!H34)</f>
        <v>0</v>
      </c>
      <c r="C33" s="144">
        <f>COUNTA('Original-E2E'!I35,'E2E Combined OD + ZK'!I34)</f>
        <v>0</v>
      </c>
      <c r="D33" s="151">
        <f t="shared" si="1"/>
        <v>1</v>
      </c>
      <c r="E33" s="99">
        <f>COUNTA('Original-E2E'!G35,'E2E Combined AB + TCF'!G34)</f>
        <v>2</v>
      </c>
      <c r="F33" s="144">
        <f>COUNTA('Original-E2E'!H35,'E2E Combined AB + TCF'!H34)</f>
        <v>0</v>
      </c>
      <c r="G33" s="144">
        <f>COUNTA('Original-E2E'!I35,'E2E Combined AB + TCF'!I34)</f>
        <v>0</v>
      </c>
      <c r="H33" s="152">
        <f t="shared" si="2"/>
        <v>1</v>
      </c>
      <c r="I33" s="99">
        <f>COUNTA('E2E Combined OD + ZK'!G34,'E2E Combined AB + TCF'!G34)</f>
        <v>2</v>
      </c>
      <c r="J33" s="144">
        <f>COUNTA('E2E Combined OD + ZK'!H34,'E2E Combined AB + TCF'!H34)</f>
        <v>0</v>
      </c>
      <c r="K33" s="99">
        <f>COUNTA('E2E Combined OD + ZK'!I34,'E2E Combined AB + TCF'!I34)</f>
        <v>0</v>
      </c>
      <c r="L33" s="151">
        <f t="shared" si="3"/>
        <v>1</v>
      </c>
      <c r="M33" s="99">
        <f>COUNTA('Original-E2E'!G35,'E2E Combined OD + ZK'!G34,'E2E Combined AB + TCF'!G34)</f>
        <v>3</v>
      </c>
      <c r="N33" s="144">
        <f>COUNTA('Original-E2E'!H35,'E2E Combined OD + ZK'!H34,'E2E Combined AB + TCF'!H34)</f>
        <v>0</v>
      </c>
      <c r="O33" s="144">
        <f>COUNTA('Original-E2E'!I35,'E2E Combined OD + ZK'!I34,'E2E Combined AB + TCF'!I34)</f>
        <v>0</v>
      </c>
      <c r="P33" s="99">
        <f t="shared" si="4"/>
        <v>1</v>
      </c>
    </row>
    <row r="34">
      <c r="A34" s="99">
        <f>COUNTA('Original-E2E'!G36,'E2E Combined OD + ZK'!G35)</f>
        <v>2</v>
      </c>
      <c r="B34" s="144">
        <f>COUNTA('Original-E2E'!H36,'E2E Combined OD + ZK'!H35)</f>
        <v>0</v>
      </c>
      <c r="C34" s="144">
        <f>COUNTA('Original-E2E'!I36,'E2E Combined OD + ZK'!I35)</f>
        <v>0</v>
      </c>
      <c r="D34" s="151">
        <f t="shared" si="1"/>
        <v>1</v>
      </c>
      <c r="E34" s="99">
        <f>COUNTA('Original-E2E'!G36,'E2E Combined AB + TCF'!G35)</f>
        <v>2</v>
      </c>
      <c r="F34" s="144">
        <f>COUNTA('Original-E2E'!H36,'E2E Combined AB + TCF'!H35)</f>
        <v>0</v>
      </c>
      <c r="G34" s="144">
        <f>COUNTA('Original-E2E'!I36,'E2E Combined AB + TCF'!I35)</f>
        <v>0</v>
      </c>
      <c r="H34" s="152">
        <f t="shared" si="2"/>
        <v>1</v>
      </c>
      <c r="I34" s="99">
        <f>COUNTA('E2E Combined OD + ZK'!G35,'E2E Combined AB + TCF'!G35)</f>
        <v>2</v>
      </c>
      <c r="J34" s="144">
        <f>COUNTA('E2E Combined OD + ZK'!H35,'E2E Combined AB + TCF'!H35)</f>
        <v>0</v>
      </c>
      <c r="K34" s="99">
        <f>COUNTA('E2E Combined OD + ZK'!I35,'E2E Combined AB + TCF'!I35)</f>
        <v>0</v>
      </c>
      <c r="L34" s="151">
        <f t="shared" si="3"/>
        <v>1</v>
      </c>
      <c r="M34" s="99">
        <f>COUNTA('Original-E2E'!G36,'E2E Combined OD + ZK'!G35,'E2E Combined AB + TCF'!G35)</f>
        <v>3</v>
      </c>
      <c r="N34" s="144">
        <f>COUNTA('Original-E2E'!H36,'E2E Combined OD + ZK'!H35,'E2E Combined AB + TCF'!H35)</f>
        <v>0</v>
      </c>
      <c r="O34" s="144">
        <f>COUNTA('Original-E2E'!I36,'E2E Combined OD + ZK'!I35,'E2E Combined AB + TCF'!I35)</f>
        <v>0</v>
      </c>
      <c r="P34" s="99">
        <f t="shared" si="4"/>
        <v>1</v>
      </c>
    </row>
    <row r="35">
      <c r="A35" s="99">
        <f>COUNTA('Original-E2E'!G37,'E2E Combined OD + ZK'!G36)</f>
        <v>2</v>
      </c>
      <c r="B35" s="144">
        <f>COUNTA('Original-E2E'!H37,'E2E Combined OD + ZK'!H36)</f>
        <v>0</v>
      </c>
      <c r="C35" s="144">
        <f>COUNTA('Original-E2E'!I37,'E2E Combined OD + ZK'!I36)</f>
        <v>0</v>
      </c>
      <c r="D35" s="151">
        <f t="shared" si="1"/>
        <v>1</v>
      </c>
      <c r="E35" s="99">
        <f>COUNTA('Original-E2E'!G37,'E2E Combined AB + TCF'!G36)</f>
        <v>2</v>
      </c>
      <c r="F35" s="144">
        <f>COUNTA('Original-E2E'!H37,'E2E Combined AB + TCF'!H36)</f>
        <v>0</v>
      </c>
      <c r="G35" s="144">
        <f>COUNTA('Original-E2E'!I37,'E2E Combined AB + TCF'!I36)</f>
        <v>0</v>
      </c>
      <c r="H35" s="152">
        <f t="shared" si="2"/>
        <v>1</v>
      </c>
      <c r="I35" s="99">
        <f>COUNTA('E2E Combined OD + ZK'!G36,'E2E Combined AB + TCF'!G36)</f>
        <v>2</v>
      </c>
      <c r="J35" s="144">
        <f>COUNTA('E2E Combined OD + ZK'!H36,'E2E Combined AB + TCF'!H36)</f>
        <v>0</v>
      </c>
      <c r="K35" s="99">
        <f>COUNTA('E2E Combined OD + ZK'!I36,'E2E Combined AB + TCF'!I36)</f>
        <v>0</v>
      </c>
      <c r="L35" s="151">
        <f t="shared" si="3"/>
        <v>1</v>
      </c>
      <c r="M35" s="99">
        <f>COUNTA('Original-E2E'!G37,'E2E Combined OD + ZK'!G36,'E2E Combined AB + TCF'!G36)</f>
        <v>3</v>
      </c>
      <c r="N35" s="144">
        <f>COUNTA('Original-E2E'!H37,'E2E Combined OD + ZK'!H36,'E2E Combined AB + TCF'!H36)</f>
        <v>0</v>
      </c>
      <c r="O35" s="144">
        <f>COUNTA('Original-E2E'!I37,'E2E Combined OD + ZK'!I36,'E2E Combined AB + TCF'!I36)</f>
        <v>0</v>
      </c>
      <c r="P35" s="99">
        <f t="shared" si="4"/>
        <v>1</v>
      </c>
    </row>
    <row r="36">
      <c r="A36" s="99">
        <f>COUNTA('Original-E2E'!G38,'E2E Combined OD + ZK'!G37)</f>
        <v>0</v>
      </c>
      <c r="B36" s="144">
        <f>COUNTA('Original-E2E'!H38,'E2E Combined OD + ZK'!H37)</f>
        <v>2</v>
      </c>
      <c r="C36" s="144">
        <f>COUNTA('Original-E2E'!I38,'E2E Combined OD + ZK'!I37)</f>
        <v>0</v>
      </c>
      <c r="D36" s="151">
        <f t="shared" si="1"/>
        <v>1</v>
      </c>
      <c r="E36" s="99">
        <f>COUNTA('Original-E2E'!G38,'E2E Combined AB + TCF'!G37)</f>
        <v>0</v>
      </c>
      <c r="F36" s="144">
        <f>COUNTA('Original-E2E'!H38,'E2E Combined AB + TCF'!H37)</f>
        <v>2</v>
      </c>
      <c r="G36" s="144">
        <f>COUNTA('Original-E2E'!I38,'E2E Combined AB + TCF'!I37)</f>
        <v>0</v>
      </c>
      <c r="H36" s="152">
        <f t="shared" si="2"/>
        <v>1</v>
      </c>
      <c r="I36" s="99">
        <f>COUNTA('E2E Combined OD + ZK'!G37,'E2E Combined AB + TCF'!G37)</f>
        <v>0</v>
      </c>
      <c r="J36" s="144">
        <f>COUNTA('E2E Combined OD + ZK'!H37,'E2E Combined AB + TCF'!H37)</f>
        <v>2</v>
      </c>
      <c r="K36" s="99">
        <f>COUNTA('E2E Combined OD + ZK'!I37,'E2E Combined AB + TCF'!I37)</f>
        <v>0</v>
      </c>
      <c r="L36" s="151">
        <f t="shared" si="3"/>
        <v>1</v>
      </c>
      <c r="M36" s="99">
        <f>COUNTA('Original-E2E'!G38,'E2E Combined OD + ZK'!G37,'E2E Combined AB + TCF'!G37)</f>
        <v>0</v>
      </c>
      <c r="N36" s="144">
        <f>COUNTA('Original-E2E'!H38,'E2E Combined OD + ZK'!H37,'E2E Combined AB + TCF'!H37)</f>
        <v>3</v>
      </c>
      <c r="O36" s="144">
        <f>COUNTA('Original-E2E'!I38,'E2E Combined OD + ZK'!I37,'E2E Combined AB + TCF'!I37)</f>
        <v>0</v>
      </c>
      <c r="P36" s="99">
        <f t="shared" si="4"/>
        <v>1</v>
      </c>
    </row>
    <row r="37">
      <c r="A37" s="99">
        <f>COUNTA('Original-E2E'!G39,'E2E Combined OD + ZK'!G38)</f>
        <v>1</v>
      </c>
      <c r="B37" s="144">
        <f>COUNTA('Original-E2E'!H39,'E2E Combined OD + ZK'!H38)</f>
        <v>0</v>
      </c>
      <c r="C37" s="144">
        <f>COUNTA('Original-E2E'!I39,'E2E Combined OD + ZK'!I38)</f>
        <v>1</v>
      </c>
      <c r="D37" s="151">
        <f t="shared" si="1"/>
        <v>0</v>
      </c>
      <c r="E37" s="99">
        <f>COUNTA('Original-E2E'!G39,'E2E Combined AB + TCF'!G38)</f>
        <v>0</v>
      </c>
      <c r="F37" s="144">
        <f>COUNTA('Original-E2E'!H39,'E2E Combined AB + TCF'!H38)</f>
        <v>0</v>
      </c>
      <c r="G37" s="144">
        <f>COUNTA('Original-E2E'!I39,'E2E Combined AB + TCF'!I38)</f>
        <v>2</v>
      </c>
      <c r="H37" s="152">
        <f t="shared" si="2"/>
        <v>1</v>
      </c>
      <c r="I37" s="99">
        <f>COUNTA('E2E Combined OD + ZK'!G38,'E2E Combined AB + TCF'!G38)</f>
        <v>1</v>
      </c>
      <c r="J37" s="144">
        <f>COUNTA('E2E Combined OD + ZK'!H38,'E2E Combined AB + TCF'!H38)</f>
        <v>0</v>
      </c>
      <c r="K37" s="99">
        <f>COUNTA('E2E Combined OD + ZK'!I38,'E2E Combined AB + TCF'!I38)</f>
        <v>1</v>
      </c>
      <c r="L37" s="151">
        <f t="shared" si="3"/>
        <v>0</v>
      </c>
      <c r="M37" s="99">
        <f>COUNTA('Original-E2E'!G39,'E2E Combined OD + ZK'!G38,'E2E Combined AB + TCF'!G38)</f>
        <v>1</v>
      </c>
      <c r="N37" s="144">
        <f>COUNTA('Original-E2E'!H39,'E2E Combined OD + ZK'!H38,'E2E Combined AB + TCF'!H38)</f>
        <v>0</v>
      </c>
      <c r="O37" s="144">
        <f>COUNTA('Original-E2E'!I39,'E2E Combined OD + ZK'!I38,'E2E Combined AB + TCF'!I38)</f>
        <v>2</v>
      </c>
      <c r="P37" s="99">
        <f t="shared" si="4"/>
        <v>0.3333333333</v>
      </c>
    </row>
    <row r="38">
      <c r="A38" s="99">
        <f>COUNTA('Original-E2E'!G40,'E2E Combined OD + ZK'!G39)</f>
        <v>0</v>
      </c>
      <c r="B38" s="144">
        <f>COUNTA('Original-E2E'!H40,'E2E Combined OD + ZK'!H39)</f>
        <v>1</v>
      </c>
      <c r="C38" s="144">
        <f>COUNTA('Original-E2E'!I40,'E2E Combined OD + ZK'!I39)</f>
        <v>1</v>
      </c>
      <c r="D38" s="151">
        <f t="shared" si="1"/>
        <v>0</v>
      </c>
      <c r="E38" s="99">
        <f>COUNTA('Original-E2E'!G40,'E2E Combined AB + TCF'!G39)</f>
        <v>0</v>
      </c>
      <c r="F38" s="144">
        <f>COUNTA('Original-E2E'!H40,'E2E Combined AB + TCF'!H39)</f>
        <v>1</v>
      </c>
      <c r="G38" s="144">
        <f>COUNTA('Original-E2E'!I40,'E2E Combined AB + TCF'!I39)</f>
        <v>1</v>
      </c>
      <c r="H38" s="152">
        <f t="shared" si="2"/>
        <v>0</v>
      </c>
      <c r="I38" s="99">
        <f>COUNTA('E2E Combined OD + ZK'!G39,'E2E Combined AB + TCF'!G39)</f>
        <v>0</v>
      </c>
      <c r="J38" s="144">
        <f>COUNTA('E2E Combined OD + ZK'!H39,'E2E Combined AB + TCF'!H39)</f>
        <v>0</v>
      </c>
      <c r="K38" s="99">
        <f>COUNTA('E2E Combined OD + ZK'!I39,'E2E Combined AB + TCF'!I39)</f>
        <v>2</v>
      </c>
      <c r="L38" s="151">
        <f t="shared" si="3"/>
        <v>1</v>
      </c>
      <c r="M38" s="99">
        <f>COUNTA('Original-E2E'!G40,'E2E Combined OD + ZK'!G39,'E2E Combined AB + TCF'!G39)</f>
        <v>0</v>
      </c>
      <c r="N38" s="144">
        <f>COUNTA('Original-E2E'!H40,'E2E Combined OD + ZK'!H39,'E2E Combined AB + TCF'!H39)</f>
        <v>1</v>
      </c>
      <c r="O38" s="144">
        <f>COUNTA('Original-E2E'!I40,'E2E Combined OD + ZK'!I39,'E2E Combined AB + TCF'!I39)</f>
        <v>2</v>
      </c>
      <c r="P38" s="99">
        <f t="shared" si="4"/>
        <v>0.3333333333</v>
      </c>
    </row>
    <row r="39">
      <c r="A39" s="99">
        <f>COUNTA('Original-E2E'!G41,'E2E Combined OD + ZK'!G40)</f>
        <v>1</v>
      </c>
      <c r="B39" s="144">
        <f>COUNTA('Original-E2E'!H41,'E2E Combined OD + ZK'!H40)</f>
        <v>0</v>
      </c>
      <c r="C39" s="144">
        <f>COUNTA('Original-E2E'!I41,'E2E Combined OD + ZK'!I40)</f>
        <v>1</v>
      </c>
      <c r="D39" s="151">
        <f t="shared" si="1"/>
        <v>0</v>
      </c>
      <c r="E39" s="99">
        <f>COUNTA('Original-E2E'!G41,'E2E Combined AB + TCF'!G40)</f>
        <v>0</v>
      </c>
      <c r="F39" s="144">
        <f>COUNTA('Original-E2E'!H41,'E2E Combined AB + TCF'!H40)</f>
        <v>1</v>
      </c>
      <c r="G39" s="144">
        <f>COUNTA('Original-E2E'!I41,'E2E Combined AB + TCF'!I40)</f>
        <v>1</v>
      </c>
      <c r="H39" s="152">
        <f t="shared" si="2"/>
        <v>0</v>
      </c>
      <c r="I39" s="99">
        <f>COUNTA('E2E Combined OD + ZK'!G40,'E2E Combined AB + TCF'!G40)</f>
        <v>1</v>
      </c>
      <c r="J39" s="144">
        <f>COUNTA('E2E Combined OD + ZK'!H40,'E2E Combined AB + TCF'!H40)</f>
        <v>1</v>
      </c>
      <c r="K39" s="99">
        <f>COUNTA('E2E Combined OD + ZK'!I40,'E2E Combined AB + TCF'!I40)</f>
        <v>0</v>
      </c>
      <c r="L39" s="151">
        <f t="shared" si="3"/>
        <v>0</v>
      </c>
      <c r="M39" s="99">
        <f>COUNTA('Original-E2E'!G41,'E2E Combined OD + ZK'!G40,'E2E Combined AB + TCF'!G40)</f>
        <v>1</v>
      </c>
      <c r="N39" s="144">
        <f>COUNTA('Original-E2E'!H41,'E2E Combined OD + ZK'!H40,'E2E Combined AB + TCF'!H40)</f>
        <v>1</v>
      </c>
      <c r="O39" s="144">
        <f>COUNTA('Original-E2E'!I41,'E2E Combined OD + ZK'!I40,'E2E Combined AB + TCF'!I40)</f>
        <v>1</v>
      </c>
      <c r="P39" s="99">
        <f t="shared" si="4"/>
        <v>0</v>
      </c>
    </row>
    <row r="40">
      <c r="A40" s="99">
        <f>COUNTA('Original-E2E'!G42,'E2E Combined OD + ZK'!G41)</f>
        <v>2</v>
      </c>
      <c r="B40" s="144">
        <f>COUNTA('Original-E2E'!H42,'E2E Combined OD + ZK'!H41)</f>
        <v>0</v>
      </c>
      <c r="C40" s="144">
        <f>COUNTA('Original-E2E'!I42,'E2E Combined OD + ZK'!I41)</f>
        <v>0</v>
      </c>
      <c r="D40" s="151">
        <f t="shared" si="1"/>
        <v>1</v>
      </c>
      <c r="E40" s="99">
        <f>COUNTA('Original-E2E'!G42,'E2E Combined AB + TCF'!G41)</f>
        <v>2</v>
      </c>
      <c r="F40" s="144">
        <f>COUNTA('Original-E2E'!H42,'E2E Combined AB + TCF'!H41)</f>
        <v>0</v>
      </c>
      <c r="G40" s="144">
        <f>COUNTA('Original-E2E'!I42,'E2E Combined AB + TCF'!I41)</f>
        <v>0</v>
      </c>
      <c r="H40" s="152">
        <f t="shared" si="2"/>
        <v>1</v>
      </c>
      <c r="I40" s="99">
        <f>COUNTA('E2E Combined OD + ZK'!G41,'E2E Combined AB + TCF'!G41)</f>
        <v>2</v>
      </c>
      <c r="J40" s="144">
        <f>COUNTA('E2E Combined OD + ZK'!H41,'E2E Combined AB + TCF'!H41)</f>
        <v>0</v>
      </c>
      <c r="K40" s="99">
        <f>COUNTA('E2E Combined OD + ZK'!I41,'E2E Combined AB + TCF'!I41)</f>
        <v>0</v>
      </c>
      <c r="L40" s="151">
        <f t="shared" si="3"/>
        <v>1</v>
      </c>
      <c r="M40" s="99">
        <f>COUNTA('Original-E2E'!G42,'E2E Combined OD + ZK'!G41,'E2E Combined AB + TCF'!G41)</f>
        <v>3</v>
      </c>
      <c r="N40" s="144">
        <f>COUNTA('Original-E2E'!H42,'E2E Combined OD + ZK'!H41,'E2E Combined AB + TCF'!H41)</f>
        <v>0</v>
      </c>
      <c r="O40" s="144">
        <f>COUNTA('Original-E2E'!I42,'E2E Combined OD + ZK'!I41,'E2E Combined AB + TCF'!I41)</f>
        <v>0</v>
      </c>
      <c r="P40" s="99">
        <f t="shared" si="4"/>
        <v>1</v>
      </c>
    </row>
    <row r="41">
      <c r="A41" s="99">
        <f>COUNTA('Original-E2E'!G43,'E2E Combined OD + ZK'!G42)</f>
        <v>0</v>
      </c>
      <c r="B41" s="144">
        <f>COUNTA('Original-E2E'!H43,'E2E Combined OD + ZK'!H42)</f>
        <v>0</v>
      </c>
      <c r="C41" s="144">
        <f>COUNTA('Original-E2E'!I43,'E2E Combined OD + ZK'!I42)</f>
        <v>2</v>
      </c>
      <c r="D41" s="151">
        <f t="shared" si="1"/>
        <v>1</v>
      </c>
      <c r="E41" s="99">
        <f>COUNTA('Original-E2E'!G43,'E2E Combined AB + TCF'!G42)</f>
        <v>0</v>
      </c>
      <c r="F41" s="144">
        <f>COUNTA('Original-E2E'!H43,'E2E Combined AB + TCF'!H42)</f>
        <v>1</v>
      </c>
      <c r="G41" s="144">
        <f>COUNTA('Original-E2E'!I43,'E2E Combined AB + TCF'!I42)</f>
        <v>1</v>
      </c>
      <c r="H41" s="152">
        <f t="shared" si="2"/>
        <v>0</v>
      </c>
      <c r="I41" s="99">
        <f>COUNTA('E2E Combined OD + ZK'!G42,'E2E Combined AB + TCF'!G42)</f>
        <v>0</v>
      </c>
      <c r="J41" s="144">
        <f>COUNTA('E2E Combined OD + ZK'!H42,'E2E Combined AB + TCF'!H42)</f>
        <v>1</v>
      </c>
      <c r="K41" s="99">
        <f>COUNTA('E2E Combined OD + ZK'!I42,'E2E Combined AB + TCF'!I42)</f>
        <v>1</v>
      </c>
      <c r="L41" s="151">
        <f t="shared" si="3"/>
        <v>0</v>
      </c>
      <c r="M41" s="99">
        <f>COUNTA('Original-E2E'!G43,'E2E Combined OD + ZK'!G42,'E2E Combined AB + TCF'!G42)</f>
        <v>0</v>
      </c>
      <c r="N41" s="144">
        <f>COUNTA('Original-E2E'!H43,'E2E Combined OD + ZK'!H42,'E2E Combined AB + TCF'!H42)</f>
        <v>1</v>
      </c>
      <c r="O41" s="144">
        <f>COUNTA('Original-E2E'!I43,'E2E Combined OD + ZK'!I42,'E2E Combined AB + TCF'!I42)</f>
        <v>2</v>
      </c>
      <c r="P41" s="99">
        <f t="shared" si="4"/>
        <v>0.3333333333</v>
      </c>
    </row>
    <row r="42">
      <c r="A42" s="99">
        <f>COUNTA('Original-E2E'!G44,'E2E Combined OD + ZK'!G43)</f>
        <v>2</v>
      </c>
      <c r="B42" s="144">
        <f>COUNTA('Original-E2E'!H44,'E2E Combined OD + ZK'!H43)</f>
        <v>0</v>
      </c>
      <c r="C42" s="144">
        <f>COUNTA('Original-E2E'!I44,'E2E Combined OD + ZK'!I43)</f>
        <v>0</v>
      </c>
      <c r="D42" s="151">
        <f t="shared" si="1"/>
        <v>1</v>
      </c>
      <c r="E42" s="99">
        <f>COUNTA('Original-E2E'!G44,'E2E Combined AB + TCF'!G43)</f>
        <v>2</v>
      </c>
      <c r="F42" s="144">
        <f>COUNTA('Original-E2E'!H44,'E2E Combined AB + TCF'!H43)</f>
        <v>0</v>
      </c>
      <c r="G42" s="144">
        <f>COUNTA('Original-E2E'!I44,'E2E Combined AB + TCF'!I43)</f>
        <v>0</v>
      </c>
      <c r="H42" s="152">
        <f t="shared" si="2"/>
        <v>1</v>
      </c>
      <c r="I42" s="99">
        <f>COUNTA('E2E Combined OD + ZK'!G43,'E2E Combined AB + TCF'!G43)</f>
        <v>2</v>
      </c>
      <c r="J42" s="144">
        <f>COUNTA('E2E Combined OD + ZK'!H43,'E2E Combined AB + TCF'!H43)</f>
        <v>0</v>
      </c>
      <c r="K42" s="99">
        <f>COUNTA('E2E Combined OD + ZK'!I43,'E2E Combined AB + TCF'!I43)</f>
        <v>0</v>
      </c>
      <c r="L42" s="151">
        <f t="shared" si="3"/>
        <v>1</v>
      </c>
      <c r="M42" s="99">
        <f>COUNTA('Original-E2E'!G44,'E2E Combined OD + ZK'!G43,'E2E Combined AB + TCF'!G43)</f>
        <v>3</v>
      </c>
      <c r="N42" s="144">
        <f>COUNTA('Original-E2E'!H44,'E2E Combined OD + ZK'!H43,'E2E Combined AB + TCF'!H43)</f>
        <v>0</v>
      </c>
      <c r="O42" s="144">
        <f>COUNTA('Original-E2E'!I44,'E2E Combined OD + ZK'!I43,'E2E Combined AB + TCF'!I43)</f>
        <v>0</v>
      </c>
      <c r="P42" s="99">
        <f t="shared" si="4"/>
        <v>1</v>
      </c>
    </row>
    <row r="43">
      <c r="A43" s="99">
        <f>COUNTA('Original-E2E'!G45,'E2E Combined OD + ZK'!G44)</f>
        <v>2</v>
      </c>
      <c r="B43" s="144">
        <f>COUNTA('Original-E2E'!H45,'E2E Combined OD + ZK'!H44)</f>
        <v>0</v>
      </c>
      <c r="C43" s="144">
        <f>COUNTA('Original-E2E'!I45,'E2E Combined OD + ZK'!I44)</f>
        <v>0</v>
      </c>
      <c r="D43" s="151">
        <f t="shared" si="1"/>
        <v>1</v>
      </c>
      <c r="E43" s="99">
        <f>COUNTA('Original-E2E'!G45,'E2E Combined AB + TCF'!G44)</f>
        <v>2</v>
      </c>
      <c r="F43" s="144">
        <f>COUNTA('Original-E2E'!H45,'E2E Combined AB + TCF'!H44)</f>
        <v>0</v>
      </c>
      <c r="G43" s="144">
        <f>COUNTA('Original-E2E'!I45,'E2E Combined AB + TCF'!I44)</f>
        <v>0</v>
      </c>
      <c r="H43" s="152">
        <f t="shared" si="2"/>
        <v>1</v>
      </c>
      <c r="I43" s="99">
        <f>COUNTA('E2E Combined OD + ZK'!G44,'E2E Combined AB + TCF'!G44)</f>
        <v>2</v>
      </c>
      <c r="J43" s="144">
        <f>COUNTA('E2E Combined OD + ZK'!H44,'E2E Combined AB + TCF'!H44)</f>
        <v>0</v>
      </c>
      <c r="K43" s="99">
        <f>COUNTA('E2E Combined OD + ZK'!I44,'E2E Combined AB + TCF'!I44)</f>
        <v>0</v>
      </c>
      <c r="L43" s="151">
        <f t="shared" si="3"/>
        <v>1</v>
      </c>
      <c r="M43" s="99">
        <f>COUNTA('Original-E2E'!G45,'E2E Combined OD + ZK'!G44,'E2E Combined AB + TCF'!G44)</f>
        <v>3</v>
      </c>
      <c r="N43" s="144">
        <f>COUNTA('Original-E2E'!H45,'E2E Combined OD + ZK'!H44,'E2E Combined AB + TCF'!H44)</f>
        <v>0</v>
      </c>
      <c r="O43" s="144">
        <f>COUNTA('Original-E2E'!I45,'E2E Combined OD + ZK'!I44,'E2E Combined AB + TCF'!I44)</f>
        <v>0</v>
      </c>
      <c r="P43" s="99">
        <f t="shared" si="4"/>
        <v>1</v>
      </c>
    </row>
    <row r="44">
      <c r="A44" s="99">
        <f>COUNTA('Original-E2E'!G46,'E2E Combined OD + ZK'!G45)</f>
        <v>1</v>
      </c>
      <c r="B44" s="144">
        <f>COUNTA('Original-E2E'!H46,'E2E Combined OD + ZK'!H45)</f>
        <v>0</v>
      </c>
      <c r="C44" s="144">
        <f>COUNTA('Original-E2E'!I46,'E2E Combined OD + ZK'!I45)</f>
        <v>1</v>
      </c>
      <c r="D44" s="151">
        <f t="shared" si="1"/>
        <v>0</v>
      </c>
      <c r="E44" s="99">
        <f>COUNTA('Original-E2E'!G46,'E2E Combined AB + TCF'!G45)</f>
        <v>1</v>
      </c>
      <c r="F44" s="144">
        <f>COUNTA('Original-E2E'!H46,'E2E Combined AB + TCF'!H45)</f>
        <v>0</v>
      </c>
      <c r="G44" s="144">
        <f>COUNTA('Original-E2E'!I46,'E2E Combined AB + TCF'!I45)</f>
        <v>1</v>
      </c>
      <c r="H44" s="152">
        <f t="shared" si="2"/>
        <v>0</v>
      </c>
      <c r="I44" s="99">
        <f>COUNTA('E2E Combined OD + ZK'!G45,'E2E Combined AB + TCF'!G45)</f>
        <v>2</v>
      </c>
      <c r="J44" s="144">
        <f>COUNTA('E2E Combined OD + ZK'!H45,'E2E Combined AB + TCF'!H45)</f>
        <v>0</v>
      </c>
      <c r="K44" s="99">
        <f>COUNTA('E2E Combined OD + ZK'!I45,'E2E Combined AB + TCF'!I45)</f>
        <v>0</v>
      </c>
      <c r="L44" s="151">
        <f t="shared" si="3"/>
        <v>1</v>
      </c>
      <c r="M44" s="99">
        <f>COUNTA('Original-E2E'!G46,'E2E Combined OD + ZK'!G45,'E2E Combined AB + TCF'!G45)</f>
        <v>2</v>
      </c>
      <c r="N44" s="144">
        <f>COUNTA('Original-E2E'!H46,'E2E Combined OD + ZK'!H45,'E2E Combined AB + TCF'!H45)</f>
        <v>0</v>
      </c>
      <c r="O44" s="144">
        <f>COUNTA('Original-E2E'!I46,'E2E Combined OD + ZK'!I45,'E2E Combined AB + TCF'!I45)</f>
        <v>1</v>
      </c>
      <c r="P44" s="99">
        <f t="shared" si="4"/>
        <v>0.3333333333</v>
      </c>
    </row>
    <row r="45">
      <c r="A45" s="99">
        <f>COUNTA('Original-E2E'!G47,'E2E Combined OD + ZK'!G46)</f>
        <v>0</v>
      </c>
      <c r="B45" s="144">
        <f>COUNTA('Original-E2E'!H47,'E2E Combined OD + ZK'!H46)</f>
        <v>0</v>
      </c>
      <c r="C45" s="144">
        <f>COUNTA('Original-E2E'!I47,'E2E Combined OD + ZK'!I46)</f>
        <v>2</v>
      </c>
      <c r="D45" s="151">
        <f t="shared" si="1"/>
        <v>1</v>
      </c>
      <c r="E45" s="99">
        <f>COUNTA('Original-E2E'!G47,'E2E Combined AB + TCF'!G46)</f>
        <v>0</v>
      </c>
      <c r="F45" s="144">
        <f>COUNTA('Original-E2E'!H47,'E2E Combined AB + TCF'!H46)</f>
        <v>0</v>
      </c>
      <c r="G45" s="144">
        <f>COUNTA('Original-E2E'!I47,'E2E Combined AB + TCF'!I46)</f>
        <v>2</v>
      </c>
      <c r="H45" s="152">
        <f t="shared" si="2"/>
        <v>1</v>
      </c>
      <c r="I45" s="99">
        <f>COUNTA('E2E Combined OD + ZK'!G46,'E2E Combined AB + TCF'!G46)</f>
        <v>0</v>
      </c>
      <c r="J45" s="144">
        <f>COUNTA('E2E Combined OD + ZK'!H46,'E2E Combined AB + TCF'!H46)</f>
        <v>0</v>
      </c>
      <c r="K45" s="99">
        <f>COUNTA('E2E Combined OD + ZK'!I46,'E2E Combined AB + TCF'!I46)</f>
        <v>2</v>
      </c>
      <c r="L45" s="151">
        <f t="shared" si="3"/>
        <v>1</v>
      </c>
      <c r="M45" s="99">
        <f>COUNTA('Original-E2E'!G47,'E2E Combined OD + ZK'!G46,'E2E Combined AB + TCF'!G46)</f>
        <v>0</v>
      </c>
      <c r="N45" s="144">
        <f>COUNTA('Original-E2E'!H47,'E2E Combined OD + ZK'!H46,'E2E Combined AB + TCF'!H46)</f>
        <v>0</v>
      </c>
      <c r="O45" s="144">
        <f>COUNTA('Original-E2E'!I47,'E2E Combined OD + ZK'!I46,'E2E Combined AB + TCF'!I46)</f>
        <v>3</v>
      </c>
      <c r="P45" s="99">
        <f t="shared" si="4"/>
        <v>1</v>
      </c>
    </row>
    <row r="46">
      <c r="A46" s="99">
        <f>COUNTA('Original-E2E'!G48,'E2E Combined OD + ZK'!G47)</f>
        <v>2</v>
      </c>
      <c r="B46" s="144">
        <f>COUNTA('Original-E2E'!H48,'E2E Combined OD + ZK'!H47)</f>
        <v>0</v>
      </c>
      <c r="C46" s="144">
        <f>COUNTA('Original-E2E'!I48,'E2E Combined OD + ZK'!I47)</f>
        <v>0</v>
      </c>
      <c r="D46" s="151">
        <f t="shared" si="1"/>
        <v>1</v>
      </c>
      <c r="E46" s="99">
        <f>COUNTA('Original-E2E'!G48,'E2E Combined AB + TCF'!G47)</f>
        <v>1</v>
      </c>
      <c r="F46" s="144">
        <f>COUNTA('Original-E2E'!H48,'E2E Combined AB + TCF'!H47)</f>
        <v>0</v>
      </c>
      <c r="G46" s="144">
        <f>COUNTA('Original-E2E'!I48,'E2E Combined AB + TCF'!I47)</f>
        <v>1</v>
      </c>
      <c r="H46" s="152">
        <f t="shared" si="2"/>
        <v>0</v>
      </c>
      <c r="I46" s="99">
        <f>COUNTA('E2E Combined OD + ZK'!G47,'E2E Combined AB + TCF'!G47)</f>
        <v>1</v>
      </c>
      <c r="J46" s="144">
        <f>COUNTA('E2E Combined OD + ZK'!H47,'E2E Combined AB + TCF'!H47)</f>
        <v>0</v>
      </c>
      <c r="K46" s="99">
        <f>COUNTA('E2E Combined OD + ZK'!I47,'E2E Combined AB + TCF'!I47)</f>
        <v>1</v>
      </c>
      <c r="L46" s="151">
        <f t="shared" si="3"/>
        <v>0</v>
      </c>
      <c r="M46" s="99">
        <f>COUNTA('Original-E2E'!G48,'E2E Combined OD + ZK'!G47,'E2E Combined AB + TCF'!G47)</f>
        <v>2</v>
      </c>
      <c r="N46" s="144">
        <f>COUNTA('Original-E2E'!H48,'E2E Combined OD + ZK'!H47,'E2E Combined AB + TCF'!H47)</f>
        <v>0</v>
      </c>
      <c r="O46" s="144">
        <f>COUNTA('Original-E2E'!I48,'E2E Combined OD + ZK'!I47,'E2E Combined AB + TCF'!I47)</f>
        <v>1</v>
      </c>
      <c r="P46" s="99">
        <f t="shared" si="4"/>
        <v>0.3333333333</v>
      </c>
    </row>
    <row r="47">
      <c r="A47" s="99">
        <f>COUNTA('Original-E2E'!G49,'E2E Combined OD + ZK'!G48)</f>
        <v>0</v>
      </c>
      <c r="B47" s="144">
        <f>COUNTA('Original-E2E'!H49,'E2E Combined OD + ZK'!H48)</f>
        <v>2</v>
      </c>
      <c r="C47" s="144">
        <f>COUNTA('Original-E2E'!I49,'E2E Combined OD + ZK'!I48)</f>
        <v>0</v>
      </c>
      <c r="D47" s="151">
        <f t="shared" si="1"/>
        <v>1</v>
      </c>
      <c r="E47" s="99">
        <f>COUNTA('Original-E2E'!G49,'E2E Combined AB + TCF'!G48)</f>
        <v>0</v>
      </c>
      <c r="F47" s="144">
        <f>COUNTA('Original-E2E'!H49,'E2E Combined AB + TCF'!H48)</f>
        <v>2</v>
      </c>
      <c r="G47" s="144">
        <f>COUNTA('Original-E2E'!I49,'E2E Combined AB + TCF'!I48)</f>
        <v>0</v>
      </c>
      <c r="H47" s="152">
        <f t="shared" si="2"/>
        <v>1</v>
      </c>
      <c r="I47" s="99">
        <f>COUNTA('E2E Combined OD + ZK'!G48,'E2E Combined AB + TCF'!G48)</f>
        <v>0</v>
      </c>
      <c r="J47" s="144">
        <f>COUNTA('E2E Combined OD + ZK'!H48,'E2E Combined AB + TCF'!H48)</f>
        <v>2</v>
      </c>
      <c r="K47" s="99">
        <f>COUNTA('E2E Combined OD + ZK'!I48,'E2E Combined AB + TCF'!I48)</f>
        <v>0</v>
      </c>
      <c r="L47" s="151">
        <f t="shared" si="3"/>
        <v>1</v>
      </c>
      <c r="M47" s="99">
        <f>COUNTA('Original-E2E'!G49,'E2E Combined OD + ZK'!G48,'E2E Combined AB + TCF'!G48)</f>
        <v>0</v>
      </c>
      <c r="N47" s="144">
        <f>COUNTA('Original-E2E'!H49,'E2E Combined OD + ZK'!H48,'E2E Combined AB + TCF'!H48)</f>
        <v>3</v>
      </c>
      <c r="O47" s="144">
        <f>COUNTA('Original-E2E'!I49,'E2E Combined OD + ZK'!I48,'E2E Combined AB + TCF'!I48)</f>
        <v>0</v>
      </c>
      <c r="P47" s="99">
        <f t="shared" si="4"/>
        <v>1</v>
      </c>
    </row>
    <row r="48">
      <c r="A48" s="99">
        <f>COUNTA('Original-E2E'!G50,'E2E Combined OD + ZK'!G49)</f>
        <v>0</v>
      </c>
      <c r="B48" s="144">
        <f>COUNTA('Original-E2E'!H50,'E2E Combined OD + ZK'!H49)</f>
        <v>2</v>
      </c>
      <c r="C48" s="144">
        <f>COUNTA('Original-E2E'!I50,'E2E Combined OD + ZK'!I49)</f>
        <v>0</v>
      </c>
      <c r="D48" s="151">
        <f t="shared" si="1"/>
        <v>1</v>
      </c>
      <c r="E48" s="99">
        <f>COUNTA('Original-E2E'!G50,'E2E Combined AB + TCF'!G49)</f>
        <v>0</v>
      </c>
      <c r="F48" s="144">
        <f>COUNTA('Original-E2E'!H50,'E2E Combined AB + TCF'!H49)</f>
        <v>2</v>
      </c>
      <c r="G48" s="144">
        <f>COUNTA('Original-E2E'!I50,'E2E Combined AB + TCF'!I49)</f>
        <v>0</v>
      </c>
      <c r="H48" s="152">
        <f t="shared" si="2"/>
        <v>1</v>
      </c>
      <c r="I48" s="99">
        <f>COUNTA('E2E Combined OD + ZK'!G49,'E2E Combined AB + TCF'!G49)</f>
        <v>0</v>
      </c>
      <c r="J48" s="144">
        <f>COUNTA('E2E Combined OD + ZK'!H49,'E2E Combined AB + TCF'!H49)</f>
        <v>2</v>
      </c>
      <c r="K48" s="99">
        <f>COUNTA('E2E Combined OD + ZK'!I49,'E2E Combined AB + TCF'!I49)</f>
        <v>0</v>
      </c>
      <c r="L48" s="151">
        <f t="shared" si="3"/>
        <v>1</v>
      </c>
      <c r="M48" s="99">
        <f>COUNTA('Original-E2E'!G50,'E2E Combined OD + ZK'!G49,'E2E Combined AB + TCF'!G49)</f>
        <v>0</v>
      </c>
      <c r="N48" s="144">
        <f>COUNTA('Original-E2E'!H50,'E2E Combined OD + ZK'!H49,'E2E Combined AB + TCF'!H49)</f>
        <v>3</v>
      </c>
      <c r="O48" s="144">
        <f>COUNTA('Original-E2E'!I50,'E2E Combined OD + ZK'!I49,'E2E Combined AB + TCF'!I49)</f>
        <v>0</v>
      </c>
      <c r="P48" s="99">
        <f t="shared" si="4"/>
        <v>1</v>
      </c>
    </row>
    <row r="49">
      <c r="A49" s="99">
        <f>COUNTA('Original-E2E'!G51,'E2E Combined OD + ZK'!G50)</f>
        <v>2</v>
      </c>
      <c r="B49" s="144">
        <f>COUNTA('Original-E2E'!H51,'E2E Combined OD + ZK'!H50)</f>
        <v>0</v>
      </c>
      <c r="C49" s="144">
        <f>COUNTA('Original-E2E'!I51,'E2E Combined OD + ZK'!I50)</f>
        <v>0</v>
      </c>
      <c r="D49" s="151">
        <f t="shared" si="1"/>
        <v>1</v>
      </c>
      <c r="E49" s="99">
        <f>COUNTA('Original-E2E'!G51,'E2E Combined AB + TCF'!G50)</f>
        <v>2</v>
      </c>
      <c r="F49" s="144">
        <f>COUNTA('Original-E2E'!H51,'E2E Combined AB + TCF'!H50)</f>
        <v>0</v>
      </c>
      <c r="G49" s="144">
        <f>COUNTA('Original-E2E'!I51,'E2E Combined AB + TCF'!I50)</f>
        <v>0</v>
      </c>
      <c r="H49" s="152">
        <f t="shared" si="2"/>
        <v>1</v>
      </c>
      <c r="I49" s="99">
        <f>COUNTA('E2E Combined OD + ZK'!G50,'E2E Combined AB + TCF'!G50)</f>
        <v>2</v>
      </c>
      <c r="J49" s="144">
        <f>COUNTA('E2E Combined OD + ZK'!H50,'E2E Combined AB + TCF'!H50)</f>
        <v>0</v>
      </c>
      <c r="K49" s="99">
        <f>COUNTA('E2E Combined OD + ZK'!I50,'E2E Combined AB + TCF'!I50)</f>
        <v>0</v>
      </c>
      <c r="L49" s="151">
        <f t="shared" si="3"/>
        <v>1</v>
      </c>
      <c r="M49" s="99">
        <f>COUNTA('Original-E2E'!G51,'E2E Combined OD + ZK'!G50,'E2E Combined AB + TCF'!G50)</f>
        <v>3</v>
      </c>
      <c r="N49" s="144">
        <f>COUNTA('Original-E2E'!H51,'E2E Combined OD + ZK'!H50,'E2E Combined AB + TCF'!H50)</f>
        <v>0</v>
      </c>
      <c r="O49" s="144">
        <f>COUNTA('Original-E2E'!I51,'E2E Combined OD + ZK'!I50,'E2E Combined AB + TCF'!I50)</f>
        <v>0</v>
      </c>
      <c r="P49" s="99">
        <f t="shared" si="4"/>
        <v>1</v>
      </c>
    </row>
    <row r="50">
      <c r="A50" s="99">
        <f>COUNTA('Original-E2E'!G52,'E2E Combined OD + ZK'!G51)</f>
        <v>0</v>
      </c>
      <c r="B50" s="144">
        <f>COUNTA('Original-E2E'!H52,'E2E Combined OD + ZK'!H51)</f>
        <v>2</v>
      </c>
      <c r="C50" s="144">
        <f>COUNTA('Original-E2E'!I52,'E2E Combined OD + ZK'!I51)</f>
        <v>0</v>
      </c>
      <c r="D50" s="151">
        <f t="shared" si="1"/>
        <v>1</v>
      </c>
      <c r="E50" s="99">
        <f>COUNTA('Original-E2E'!G52,'E2E Combined AB + TCF'!G51)</f>
        <v>0</v>
      </c>
      <c r="F50" s="144">
        <f>COUNTA('Original-E2E'!H52,'E2E Combined AB + TCF'!H51)</f>
        <v>2</v>
      </c>
      <c r="G50" s="144">
        <f>COUNTA('Original-E2E'!I52,'E2E Combined AB + TCF'!I51)</f>
        <v>0</v>
      </c>
      <c r="H50" s="152">
        <f t="shared" si="2"/>
        <v>1</v>
      </c>
      <c r="I50" s="99">
        <f>COUNTA('E2E Combined OD + ZK'!G51,'E2E Combined AB + TCF'!G51)</f>
        <v>0</v>
      </c>
      <c r="J50" s="144">
        <f>COUNTA('E2E Combined OD + ZK'!H51,'E2E Combined AB + TCF'!H51)</f>
        <v>2</v>
      </c>
      <c r="K50" s="99">
        <f>COUNTA('E2E Combined OD + ZK'!I51,'E2E Combined AB + TCF'!I51)</f>
        <v>0</v>
      </c>
      <c r="L50" s="151">
        <f t="shared" si="3"/>
        <v>1</v>
      </c>
      <c r="M50" s="99">
        <f>COUNTA('Original-E2E'!G52,'E2E Combined OD + ZK'!G51,'E2E Combined AB + TCF'!G51)</f>
        <v>0</v>
      </c>
      <c r="N50" s="144">
        <f>COUNTA('Original-E2E'!H52,'E2E Combined OD + ZK'!H51,'E2E Combined AB + TCF'!H51)</f>
        <v>3</v>
      </c>
      <c r="O50" s="144">
        <f>COUNTA('Original-E2E'!I52,'E2E Combined OD + ZK'!I51,'E2E Combined AB + TCF'!I51)</f>
        <v>0</v>
      </c>
      <c r="P50" s="99">
        <f t="shared" si="4"/>
        <v>1</v>
      </c>
    </row>
    <row r="51">
      <c r="A51" s="99">
        <f>COUNTA('Original-E2E'!G53,'E2E Combined OD + ZK'!G52)</f>
        <v>2</v>
      </c>
      <c r="B51" s="144">
        <f>COUNTA('Original-E2E'!H53,'E2E Combined OD + ZK'!H52)</f>
        <v>0</v>
      </c>
      <c r="C51" s="144">
        <f>COUNTA('Original-E2E'!I53,'E2E Combined OD + ZK'!I52)</f>
        <v>0</v>
      </c>
      <c r="D51" s="151">
        <f t="shared" si="1"/>
        <v>1</v>
      </c>
      <c r="E51" s="99">
        <f>COUNTA('Original-E2E'!G53,'E2E Combined AB + TCF'!G52)</f>
        <v>2</v>
      </c>
      <c r="F51" s="144">
        <f>COUNTA('Original-E2E'!H53,'E2E Combined AB + TCF'!H52)</f>
        <v>0</v>
      </c>
      <c r="G51" s="144">
        <f>COUNTA('Original-E2E'!I53,'E2E Combined AB + TCF'!I52)</f>
        <v>0</v>
      </c>
      <c r="H51" s="152">
        <f t="shared" si="2"/>
        <v>1</v>
      </c>
      <c r="I51" s="99">
        <f>COUNTA('E2E Combined OD + ZK'!G52,'E2E Combined AB + TCF'!G52)</f>
        <v>2</v>
      </c>
      <c r="J51" s="144">
        <f>COUNTA('E2E Combined OD + ZK'!H52,'E2E Combined AB + TCF'!H52)</f>
        <v>0</v>
      </c>
      <c r="K51" s="99">
        <f>COUNTA('E2E Combined OD + ZK'!I52,'E2E Combined AB + TCF'!I52)</f>
        <v>0</v>
      </c>
      <c r="L51" s="151">
        <f t="shared" si="3"/>
        <v>1</v>
      </c>
      <c r="M51" s="99">
        <f>COUNTA('Original-E2E'!G53,'E2E Combined OD + ZK'!G52,'E2E Combined AB + TCF'!G52)</f>
        <v>3</v>
      </c>
      <c r="N51" s="144">
        <f>COUNTA('Original-E2E'!H53,'E2E Combined OD + ZK'!H52,'E2E Combined AB + TCF'!H52)</f>
        <v>0</v>
      </c>
      <c r="O51" s="144">
        <f>COUNTA('Original-E2E'!I53,'E2E Combined OD + ZK'!I52,'E2E Combined AB + TCF'!I52)</f>
        <v>0</v>
      </c>
      <c r="P51" s="99">
        <f t="shared" si="4"/>
        <v>1</v>
      </c>
    </row>
    <row r="52">
      <c r="A52" s="99">
        <f>COUNTA('Original-E2E'!G54,'E2E Combined OD + ZK'!G53)</f>
        <v>0</v>
      </c>
      <c r="B52" s="144">
        <f>COUNTA('Original-E2E'!H54,'E2E Combined OD + ZK'!H53)</f>
        <v>2</v>
      </c>
      <c r="C52" s="144">
        <f>COUNTA('Original-E2E'!I54,'E2E Combined OD + ZK'!I53)</f>
        <v>0</v>
      </c>
      <c r="D52" s="151">
        <f t="shared" si="1"/>
        <v>1</v>
      </c>
      <c r="E52" s="99">
        <f>COUNTA('Original-E2E'!G54,'E2E Combined AB + TCF'!G53)</f>
        <v>0</v>
      </c>
      <c r="F52" s="144">
        <f>COUNTA('Original-E2E'!H54,'E2E Combined AB + TCF'!H53)</f>
        <v>2</v>
      </c>
      <c r="G52" s="144">
        <f>COUNTA('Original-E2E'!I54,'E2E Combined AB + TCF'!I53)</f>
        <v>0</v>
      </c>
      <c r="H52" s="152">
        <f t="shared" si="2"/>
        <v>1</v>
      </c>
      <c r="I52" s="99">
        <f>COUNTA('E2E Combined OD + ZK'!G53,'E2E Combined AB + TCF'!G53)</f>
        <v>0</v>
      </c>
      <c r="J52" s="144">
        <f>COUNTA('E2E Combined OD + ZK'!H53,'E2E Combined AB + TCF'!H53)</f>
        <v>2</v>
      </c>
      <c r="K52" s="99">
        <f>COUNTA('E2E Combined OD + ZK'!I53,'E2E Combined AB + TCF'!I53)</f>
        <v>0</v>
      </c>
      <c r="L52" s="151">
        <f t="shared" si="3"/>
        <v>1</v>
      </c>
      <c r="M52" s="99">
        <f>COUNTA('Original-E2E'!G54,'E2E Combined OD + ZK'!G53,'E2E Combined AB + TCF'!G53)</f>
        <v>0</v>
      </c>
      <c r="N52" s="144">
        <f>COUNTA('Original-E2E'!H54,'E2E Combined OD + ZK'!H53,'E2E Combined AB + TCF'!H53)</f>
        <v>3</v>
      </c>
      <c r="O52" s="144">
        <f>COUNTA('Original-E2E'!I54,'E2E Combined OD + ZK'!I53,'E2E Combined AB + TCF'!I53)</f>
        <v>0</v>
      </c>
      <c r="P52" s="99">
        <f t="shared" si="4"/>
        <v>1</v>
      </c>
    </row>
    <row r="53">
      <c r="A53" s="99">
        <f>COUNTA('Original-E2E'!G55,'E2E Combined OD + ZK'!G54)</f>
        <v>0</v>
      </c>
      <c r="B53" s="144">
        <f>COUNTA('Original-E2E'!H55,'E2E Combined OD + ZK'!H54)</f>
        <v>0</v>
      </c>
      <c r="C53" s="144">
        <f>COUNTA('Original-E2E'!I55,'E2E Combined OD + ZK'!I54)</f>
        <v>2</v>
      </c>
      <c r="D53" s="151">
        <f t="shared" si="1"/>
        <v>1</v>
      </c>
      <c r="E53" s="99">
        <f>COUNTA('Original-E2E'!G55,'E2E Combined AB + TCF'!G54)</f>
        <v>0</v>
      </c>
      <c r="F53" s="144">
        <f>COUNTA('Original-E2E'!H55,'E2E Combined AB + TCF'!H54)</f>
        <v>0</v>
      </c>
      <c r="G53" s="144">
        <f>COUNTA('Original-E2E'!I55,'E2E Combined AB + TCF'!I54)</f>
        <v>2</v>
      </c>
      <c r="H53" s="152">
        <f t="shared" si="2"/>
        <v>1</v>
      </c>
      <c r="I53" s="99">
        <f>COUNTA('E2E Combined OD + ZK'!G54,'E2E Combined AB + TCF'!G54)</f>
        <v>0</v>
      </c>
      <c r="J53" s="144">
        <f>COUNTA('E2E Combined OD + ZK'!H54,'E2E Combined AB + TCF'!H54)</f>
        <v>0</v>
      </c>
      <c r="K53" s="99">
        <f>COUNTA('E2E Combined OD + ZK'!I54,'E2E Combined AB + TCF'!I54)</f>
        <v>2</v>
      </c>
      <c r="L53" s="151">
        <f t="shared" si="3"/>
        <v>1</v>
      </c>
      <c r="M53" s="99">
        <f>COUNTA('Original-E2E'!G55,'E2E Combined OD + ZK'!G54,'E2E Combined AB + TCF'!G54)</f>
        <v>0</v>
      </c>
      <c r="N53" s="144">
        <f>COUNTA('Original-E2E'!H55,'E2E Combined OD + ZK'!H54,'E2E Combined AB + TCF'!H54)</f>
        <v>0</v>
      </c>
      <c r="O53" s="144">
        <f>COUNTA('Original-E2E'!I55,'E2E Combined OD + ZK'!I54,'E2E Combined AB + TCF'!I54)</f>
        <v>3</v>
      </c>
      <c r="P53" s="99">
        <f t="shared" si="4"/>
        <v>1</v>
      </c>
    </row>
    <row r="54">
      <c r="A54" s="99">
        <f>COUNTA('Original-E2E'!G56,'E2E Combined OD + ZK'!G55)</f>
        <v>0</v>
      </c>
      <c r="B54" s="144">
        <f>COUNTA('Original-E2E'!H56,'E2E Combined OD + ZK'!H55)</f>
        <v>2</v>
      </c>
      <c r="C54" s="144">
        <f>COUNTA('Original-E2E'!I56,'E2E Combined OD + ZK'!I55)</f>
        <v>0</v>
      </c>
      <c r="D54" s="151">
        <f t="shared" si="1"/>
        <v>1</v>
      </c>
      <c r="E54" s="99">
        <f>COUNTA('Original-E2E'!G56,'E2E Combined AB + TCF'!G55)</f>
        <v>0</v>
      </c>
      <c r="F54" s="144">
        <f>COUNTA('Original-E2E'!H56,'E2E Combined AB + TCF'!H55)</f>
        <v>2</v>
      </c>
      <c r="G54" s="144">
        <f>COUNTA('Original-E2E'!I56,'E2E Combined AB + TCF'!I55)</f>
        <v>0</v>
      </c>
      <c r="H54" s="152">
        <f t="shared" si="2"/>
        <v>1</v>
      </c>
      <c r="I54" s="99">
        <f>COUNTA('E2E Combined OD + ZK'!G55,'E2E Combined AB + TCF'!G55)</f>
        <v>0</v>
      </c>
      <c r="J54" s="144">
        <f>COUNTA('E2E Combined OD + ZK'!H55,'E2E Combined AB + TCF'!H55)</f>
        <v>2</v>
      </c>
      <c r="K54" s="99">
        <f>COUNTA('E2E Combined OD + ZK'!I55,'E2E Combined AB + TCF'!I55)</f>
        <v>0</v>
      </c>
      <c r="L54" s="151">
        <f t="shared" si="3"/>
        <v>1</v>
      </c>
      <c r="M54" s="99">
        <f>COUNTA('Original-E2E'!G56,'E2E Combined OD + ZK'!G55,'E2E Combined AB + TCF'!G55)</f>
        <v>0</v>
      </c>
      <c r="N54" s="144">
        <f>COUNTA('Original-E2E'!H56,'E2E Combined OD + ZK'!H55,'E2E Combined AB + TCF'!H55)</f>
        <v>3</v>
      </c>
      <c r="O54" s="144">
        <f>COUNTA('Original-E2E'!I56,'E2E Combined OD + ZK'!I55,'E2E Combined AB + TCF'!I55)</f>
        <v>0</v>
      </c>
      <c r="P54" s="99">
        <f t="shared" si="4"/>
        <v>1</v>
      </c>
    </row>
    <row r="55">
      <c r="A55" s="99">
        <f>COUNTA('Original-E2E'!G57,'E2E Combined OD + ZK'!G56)</f>
        <v>2</v>
      </c>
      <c r="B55" s="144">
        <f>COUNTA('Original-E2E'!H57,'E2E Combined OD + ZK'!H56)</f>
        <v>0</v>
      </c>
      <c r="C55" s="144">
        <f>COUNTA('Original-E2E'!I57,'E2E Combined OD + ZK'!I56)</f>
        <v>0</v>
      </c>
      <c r="D55" s="151">
        <f t="shared" si="1"/>
        <v>1</v>
      </c>
      <c r="E55" s="99">
        <f>COUNTA('Original-E2E'!G57,'E2E Combined AB + TCF'!G56)</f>
        <v>2</v>
      </c>
      <c r="F55" s="144">
        <f>COUNTA('Original-E2E'!H57,'E2E Combined AB + TCF'!H56)</f>
        <v>0</v>
      </c>
      <c r="G55" s="144">
        <f>COUNTA('Original-E2E'!I57,'E2E Combined AB + TCF'!I56)</f>
        <v>0</v>
      </c>
      <c r="H55" s="152">
        <f t="shared" si="2"/>
        <v>1</v>
      </c>
      <c r="I55" s="99">
        <f>COUNTA('E2E Combined OD + ZK'!G56,'E2E Combined AB + TCF'!G56)</f>
        <v>2</v>
      </c>
      <c r="J55" s="144">
        <f>COUNTA('E2E Combined OD + ZK'!H56,'E2E Combined AB + TCF'!H56)</f>
        <v>0</v>
      </c>
      <c r="K55" s="99">
        <f>COUNTA('E2E Combined OD + ZK'!I56,'E2E Combined AB + TCF'!I56)</f>
        <v>0</v>
      </c>
      <c r="L55" s="151">
        <f t="shared" si="3"/>
        <v>1</v>
      </c>
      <c r="M55" s="99">
        <f>COUNTA('Original-E2E'!G57,'E2E Combined OD + ZK'!G56,'E2E Combined AB + TCF'!G56)</f>
        <v>3</v>
      </c>
      <c r="N55" s="144">
        <f>COUNTA('Original-E2E'!H57,'E2E Combined OD + ZK'!H56,'E2E Combined AB + TCF'!H56)</f>
        <v>0</v>
      </c>
      <c r="O55" s="144">
        <f>COUNTA('Original-E2E'!I57,'E2E Combined OD + ZK'!I56,'E2E Combined AB + TCF'!I56)</f>
        <v>0</v>
      </c>
      <c r="P55" s="99">
        <f t="shared" si="4"/>
        <v>1</v>
      </c>
    </row>
    <row r="56">
      <c r="A56" s="99">
        <f>COUNTA('Original-E2E'!G58,'E2E Combined OD + ZK'!G57)</f>
        <v>2</v>
      </c>
      <c r="B56" s="144">
        <f>COUNTA('Original-E2E'!H58,'E2E Combined OD + ZK'!H57)</f>
        <v>0</v>
      </c>
      <c r="C56" s="144">
        <f>COUNTA('Original-E2E'!I58,'E2E Combined OD + ZK'!I57)</f>
        <v>0</v>
      </c>
      <c r="D56" s="151">
        <f t="shared" si="1"/>
        <v>1</v>
      </c>
      <c r="E56" s="99">
        <f>COUNTA('Original-E2E'!G58,'E2E Combined AB + TCF'!G57)</f>
        <v>2</v>
      </c>
      <c r="F56" s="144">
        <f>COUNTA('Original-E2E'!H58,'E2E Combined AB + TCF'!H57)</f>
        <v>0</v>
      </c>
      <c r="G56" s="144">
        <f>COUNTA('Original-E2E'!I58,'E2E Combined AB + TCF'!I57)</f>
        <v>0</v>
      </c>
      <c r="H56" s="152">
        <f t="shared" si="2"/>
        <v>1</v>
      </c>
      <c r="I56" s="99">
        <f>COUNTA('E2E Combined OD + ZK'!G57,'E2E Combined AB + TCF'!G57)</f>
        <v>2</v>
      </c>
      <c r="J56" s="144">
        <f>COUNTA('E2E Combined OD + ZK'!H57,'E2E Combined AB + TCF'!H57)</f>
        <v>0</v>
      </c>
      <c r="K56" s="99">
        <f>COUNTA('E2E Combined OD + ZK'!I57,'E2E Combined AB + TCF'!I57)</f>
        <v>0</v>
      </c>
      <c r="L56" s="151">
        <f t="shared" si="3"/>
        <v>1</v>
      </c>
      <c r="M56" s="99">
        <f>COUNTA('Original-E2E'!G58,'E2E Combined OD + ZK'!G57,'E2E Combined AB + TCF'!G57)</f>
        <v>3</v>
      </c>
      <c r="N56" s="144">
        <f>COUNTA('Original-E2E'!H58,'E2E Combined OD + ZK'!H57,'E2E Combined AB + TCF'!H57)</f>
        <v>0</v>
      </c>
      <c r="O56" s="144">
        <f>COUNTA('Original-E2E'!I58,'E2E Combined OD + ZK'!I57,'E2E Combined AB + TCF'!I57)</f>
        <v>0</v>
      </c>
      <c r="P56" s="99">
        <f t="shared" si="4"/>
        <v>1</v>
      </c>
    </row>
    <row r="57">
      <c r="A57" s="99">
        <f>COUNTA('Original-E2E'!G59,'E2E Combined OD + ZK'!G58)</f>
        <v>0</v>
      </c>
      <c r="B57" s="144">
        <f>COUNTA('Original-E2E'!H59,'E2E Combined OD + ZK'!H58)</f>
        <v>2</v>
      </c>
      <c r="C57" s="144">
        <f>COUNTA('Original-E2E'!I59,'E2E Combined OD + ZK'!I58)</f>
        <v>0</v>
      </c>
      <c r="D57" s="151">
        <f t="shared" si="1"/>
        <v>1</v>
      </c>
      <c r="E57" s="99">
        <f>COUNTA('Original-E2E'!G59,'E2E Combined AB + TCF'!G58)</f>
        <v>0</v>
      </c>
      <c r="F57" s="144">
        <f>COUNTA('Original-E2E'!H59,'E2E Combined AB + TCF'!H58)</f>
        <v>2</v>
      </c>
      <c r="G57" s="144">
        <f>COUNTA('Original-E2E'!I59,'E2E Combined AB + TCF'!I58)</f>
        <v>0</v>
      </c>
      <c r="H57" s="152">
        <f t="shared" si="2"/>
        <v>1</v>
      </c>
      <c r="I57" s="99">
        <f>COUNTA('E2E Combined OD + ZK'!G58,'E2E Combined AB + TCF'!G58)</f>
        <v>0</v>
      </c>
      <c r="J57" s="144">
        <f>COUNTA('E2E Combined OD + ZK'!H58,'E2E Combined AB + TCF'!H58)</f>
        <v>2</v>
      </c>
      <c r="K57" s="99">
        <f>COUNTA('E2E Combined OD + ZK'!I58,'E2E Combined AB + TCF'!I58)</f>
        <v>0</v>
      </c>
      <c r="L57" s="151">
        <f t="shared" si="3"/>
        <v>1</v>
      </c>
      <c r="M57" s="99">
        <f>COUNTA('Original-E2E'!G59,'E2E Combined OD + ZK'!G58,'E2E Combined AB + TCF'!G58)</f>
        <v>0</v>
      </c>
      <c r="N57" s="144">
        <f>COUNTA('Original-E2E'!H59,'E2E Combined OD + ZK'!H58,'E2E Combined AB + TCF'!H58)</f>
        <v>3</v>
      </c>
      <c r="O57" s="144">
        <f>COUNTA('Original-E2E'!I59,'E2E Combined OD + ZK'!I58,'E2E Combined AB + TCF'!I58)</f>
        <v>0</v>
      </c>
      <c r="P57" s="99">
        <f t="shared" si="4"/>
        <v>1</v>
      </c>
    </row>
    <row r="58">
      <c r="A58" s="99">
        <f>COUNTA('Original-E2E'!G60,'E2E Combined OD + ZK'!G59)</f>
        <v>2</v>
      </c>
      <c r="B58" s="144">
        <f>COUNTA('Original-E2E'!H60,'E2E Combined OD + ZK'!H59)</f>
        <v>0</v>
      </c>
      <c r="C58" s="144">
        <f>COUNTA('Original-E2E'!I60,'E2E Combined OD + ZK'!I59)</f>
        <v>0</v>
      </c>
      <c r="D58" s="151">
        <f t="shared" si="1"/>
        <v>1</v>
      </c>
      <c r="E58" s="99">
        <f>COUNTA('Original-E2E'!G60,'E2E Combined AB + TCF'!G59)</f>
        <v>2</v>
      </c>
      <c r="F58" s="144">
        <f>COUNTA('Original-E2E'!H60,'E2E Combined AB + TCF'!H59)</f>
        <v>0</v>
      </c>
      <c r="G58" s="144">
        <f>COUNTA('Original-E2E'!I60,'E2E Combined AB + TCF'!I59)</f>
        <v>0</v>
      </c>
      <c r="H58" s="152">
        <f t="shared" si="2"/>
        <v>1</v>
      </c>
      <c r="I58" s="99">
        <f>COUNTA('E2E Combined OD + ZK'!G59,'E2E Combined AB + TCF'!G59)</f>
        <v>2</v>
      </c>
      <c r="J58" s="144">
        <f>COUNTA('E2E Combined OD + ZK'!H59,'E2E Combined AB + TCF'!H59)</f>
        <v>0</v>
      </c>
      <c r="K58" s="99">
        <f>COUNTA('E2E Combined OD + ZK'!I59,'E2E Combined AB + TCF'!I59)</f>
        <v>0</v>
      </c>
      <c r="L58" s="151">
        <f t="shared" si="3"/>
        <v>1</v>
      </c>
      <c r="M58" s="99">
        <f>COUNTA('Original-E2E'!G60,'E2E Combined OD + ZK'!G59,'E2E Combined AB + TCF'!G59)</f>
        <v>3</v>
      </c>
      <c r="N58" s="144">
        <f>COUNTA('Original-E2E'!H60,'E2E Combined OD + ZK'!H59,'E2E Combined AB + TCF'!H59)</f>
        <v>0</v>
      </c>
      <c r="O58" s="144">
        <f>COUNTA('Original-E2E'!I60,'E2E Combined OD + ZK'!I59,'E2E Combined AB + TCF'!I59)</f>
        <v>0</v>
      </c>
      <c r="P58" s="99">
        <f t="shared" si="4"/>
        <v>1</v>
      </c>
    </row>
    <row r="59">
      <c r="A59" s="99">
        <f>COUNTA('Original-E2E'!G61,'E2E Combined OD + ZK'!G60)</f>
        <v>0</v>
      </c>
      <c r="B59" s="144">
        <f>COUNTA('Original-E2E'!H61,'E2E Combined OD + ZK'!H60)</f>
        <v>2</v>
      </c>
      <c r="C59" s="144">
        <f>COUNTA('Original-E2E'!I61,'E2E Combined OD + ZK'!I60)</f>
        <v>0</v>
      </c>
      <c r="D59" s="151">
        <f t="shared" si="1"/>
        <v>1</v>
      </c>
      <c r="E59" s="99">
        <f>COUNTA('Original-E2E'!G61,'E2E Combined AB + TCF'!G60)</f>
        <v>0</v>
      </c>
      <c r="F59" s="144">
        <f>COUNTA('Original-E2E'!H61,'E2E Combined AB + TCF'!H60)</f>
        <v>2</v>
      </c>
      <c r="G59" s="144">
        <f>COUNTA('Original-E2E'!I61,'E2E Combined AB + TCF'!I60)</f>
        <v>0</v>
      </c>
      <c r="H59" s="152">
        <f t="shared" si="2"/>
        <v>1</v>
      </c>
      <c r="I59" s="99">
        <f>COUNTA('E2E Combined OD + ZK'!G60,'E2E Combined AB + TCF'!G60)</f>
        <v>0</v>
      </c>
      <c r="J59" s="144">
        <f>COUNTA('E2E Combined OD + ZK'!H60,'E2E Combined AB + TCF'!H60)</f>
        <v>2</v>
      </c>
      <c r="K59" s="99">
        <f>COUNTA('E2E Combined OD + ZK'!I60,'E2E Combined AB + TCF'!I60)</f>
        <v>0</v>
      </c>
      <c r="L59" s="151">
        <f t="shared" si="3"/>
        <v>1</v>
      </c>
      <c r="M59" s="99">
        <f>COUNTA('Original-E2E'!G61,'E2E Combined OD + ZK'!G60,'E2E Combined AB + TCF'!G60)</f>
        <v>0</v>
      </c>
      <c r="N59" s="144">
        <f>COUNTA('Original-E2E'!H61,'E2E Combined OD + ZK'!H60,'E2E Combined AB + TCF'!H60)</f>
        <v>3</v>
      </c>
      <c r="O59" s="144">
        <f>COUNTA('Original-E2E'!I61,'E2E Combined OD + ZK'!I60,'E2E Combined AB + TCF'!I60)</f>
        <v>0</v>
      </c>
      <c r="P59" s="99">
        <f t="shared" si="4"/>
        <v>1</v>
      </c>
    </row>
    <row r="60">
      <c r="A60" s="99">
        <f>COUNTA('Original-E2E'!G62,'E2E Combined OD + ZK'!G61)</f>
        <v>2</v>
      </c>
      <c r="B60" s="144">
        <f>COUNTA('Original-E2E'!H62,'E2E Combined OD + ZK'!H61)</f>
        <v>0</v>
      </c>
      <c r="C60" s="144">
        <f>COUNTA('Original-E2E'!I62,'E2E Combined OD + ZK'!I61)</f>
        <v>0</v>
      </c>
      <c r="D60" s="151">
        <f t="shared" si="1"/>
        <v>1</v>
      </c>
      <c r="E60" s="99">
        <f>COUNTA('Original-E2E'!G62,'E2E Combined AB + TCF'!G61)</f>
        <v>1</v>
      </c>
      <c r="F60" s="144">
        <f>COUNTA('Original-E2E'!H62,'E2E Combined AB + TCF'!H61)</f>
        <v>0</v>
      </c>
      <c r="G60" s="144">
        <f>COUNTA('Original-E2E'!I62,'E2E Combined AB + TCF'!I61)</f>
        <v>1</v>
      </c>
      <c r="H60" s="152">
        <f t="shared" si="2"/>
        <v>0</v>
      </c>
      <c r="I60" s="99">
        <f>COUNTA('E2E Combined OD + ZK'!G61,'E2E Combined AB + TCF'!G61)</f>
        <v>1</v>
      </c>
      <c r="J60" s="144">
        <f>COUNTA('E2E Combined OD + ZK'!H61,'E2E Combined AB + TCF'!H61)</f>
        <v>0</v>
      </c>
      <c r="K60" s="99">
        <f>COUNTA('E2E Combined OD + ZK'!I61,'E2E Combined AB + TCF'!I61)</f>
        <v>1</v>
      </c>
      <c r="L60" s="151">
        <f t="shared" si="3"/>
        <v>0</v>
      </c>
      <c r="M60" s="99">
        <f>COUNTA('Original-E2E'!G62,'E2E Combined OD + ZK'!G61,'E2E Combined AB + TCF'!G61)</f>
        <v>2</v>
      </c>
      <c r="N60" s="144">
        <f>COUNTA('Original-E2E'!H62,'E2E Combined OD + ZK'!H61,'E2E Combined AB + TCF'!H61)</f>
        <v>0</v>
      </c>
      <c r="O60" s="144">
        <f>COUNTA('Original-E2E'!I62,'E2E Combined OD + ZK'!I61,'E2E Combined AB + TCF'!I61)</f>
        <v>1</v>
      </c>
      <c r="P60" s="99">
        <f t="shared" si="4"/>
        <v>0.3333333333</v>
      </c>
    </row>
    <row r="61">
      <c r="A61" s="99">
        <f>COUNTA('Original-E2E'!G63,'E2E Combined OD + ZK'!G62)</f>
        <v>0</v>
      </c>
      <c r="B61" s="144">
        <f>COUNTA('Original-E2E'!H63,'E2E Combined OD + ZK'!H62)</f>
        <v>2</v>
      </c>
      <c r="C61" s="144">
        <f>COUNTA('Original-E2E'!I63,'E2E Combined OD + ZK'!I62)</f>
        <v>0</v>
      </c>
      <c r="D61" s="151">
        <f t="shared" si="1"/>
        <v>1</v>
      </c>
      <c r="E61" s="99">
        <f>COUNTA('Original-E2E'!G63,'E2E Combined AB + TCF'!G62)</f>
        <v>0</v>
      </c>
      <c r="F61" s="144">
        <f>COUNTA('Original-E2E'!H63,'E2E Combined AB + TCF'!H62)</f>
        <v>2</v>
      </c>
      <c r="G61" s="144">
        <f>COUNTA('Original-E2E'!I63,'E2E Combined AB + TCF'!I62)</f>
        <v>0</v>
      </c>
      <c r="H61" s="152">
        <f t="shared" si="2"/>
        <v>1</v>
      </c>
      <c r="I61" s="99">
        <f>COUNTA('E2E Combined OD + ZK'!G62,'E2E Combined AB + TCF'!G62)</f>
        <v>0</v>
      </c>
      <c r="J61" s="144">
        <f>COUNTA('E2E Combined OD + ZK'!H62,'E2E Combined AB + TCF'!H62)</f>
        <v>2</v>
      </c>
      <c r="K61" s="99">
        <f>COUNTA('E2E Combined OD + ZK'!I62,'E2E Combined AB + TCF'!I62)</f>
        <v>0</v>
      </c>
      <c r="L61" s="151">
        <f t="shared" si="3"/>
        <v>1</v>
      </c>
      <c r="M61" s="99">
        <f>COUNTA('Original-E2E'!G63,'E2E Combined OD + ZK'!G62,'E2E Combined AB + TCF'!G62)</f>
        <v>0</v>
      </c>
      <c r="N61" s="144">
        <f>COUNTA('Original-E2E'!H63,'E2E Combined OD + ZK'!H62,'E2E Combined AB + TCF'!H62)</f>
        <v>3</v>
      </c>
      <c r="O61" s="144">
        <f>COUNTA('Original-E2E'!I63,'E2E Combined OD + ZK'!I62,'E2E Combined AB + TCF'!I62)</f>
        <v>0</v>
      </c>
      <c r="P61" s="99">
        <f t="shared" si="4"/>
        <v>1</v>
      </c>
    </row>
    <row r="62">
      <c r="A62" s="99">
        <f>COUNTA('Original-E2E'!G64,'E2E Combined OD + ZK'!G63)</f>
        <v>0</v>
      </c>
      <c r="B62" s="144">
        <f>COUNTA('Original-E2E'!H64,'E2E Combined OD + ZK'!H63)</f>
        <v>2</v>
      </c>
      <c r="C62" s="144">
        <f>COUNTA('Original-E2E'!I64,'E2E Combined OD + ZK'!I63)</f>
        <v>0</v>
      </c>
      <c r="D62" s="151">
        <f t="shared" si="1"/>
        <v>1</v>
      </c>
      <c r="E62" s="99">
        <f>COUNTA('Original-E2E'!G64,'E2E Combined AB + TCF'!G63)</f>
        <v>0</v>
      </c>
      <c r="F62" s="144">
        <f>COUNTA('Original-E2E'!H64,'E2E Combined AB + TCF'!H63)</f>
        <v>2</v>
      </c>
      <c r="G62" s="144">
        <f>COUNTA('Original-E2E'!I64,'E2E Combined AB + TCF'!I63)</f>
        <v>0</v>
      </c>
      <c r="H62" s="152">
        <f t="shared" si="2"/>
        <v>1</v>
      </c>
      <c r="I62" s="99">
        <f>COUNTA('E2E Combined OD + ZK'!G63,'E2E Combined AB + TCF'!G63)</f>
        <v>0</v>
      </c>
      <c r="J62" s="144">
        <f>COUNTA('E2E Combined OD + ZK'!H63,'E2E Combined AB + TCF'!H63)</f>
        <v>2</v>
      </c>
      <c r="K62" s="99">
        <f>COUNTA('E2E Combined OD + ZK'!I63,'E2E Combined AB + TCF'!I63)</f>
        <v>0</v>
      </c>
      <c r="L62" s="151">
        <f t="shared" si="3"/>
        <v>1</v>
      </c>
      <c r="M62" s="99">
        <f>COUNTA('Original-E2E'!G64,'E2E Combined OD + ZK'!G63,'E2E Combined AB + TCF'!G63)</f>
        <v>0</v>
      </c>
      <c r="N62" s="144">
        <f>COUNTA('Original-E2E'!H64,'E2E Combined OD + ZK'!H63,'E2E Combined AB + TCF'!H63)</f>
        <v>3</v>
      </c>
      <c r="O62" s="144">
        <f>COUNTA('Original-E2E'!I64,'E2E Combined OD + ZK'!I63,'E2E Combined AB + TCF'!I63)</f>
        <v>0</v>
      </c>
      <c r="P62" s="99">
        <f t="shared" si="4"/>
        <v>1</v>
      </c>
    </row>
    <row r="63">
      <c r="A63" s="99">
        <f>COUNTA('Original-E2E'!G65,'E2E Combined OD + ZK'!G64)</f>
        <v>0</v>
      </c>
      <c r="B63" s="144">
        <f>COUNTA('Original-E2E'!H65,'E2E Combined OD + ZK'!H64)</f>
        <v>2</v>
      </c>
      <c r="C63" s="144">
        <f>COUNTA('Original-E2E'!I65,'E2E Combined OD + ZK'!I64)</f>
        <v>0</v>
      </c>
      <c r="D63" s="151">
        <f t="shared" si="1"/>
        <v>1</v>
      </c>
      <c r="E63" s="99">
        <f>COUNTA('Original-E2E'!G65,'E2E Combined AB + TCF'!G64)</f>
        <v>0</v>
      </c>
      <c r="F63" s="144">
        <f>COUNTA('Original-E2E'!H65,'E2E Combined AB + TCF'!H64)</f>
        <v>2</v>
      </c>
      <c r="G63" s="144">
        <f>COUNTA('Original-E2E'!I65,'E2E Combined AB + TCF'!I64)</f>
        <v>0</v>
      </c>
      <c r="H63" s="152">
        <f t="shared" si="2"/>
        <v>1</v>
      </c>
      <c r="I63" s="99">
        <f>COUNTA('E2E Combined OD + ZK'!G64,'E2E Combined AB + TCF'!G64)</f>
        <v>0</v>
      </c>
      <c r="J63" s="144">
        <f>COUNTA('E2E Combined OD + ZK'!H64,'E2E Combined AB + TCF'!H64)</f>
        <v>2</v>
      </c>
      <c r="K63" s="99">
        <f>COUNTA('E2E Combined OD + ZK'!I64,'E2E Combined AB + TCF'!I64)</f>
        <v>0</v>
      </c>
      <c r="L63" s="151">
        <f t="shared" si="3"/>
        <v>1</v>
      </c>
      <c r="M63" s="99">
        <f>COUNTA('Original-E2E'!G65,'E2E Combined OD + ZK'!G64,'E2E Combined AB + TCF'!G64)</f>
        <v>0</v>
      </c>
      <c r="N63" s="144">
        <f>COUNTA('Original-E2E'!H65,'E2E Combined OD + ZK'!H64,'E2E Combined AB + TCF'!H64)</f>
        <v>3</v>
      </c>
      <c r="O63" s="144">
        <f>COUNTA('Original-E2E'!I65,'E2E Combined OD + ZK'!I64,'E2E Combined AB + TCF'!I64)</f>
        <v>0</v>
      </c>
      <c r="P63" s="99">
        <f t="shared" si="4"/>
        <v>1</v>
      </c>
    </row>
    <row r="64">
      <c r="A64" s="99">
        <f>COUNTA('Original-E2E'!G66,'E2E Combined OD + ZK'!G65)</f>
        <v>0</v>
      </c>
      <c r="B64" s="144">
        <f>COUNTA('Original-E2E'!H66,'E2E Combined OD + ZK'!H65)</f>
        <v>2</v>
      </c>
      <c r="C64" s="144">
        <f>COUNTA('Original-E2E'!I66,'E2E Combined OD + ZK'!I65)</f>
        <v>0</v>
      </c>
      <c r="D64" s="151">
        <f t="shared" si="1"/>
        <v>1</v>
      </c>
      <c r="E64" s="99">
        <f>COUNTA('Original-E2E'!G66,'E2E Combined AB + TCF'!G65)</f>
        <v>0</v>
      </c>
      <c r="F64" s="144">
        <f>COUNTA('Original-E2E'!H66,'E2E Combined AB + TCF'!H65)</f>
        <v>2</v>
      </c>
      <c r="G64" s="144">
        <f>COUNTA('Original-E2E'!I66,'E2E Combined AB + TCF'!I65)</f>
        <v>0</v>
      </c>
      <c r="H64" s="152">
        <f t="shared" si="2"/>
        <v>1</v>
      </c>
      <c r="I64" s="99">
        <f>COUNTA('E2E Combined OD + ZK'!G65,'E2E Combined AB + TCF'!G65)</f>
        <v>0</v>
      </c>
      <c r="J64" s="144">
        <f>COUNTA('E2E Combined OD + ZK'!H65,'E2E Combined AB + TCF'!H65)</f>
        <v>2</v>
      </c>
      <c r="K64" s="99">
        <f>COUNTA('E2E Combined OD + ZK'!I65,'E2E Combined AB + TCF'!I65)</f>
        <v>0</v>
      </c>
      <c r="L64" s="151">
        <f t="shared" si="3"/>
        <v>1</v>
      </c>
      <c r="M64" s="99">
        <f>COUNTA('Original-E2E'!G66,'E2E Combined OD + ZK'!G65,'E2E Combined AB + TCF'!G65)</f>
        <v>0</v>
      </c>
      <c r="N64" s="144">
        <f>COUNTA('Original-E2E'!H66,'E2E Combined OD + ZK'!H65,'E2E Combined AB + TCF'!H65)</f>
        <v>3</v>
      </c>
      <c r="O64" s="144">
        <f>COUNTA('Original-E2E'!I66,'E2E Combined OD + ZK'!I65,'E2E Combined AB + TCF'!I65)</f>
        <v>0</v>
      </c>
      <c r="P64" s="99">
        <f t="shared" si="4"/>
        <v>1</v>
      </c>
    </row>
    <row r="65">
      <c r="A65" s="99">
        <f>COUNTA('Original-E2E'!G67,'E2E Combined OD + ZK'!G66)</f>
        <v>0</v>
      </c>
      <c r="B65" s="144">
        <f>COUNTA('Original-E2E'!H67,'E2E Combined OD + ZK'!H66)</f>
        <v>0</v>
      </c>
      <c r="C65" s="144">
        <f>COUNTA('Original-E2E'!I67,'E2E Combined OD + ZK'!I66)</f>
        <v>2</v>
      </c>
      <c r="D65" s="151">
        <f t="shared" si="1"/>
        <v>1</v>
      </c>
      <c r="E65" s="99">
        <f>COUNTA('Original-E2E'!G67,'E2E Combined AB + TCF'!G66)</f>
        <v>0</v>
      </c>
      <c r="F65" s="144">
        <f>COUNTA('Original-E2E'!H67,'E2E Combined AB + TCF'!H66)</f>
        <v>0</v>
      </c>
      <c r="G65" s="144">
        <f>COUNTA('Original-E2E'!I67,'E2E Combined AB + TCF'!I66)</f>
        <v>2</v>
      </c>
      <c r="H65" s="152">
        <f t="shared" si="2"/>
        <v>1</v>
      </c>
      <c r="I65" s="99">
        <f>COUNTA('E2E Combined OD + ZK'!G66,'E2E Combined AB + TCF'!G66)</f>
        <v>0</v>
      </c>
      <c r="J65" s="144">
        <f>COUNTA('E2E Combined OD + ZK'!H66,'E2E Combined AB + TCF'!H66)</f>
        <v>0</v>
      </c>
      <c r="K65" s="99">
        <f>COUNTA('E2E Combined OD + ZK'!I66,'E2E Combined AB + TCF'!I66)</f>
        <v>2</v>
      </c>
      <c r="L65" s="151">
        <f t="shared" si="3"/>
        <v>1</v>
      </c>
      <c r="M65" s="99">
        <f>COUNTA('Original-E2E'!G67,'E2E Combined OD + ZK'!G66,'E2E Combined AB + TCF'!G66)</f>
        <v>0</v>
      </c>
      <c r="N65" s="144">
        <f>COUNTA('Original-E2E'!H67,'E2E Combined OD + ZK'!H66,'E2E Combined AB + TCF'!H66)</f>
        <v>0</v>
      </c>
      <c r="O65" s="144">
        <f>COUNTA('Original-E2E'!I67,'E2E Combined OD + ZK'!I66,'E2E Combined AB + TCF'!I66)</f>
        <v>3</v>
      </c>
      <c r="P65" s="99">
        <f t="shared" si="4"/>
        <v>1</v>
      </c>
    </row>
    <row r="66">
      <c r="A66" s="99">
        <f>COUNTA('Original-E2E'!G68,'E2E Combined OD + ZK'!G67)</f>
        <v>2</v>
      </c>
      <c r="B66" s="144">
        <f>COUNTA('Original-E2E'!H68,'E2E Combined OD + ZK'!H67)</f>
        <v>0</v>
      </c>
      <c r="C66" s="144">
        <f>COUNTA('Original-E2E'!I68,'E2E Combined OD + ZK'!I67)</f>
        <v>0</v>
      </c>
      <c r="D66" s="151">
        <f t="shared" si="1"/>
        <v>1</v>
      </c>
      <c r="E66" s="99">
        <f>COUNTA('Original-E2E'!G68,'E2E Combined AB + TCF'!G67)</f>
        <v>2</v>
      </c>
      <c r="F66" s="144">
        <f>COUNTA('Original-E2E'!H68,'E2E Combined AB + TCF'!H67)</f>
        <v>0</v>
      </c>
      <c r="G66" s="144">
        <f>COUNTA('Original-E2E'!I68,'E2E Combined AB + TCF'!I67)</f>
        <v>0</v>
      </c>
      <c r="H66" s="152">
        <f t="shared" si="2"/>
        <v>1</v>
      </c>
      <c r="I66" s="99">
        <f>COUNTA('E2E Combined OD + ZK'!G67,'E2E Combined AB + TCF'!G67)</f>
        <v>2</v>
      </c>
      <c r="J66" s="144">
        <f>COUNTA('E2E Combined OD + ZK'!H67,'E2E Combined AB + TCF'!H67)</f>
        <v>0</v>
      </c>
      <c r="K66" s="99">
        <f>COUNTA('E2E Combined OD + ZK'!I67,'E2E Combined AB + TCF'!I67)</f>
        <v>0</v>
      </c>
      <c r="L66" s="151">
        <f t="shared" si="3"/>
        <v>1</v>
      </c>
      <c r="M66" s="99">
        <f>COUNTA('Original-E2E'!G68,'E2E Combined OD + ZK'!G67,'E2E Combined AB + TCF'!G67)</f>
        <v>3</v>
      </c>
      <c r="N66" s="144">
        <f>COUNTA('Original-E2E'!H68,'E2E Combined OD + ZK'!H67,'E2E Combined AB + TCF'!H67)</f>
        <v>0</v>
      </c>
      <c r="O66" s="144">
        <f>COUNTA('Original-E2E'!I68,'E2E Combined OD + ZK'!I67,'E2E Combined AB + TCF'!I67)</f>
        <v>0</v>
      </c>
      <c r="P66" s="99">
        <f t="shared" si="4"/>
        <v>1</v>
      </c>
    </row>
    <row r="67">
      <c r="A67" s="99">
        <f>COUNTA('Original-E2E'!G69,'E2E Combined OD + ZK'!G68)</f>
        <v>0</v>
      </c>
      <c r="B67" s="144">
        <f>COUNTA('Original-E2E'!H69,'E2E Combined OD + ZK'!H68)</f>
        <v>2</v>
      </c>
      <c r="C67" s="144">
        <f>COUNTA('Original-E2E'!I69,'E2E Combined OD + ZK'!I68)</f>
        <v>0</v>
      </c>
      <c r="D67" s="151">
        <f t="shared" si="1"/>
        <v>1</v>
      </c>
      <c r="E67" s="99">
        <f>COUNTA('Original-E2E'!G69,'E2E Combined AB + TCF'!G68)</f>
        <v>0</v>
      </c>
      <c r="F67" s="144">
        <f>COUNTA('Original-E2E'!H69,'E2E Combined AB + TCF'!H68)</f>
        <v>2</v>
      </c>
      <c r="G67" s="144">
        <f>COUNTA('Original-E2E'!I69,'E2E Combined AB + TCF'!I68)</f>
        <v>0</v>
      </c>
      <c r="H67" s="152">
        <f t="shared" si="2"/>
        <v>1</v>
      </c>
      <c r="I67" s="99">
        <f>COUNTA('E2E Combined OD + ZK'!G68,'E2E Combined AB + TCF'!G68)</f>
        <v>0</v>
      </c>
      <c r="J67" s="144">
        <f>COUNTA('E2E Combined OD + ZK'!H68,'E2E Combined AB + TCF'!H68)</f>
        <v>2</v>
      </c>
      <c r="K67" s="99">
        <f>COUNTA('E2E Combined OD + ZK'!I68,'E2E Combined AB + TCF'!I68)</f>
        <v>0</v>
      </c>
      <c r="L67" s="151">
        <f t="shared" si="3"/>
        <v>1</v>
      </c>
      <c r="M67" s="99">
        <f>COUNTA('Original-E2E'!G69,'E2E Combined OD + ZK'!G68,'E2E Combined AB + TCF'!G68)</f>
        <v>0</v>
      </c>
      <c r="N67" s="144">
        <f>COUNTA('Original-E2E'!H69,'E2E Combined OD + ZK'!H68,'E2E Combined AB + TCF'!H68)</f>
        <v>3</v>
      </c>
      <c r="O67" s="144">
        <f>COUNTA('Original-E2E'!I69,'E2E Combined OD + ZK'!I68,'E2E Combined AB + TCF'!I68)</f>
        <v>0</v>
      </c>
      <c r="P67" s="99">
        <f t="shared" si="4"/>
        <v>1</v>
      </c>
    </row>
    <row r="68">
      <c r="A68" s="99">
        <f>COUNTA('Original-E2E'!G70,'E2E Combined OD + ZK'!G69)</f>
        <v>2</v>
      </c>
      <c r="B68" s="144">
        <f>COUNTA('Original-E2E'!H70,'E2E Combined OD + ZK'!H69)</f>
        <v>0</v>
      </c>
      <c r="C68" s="144">
        <f>COUNTA('Original-E2E'!I70,'E2E Combined OD + ZK'!I69)</f>
        <v>0</v>
      </c>
      <c r="D68" s="151">
        <f t="shared" si="1"/>
        <v>1</v>
      </c>
      <c r="E68" s="99">
        <f>COUNTA('Original-E2E'!G70,'E2E Combined AB + TCF'!G69)</f>
        <v>2</v>
      </c>
      <c r="F68" s="144">
        <f>COUNTA('Original-E2E'!H70,'E2E Combined AB + TCF'!H69)</f>
        <v>0</v>
      </c>
      <c r="G68" s="144">
        <f>COUNTA('Original-E2E'!I70,'E2E Combined AB + TCF'!I69)</f>
        <v>0</v>
      </c>
      <c r="H68" s="152">
        <f t="shared" si="2"/>
        <v>1</v>
      </c>
      <c r="I68" s="99">
        <f>COUNTA('E2E Combined OD + ZK'!G69,'E2E Combined AB + TCF'!G69)</f>
        <v>2</v>
      </c>
      <c r="J68" s="144">
        <f>COUNTA('E2E Combined OD + ZK'!H69,'E2E Combined AB + TCF'!H69)</f>
        <v>0</v>
      </c>
      <c r="K68" s="99">
        <f>COUNTA('E2E Combined OD + ZK'!I69,'E2E Combined AB + TCF'!I69)</f>
        <v>0</v>
      </c>
      <c r="L68" s="151">
        <f t="shared" si="3"/>
        <v>1</v>
      </c>
      <c r="M68" s="99">
        <f>COUNTA('Original-E2E'!G70,'E2E Combined OD + ZK'!G69,'E2E Combined AB + TCF'!G69)</f>
        <v>3</v>
      </c>
      <c r="N68" s="144">
        <f>COUNTA('Original-E2E'!H70,'E2E Combined OD + ZK'!H69,'E2E Combined AB + TCF'!H69)</f>
        <v>0</v>
      </c>
      <c r="O68" s="144">
        <f>COUNTA('Original-E2E'!I70,'E2E Combined OD + ZK'!I69,'E2E Combined AB + TCF'!I69)</f>
        <v>0</v>
      </c>
      <c r="P68" s="99">
        <f t="shared" si="4"/>
        <v>1</v>
      </c>
    </row>
    <row r="69">
      <c r="A69" s="99">
        <f>COUNTA('Original-E2E'!G71,'E2E Combined OD + ZK'!G70)</f>
        <v>1</v>
      </c>
      <c r="B69" s="144">
        <f>COUNTA('Original-E2E'!H71,'E2E Combined OD + ZK'!H70)</f>
        <v>1</v>
      </c>
      <c r="C69" s="144">
        <f>COUNTA('Original-E2E'!I71,'E2E Combined OD + ZK'!I70)</f>
        <v>0</v>
      </c>
      <c r="D69" s="151">
        <f t="shared" si="1"/>
        <v>0</v>
      </c>
      <c r="E69" s="99">
        <f>COUNTA('Original-E2E'!G71,'E2E Combined AB + TCF'!G70)</f>
        <v>1</v>
      </c>
      <c r="F69" s="144">
        <f>COUNTA('Original-E2E'!H71,'E2E Combined AB + TCF'!H70)</f>
        <v>1</v>
      </c>
      <c r="G69" s="144">
        <f>COUNTA('Original-E2E'!I71,'E2E Combined AB + TCF'!I70)</f>
        <v>0</v>
      </c>
      <c r="H69" s="152">
        <f t="shared" si="2"/>
        <v>0</v>
      </c>
      <c r="I69" s="99">
        <f>COUNTA('E2E Combined OD + ZK'!G70,'E2E Combined AB + TCF'!G70)</f>
        <v>2</v>
      </c>
      <c r="J69" s="144">
        <f>COUNTA('E2E Combined OD + ZK'!H70,'E2E Combined AB + TCF'!H70)</f>
        <v>0</v>
      </c>
      <c r="K69" s="99">
        <f>COUNTA('E2E Combined OD + ZK'!I70,'E2E Combined AB + TCF'!I70)</f>
        <v>0</v>
      </c>
      <c r="L69" s="151">
        <f t="shared" si="3"/>
        <v>1</v>
      </c>
      <c r="M69" s="99">
        <f>COUNTA('Original-E2E'!G71,'E2E Combined OD + ZK'!G70,'E2E Combined AB + TCF'!G70)</f>
        <v>2</v>
      </c>
      <c r="N69" s="144">
        <f>COUNTA('Original-E2E'!H71,'E2E Combined OD + ZK'!H70,'E2E Combined AB + TCF'!H70)</f>
        <v>1</v>
      </c>
      <c r="O69" s="144">
        <f>COUNTA('Original-E2E'!I71,'E2E Combined OD + ZK'!I70,'E2E Combined AB + TCF'!I70)</f>
        <v>0</v>
      </c>
      <c r="P69" s="99">
        <f t="shared" si="4"/>
        <v>0.3333333333</v>
      </c>
    </row>
    <row r="70">
      <c r="A70" s="99">
        <f>COUNTA('Original-E2E'!G72,'E2E Combined OD + ZK'!G71)</f>
        <v>2</v>
      </c>
      <c r="B70" s="144">
        <f>COUNTA('Original-E2E'!H72,'E2E Combined OD + ZK'!H71)</f>
        <v>0</v>
      </c>
      <c r="C70" s="144">
        <f>COUNTA('Original-E2E'!I72,'E2E Combined OD + ZK'!I71)</f>
        <v>0</v>
      </c>
      <c r="D70" s="151">
        <f t="shared" si="1"/>
        <v>1</v>
      </c>
      <c r="E70" s="99">
        <f>COUNTA('Original-E2E'!G72,'E2E Combined AB + TCF'!G71)</f>
        <v>2</v>
      </c>
      <c r="F70" s="144">
        <f>COUNTA('Original-E2E'!H72,'E2E Combined AB + TCF'!H71)</f>
        <v>0</v>
      </c>
      <c r="G70" s="144">
        <f>COUNTA('Original-E2E'!I72,'E2E Combined AB + TCF'!I71)</f>
        <v>0</v>
      </c>
      <c r="H70" s="152">
        <f t="shared" si="2"/>
        <v>1</v>
      </c>
      <c r="I70" s="99">
        <f>COUNTA('E2E Combined OD + ZK'!G71,'E2E Combined AB + TCF'!G71)</f>
        <v>2</v>
      </c>
      <c r="J70" s="144">
        <f>COUNTA('E2E Combined OD + ZK'!H71,'E2E Combined AB + TCF'!H71)</f>
        <v>0</v>
      </c>
      <c r="K70" s="99">
        <f>COUNTA('E2E Combined OD + ZK'!I71,'E2E Combined AB + TCF'!I71)</f>
        <v>0</v>
      </c>
      <c r="L70" s="151">
        <f t="shared" si="3"/>
        <v>1</v>
      </c>
      <c r="M70" s="99">
        <f>COUNTA('Original-E2E'!G72,'E2E Combined OD + ZK'!G71,'E2E Combined AB + TCF'!G71)</f>
        <v>3</v>
      </c>
      <c r="N70" s="144">
        <f>COUNTA('Original-E2E'!H72,'E2E Combined OD + ZK'!H71,'E2E Combined AB + TCF'!H71)</f>
        <v>0</v>
      </c>
      <c r="O70" s="144">
        <f>COUNTA('Original-E2E'!I72,'E2E Combined OD + ZK'!I71,'E2E Combined AB + TCF'!I71)</f>
        <v>0</v>
      </c>
      <c r="P70" s="99">
        <f t="shared" si="4"/>
        <v>1</v>
      </c>
    </row>
    <row r="71">
      <c r="A71" s="99">
        <f>COUNTA('Original-E2E'!G73,'E2E Combined OD + ZK'!G72)</f>
        <v>0</v>
      </c>
      <c r="B71" s="144">
        <f>COUNTA('Original-E2E'!H73,'E2E Combined OD + ZK'!H72)</f>
        <v>2</v>
      </c>
      <c r="C71" s="144">
        <f>COUNTA('Original-E2E'!I73,'E2E Combined OD + ZK'!I72)</f>
        <v>0</v>
      </c>
      <c r="D71" s="151">
        <f t="shared" si="1"/>
        <v>1</v>
      </c>
      <c r="E71" s="99">
        <f>COUNTA('Original-E2E'!G73,'E2E Combined AB + TCF'!G72)</f>
        <v>0</v>
      </c>
      <c r="F71" s="144">
        <f>COUNTA('Original-E2E'!H73,'E2E Combined AB + TCF'!H72)</f>
        <v>2</v>
      </c>
      <c r="G71" s="144">
        <f>COUNTA('Original-E2E'!I73,'E2E Combined AB + TCF'!I72)</f>
        <v>0</v>
      </c>
      <c r="H71" s="152">
        <f t="shared" si="2"/>
        <v>1</v>
      </c>
      <c r="I71" s="99">
        <f>COUNTA('E2E Combined OD + ZK'!G72,'E2E Combined AB + TCF'!G72)</f>
        <v>0</v>
      </c>
      <c r="J71" s="144">
        <f>COUNTA('E2E Combined OD + ZK'!H72,'E2E Combined AB + TCF'!H72)</f>
        <v>2</v>
      </c>
      <c r="K71" s="99">
        <f>COUNTA('E2E Combined OD + ZK'!I72,'E2E Combined AB + TCF'!I72)</f>
        <v>0</v>
      </c>
      <c r="L71" s="151">
        <f t="shared" si="3"/>
        <v>1</v>
      </c>
      <c r="M71" s="99">
        <f>COUNTA('Original-E2E'!G73,'E2E Combined OD + ZK'!G72,'E2E Combined AB + TCF'!G72)</f>
        <v>0</v>
      </c>
      <c r="N71" s="144">
        <f>COUNTA('Original-E2E'!H73,'E2E Combined OD + ZK'!H72,'E2E Combined AB + TCF'!H72)</f>
        <v>3</v>
      </c>
      <c r="O71" s="144">
        <f>COUNTA('Original-E2E'!I73,'E2E Combined OD + ZK'!I72,'E2E Combined AB + TCF'!I72)</f>
        <v>0</v>
      </c>
      <c r="P71" s="99">
        <f t="shared" si="4"/>
        <v>1</v>
      </c>
    </row>
    <row r="72">
      <c r="A72" s="99">
        <f>COUNTA('Original-E2E'!G74,'E2E Combined OD + ZK'!G73)</f>
        <v>0</v>
      </c>
      <c r="B72" s="144">
        <f>COUNTA('Original-E2E'!H74,'E2E Combined OD + ZK'!H73)</f>
        <v>2</v>
      </c>
      <c r="C72" s="144">
        <f>COUNTA('Original-E2E'!I74,'E2E Combined OD + ZK'!I73)</f>
        <v>0</v>
      </c>
      <c r="D72" s="151">
        <f t="shared" si="1"/>
        <v>1</v>
      </c>
      <c r="E72" s="99">
        <f>COUNTA('Original-E2E'!G74,'E2E Combined AB + TCF'!G73)</f>
        <v>0</v>
      </c>
      <c r="F72" s="144">
        <f>COUNTA('Original-E2E'!H74,'E2E Combined AB + TCF'!H73)</f>
        <v>2</v>
      </c>
      <c r="G72" s="144">
        <f>COUNTA('Original-E2E'!I74,'E2E Combined AB + TCF'!I73)</f>
        <v>0</v>
      </c>
      <c r="H72" s="152">
        <f t="shared" si="2"/>
        <v>1</v>
      </c>
      <c r="I72" s="99">
        <f>COUNTA('E2E Combined OD + ZK'!G73,'E2E Combined AB + TCF'!G73)</f>
        <v>0</v>
      </c>
      <c r="J72" s="144">
        <f>COUNTA('E2E Combined OD + ZK'!H73,'E2E Combined AB + TCF'!H73)</f>
        <v>2</v>
      </c>
      <c r="K72" s="99">
        <f>COUNTA('E2E Combined OD + ZK'!I73,'E2E Combined AB + TCF'!I73)</f>
        <v>0</v>
      </c>
      <c r="L72" s="151">
        <f t="shared" si="3"/>
        <v>1</v>
      </c>
      <c r="M72" s="99">
        <f>COUNTA('Original-E2E'!G74,'E2E Combined OD + ZK'!G73,'E2E Combined AB + TCF'!G73)</f>
        <v>0</v>
      </c>
      <c r="N72" s="144">
        <f>COUNTA('Original-E2E'!H74,'E2E Combined OD + ZK'!H73,'E2E Combined AB + TCF'!H73)</f>
        <v>3</v>
      </c>
      <c r="O72" s="144">
        <f>COUNTA('Original-E2E'!I74,'E2E Combined OD + ZK'!I73,'E2E Combined AB + TCF'!I73)</f>
        <v>0</v>
      </c>
      <c r="P72" s="99">
        <f t="shared" si="4"/>
        <v>1</v>
      </c>
    </row>
    <row r="73">
      <c r="A73" s="99">
        <f>COUNTA('Original-E2E'!G75,'E2E Combined OD + ZK'!G74)</f>
        <v>0</v>
      </c>
      <c r="B73" s="144">
        <f>COUNTA('Original-E2E'!H75,'E2E Combined OD + ZK'!H74)</f>
        <v>2</v>
      </c>
      <c r="C73" s="144">
        <f>COUNTA('Original-E2E'!I75,'E2E Combined OD + ZK'!I74)</f>
        <v>0</v>
      </c>
      <c r="D73" s="151">
        <f t="shared" si="1"/>
        <v>1</v>
      </c>
      <c r="E73" s="99">
        <f>COUNTA('Original-E2E'!G75,'E2E Combined AB + TCF'!G74)</f>
        <v>0</v>
      </c>
      <c r="F73" s="144">
        <f>COUNTA('Original-E2E'!H75,'E2E Combined AB + TCF'!H74)</f>
        <v>2</v>
      </c>
      <c r="G73" s="144">
        <f>COUNTA('Original-E2E'!I75,'E2E Combined AB + TCF'!I74)</f>
        <v>0</v>
      </c>
      <c r="H73" s="152">
        <f t="shared" si="2"/>
        <v>1</v>
      </c>
      <c r="I73" s="99">
        <f>COUNTA('E2E Combined OD + ZK'!G74,'E2E Combined AB + TCF'!G74)</f>
        <v>0</v>
      </c>
      <c r="J73" s="144">
        <f>COUNTA('E2E Combined OD + ZK'!H74,'E2E Combined AB + TCF'!H74)</f>
        <v>2</v>
      </c>
      <c r="K73" s="99">
        <f>COUNTA('E2E Combined OD + ZK'!I74,'E2E Combined AB + TCF'!I74)</f>
        <v>0</v>
      </c>
      <c r="L73" s="151">
        <f t="shared" si="3"/>
        <v>1</v>
      </c>
      <c r="M73" s="99">
        <f>COUNTA('Original-E2E'!G75,'E2E Combined OD + ZK'!G74,'E2E Combined AB + TCF'!G74)</f>
        <v>0</v>
      </c>
      <c r="N73" s="144">
        <f>COUNTA('Original-E2E'!H75,'E2E Combined OD + ZK'!H74,'E2E Combined AB + TCF'!H74)</f>
        <v>3</v>
      </c>
      <c r="O73" s="144">
        <f>COUNTA('Original-E2E'!I75,'E2E Combined OD + ZK'!I74,'E2E Combined AB + TCF'!I74)</f>
        <v>0</v>
      </c>
      <c r="P73" s="99">
        <f t="shared" si="4"/>
        <v>1</v>
      </c>
    </row>
    <row r="74">
      <c r="A74" s="99">
        <f>COUNTA('Original-E2E'!G76,'E2E Combined OD + ZK'!G75)</f>
        <v>0</v>
      </c>
      <c r="B74" s="144">
        <f>COUNTA('Original-E2E'!H76,'E2E Combined OD + ZK'!H75)</f>
        <v>0</v>
      </c>
      <c r="C74" s="144">
        <f>COUNTA('Original-E2E'!I76,'E2E Combined OD + ZK'!I75)</f>
        <v>2</v>
      </c>
      <c r="D74" s="151">
        <f t="shared" si="1"/>
        <v>1</v>
      </c>
      <c r="E74" s="99">
        <f>COUNTA('Original-E2E'!G76,'E2E Combined AB + TCF'!G75)</f>
        <v>0</v>
      </c>
      <c r="F74" s="144">
        <f>COUNTA('Original-E2E'!H76,'E2E Combined AB + TCF'!H75)</f>
        <v>0</v>
      </c>
      <c r="G74" s="144">
        <f>COUNTA('Original-E2E'!I76,'E2E Combined AB + TCF'!I75)</f>
        <v>2</v>
      </c>
      <c r="H74" s="152">
        <f t="shared" si="2"/>
        <v>1</v>
      </c>
      <c r="I74" s="99">
        <f>COUNTA('E2E Combined OD + ZK'!G75,'E2E Combined AB + TCF'!G75)</f>
        <v>0</v>
      </c>
      <c r="J74" s="144">
        <f>COUNTA('E2E Combined OD + ZK'!H75,'E2E Combined AB + TCF'!H75)</f>
        <v>0</v>
      </c>
      <c r="K74" s="99">
        <f>COUNTA('E2E Combined OD + ZK'!I75,'E2E Combined AB + TCF'!I75)</f>
        <v>2</v>
      </c>
      <c r="L74" s="151">
        <f t="shared" si="3"/>
        <v>1</v>
      </c>
      <c r="M74" s="99">
        <f>COUNTA('Original-E2E'!G76,'E2E Combined OD + ZK'!G75,'E2E Combined AB + TCF'!G75)</f>
        <v>0</v>
      </c>
      <c r="N74" s="144">
        <f>COUNTA('Original-E2E'!H76,'E2E Combined OD + ZK'!H75,'E2E Combined AB + TCF'!H75)</f>
        <v>0</v>
      </c>
      <c r="O74" s="144">
        <f>COUNTA('Original-E2E'!I76,'E2E Combined OD + ZK'!I75,'E2E Combined AB + TCF'!I75)</f>
        <v>3</v>
      </c>
      <c r="P74" s="99">
        <f t="shared" si="4"/>
        <v>1</v>
      </c>
    </row>
    <row r="75">
      <c r="A75" s="99">
        <f>COUNTA('Original-E2E'!G77,'E2E Combined OD + ZK'!G76)</f>
        <v>0</v>
      </c>
      <c r="B75" s="144">
        <f>COUNTA('Original-E2E'!H77,'E2E Combined OD + ZK'!H76)</f>
        <v>0</v>
      </c>
      <c r="C75" s="144">
        <f>COUNTA('Original-E2E'!I77,'E2E Combined OD + ZK'!I76)</f>
        <v>2</v>
      </c>
      <c r="D75" s="151">
        <f t="shared" si="1"/>
        <v>1</v>
      </c>
      <c r="E75" s="99">
        <f>COUNTA('Original-E2E'!G77,'E2E Combined AB + TCF'!G76)</f>
        <v>0</v>
      </c>
      <c r="F75" s="144">
        <f>COUNTA('Original-E2E'!H77,'E2E Combined AB + TCF'!H76)</f>
        <v>1</v>
      </c>
      <c r="G75" s="144">
        <f>COUNTA('Original-E2E'!I77,'E2E Combined AB + TCF'!I76)</f>
        <v>1</v>
      </c>
      <c r="H75" s="152">
        <f t="shared" si="2"/>
        <v>0</v>
      </c>
      <c r="I75" s="99">
        <f>COUNTA('E2E Combined OD + ZK'!G76,'E2E Combined AB + TCF'!G76)</f>
        <v>0</v>
      </c>
      <c r="J75" s="144">
        <f>COUNTA('E2E Combined OD + ZK'!H76,'E2E Combined AB + TCF'!H76)</f>
        <v>1</v>
      </c>
      <c r="K75" s="99">
        <f>COUNTA('E2E Combined OD + ZK'!I76,'E2E Combined AB + TCF'!I76)</f>
        <v>1</v>
      </c>
      <c r="L75" s="151">
        <f t="shared" si="3"/>
        <v>0</v>
      </c>
      <c r="M75" s="99">
        <f>COUNTA('Original-E2E'!G77,'E2E Combined OD + ZK'!G76,'E2E Combined AB + TCF'!G76)</f>
        <v>0</v>
      </c>
      <c r="N75" s="144">
        <f>COUNTA('Original-E2E'!H77,'E2E Combined OD + ZK'!H76,'E2E Combined AB + TCF'!H76)</f>
        <v>1</v>
      </c>
      <c r="O75" s="144">
        <f>COUNTA('Original-E2E'!I77,'E2E Combined OD + ZK'!I76,'E2E Combined AB + TCF'!I76)</f>
        <v>2</v>
      </c>
      <c r="P75" s="99">
        <f t="shared" si="4"/>
        <v>0.3333333333</v>
      </c>
    </row>
    <row r="76">
      <c r="A76" s="99">
        <f>COUNTA('Original-E2E'!G78,'E2E Combined OD + ZK'!G77)</f>
        <v>0</v>
      </c>
      <c r="B76" s="144">
        <f>COUNTA('Original-E2E'!H78,'E2E Combined OD + ZK'!H77)</f>
        <v>2</v>
      </c>
      <c r="C76" s="144">
        <f>COUNTA('Original-E2E'!I78,'E2E Combined OD + ZK'!I77)</f>
        <v>0</v>
      </c>
      <c r="D76" s="151">
        <f t="shared" si="1"/>
        <v>1</v>
      </c>
      <c r="E76" s="99">
        <f>COUNTA('Original-E2E'!G78,'E2E Combined AB + TCF'!G77)</f>
        <v>0</v>
      </c>
      <c r="F76" s="144">
        <f>COUNTA('Original-E2E'!H78,'E2E Combined AB + TCF'!H77)</f>
        <v>2</v>
      </c>
      <c r="G76" s="144">
        <f>COUNTA('Original-E2E'!I78,'E2E Combined AB + TCF'!I77)</f>
        <v>0</v>
      </c>
      <c r="H76" s="152">
        <f t="shared" si="2"/>
        <v>1</v>
      </c>
      <c r="I76" s="99">
        <f>COUNTA('E2E Combined OD + ZK'!G77,'E2E Combined AB + TCF'!G77)</f>
        <v>0</v>
      </c>
      <c r="J76" s="144">
        <f>COUNTA('E2E Combined OD + ZK'!H77,'E2E Combined AB + TCF'!H77)</f>
        <v>2</v>
      </c>
      <c r="K76" s="99">
        <f>COUNTA('E2E Combined OD + ZK'!I77,'E2E Combined AB + TCF'!I77)</f>
        <v>0</v>
      </c>
      <c r="L76" s="151">
        <f t="shared" si="3"/>
        <v>1</v>
      </c>
      <c r="M76" s="99">
        <f>COUNTA('Original-E2E'!G78,'E2E Combined OD + ZK'!G77,'E2E Combined AB + TCF'!G77)</f>
        <v>0</v>
      </c>
      <c r="N76" s="144">
        <f>COUNTA('Original-E2E'!H78,'E2E Combined OD + ZK'!H77,'E2E Combined AB + TCF'!H77)</f>
        <v>3</v>
      </c>
      <c r="O76" s="144">
        <f>COUNTA('Original-E2E'!I78,'E2E Combined OD + ZK'!I77,'E2E Combined AB + TCF'!I77)</f>
        <v>0</v>
      </c>
      <c r="P76" s="99">
        <f t="shared" si="4"/>
        <v>1</v>
      </c>
    </row>
    <row r="77">
      <c r="A77" s="99">
        <f>COUNTA('Original-E2E'!G79,'E2E Combined OD + ZK'!G78)</f>
        <v>0</v>
      </c>
      <c r="B77" s="144">
        <f>COUNTA('Original-E2E'!H79,'E2E Combined OD + ZK'!H78)</f>
        <v>2</v>
      </c>
      <c r="C77" s="144">
        <f>COUNTA('Original-E2E'!I79,'E2E Combined OD + ZK'!I78)</f>
        <v>0</v>
      </c>
      <c r="D77" s="151">
        <f t="shared" si="1"/>
        <v>1</v>
      </c>
      <c r="E77" s="99">
        <f>COUNTA('Original-E2E'!G79,'E2E Combined AB + TCF'!G78)</f>
        <v>0</v>
      </c>
      <c r="F77" s="144">
        <f>COUNTA('Original-E2E'!H79,'E2E Combined AB + TCF'!H78)</f>
        <v>2</v>
      </c>
      <c r="G77" s="144">
        <f>COUNTA('Original-E2E'!I79,'E2E Combined AB + TCF'!I78)</f>
        <v>0</v>
      </c>
      <c r="H77" s="152">
        <f t="shared" si="2"/>
        <v>1</v>
      </c>
      <c r="I77" s="99">
        <f>COUNTA('E2E Combined OD + ZK'!G78,'E2E Combined AB + TCF'!G78)</f>
        <v>0</v>
      </c>
      <c r="J77" s="144">
        <f>COUNTA('E2E Combined OD + ZK'!H78,'E2E Combined AB + TCF'!H78)</f>
        <v>2</v>
      </c>
      <c r="K77" s="99">
        <f>COUNTA('E2E Combined OD + ZK'!I78,'E2E Combined AB + TCF'!I78)</f>
        <v>0</v>
      </c>
      <c r="L77" s="151">
        <f t="shared" si="3"/>
        <v>1</v>
      </c>
      <c r="M77" s="99">
        <f>COUNTA('Original-E2E'!G79,'E2E Combined OD + ZK'!G78,'E2E Combined AB + TCF'!G78)</f>
        <v>0</v>
      </c>
      <c r="N77" s="144">
        <f>COUNTA('Original-E2E'!H79,'E2E Combined OD + ZK'!H78,'E2E Combined AB + TCF'!H78)</f>
        <v>3</v>
      </c>
      <c r="O77" s="144">
        <f>COUNTA('Original-E2E'!I79,'E2E Combined OD + ZK'!I78,'E2E Combined AB + TCF'!I78)</f>
        <v>0</v>
      </c>
      <c r="P77" s="99">
        <f t="shared" si="4"/>
        <v>1</v>
      </c>
    </row>
    <row r="78">
      <c r="A78" s="99">
        <f>COUNTA('Original-E2E'!G80,'E2E Combined OD + ZK'!G79)</f>
        <v>0</v>
      </c>
      <c r="B78" s="144">
        <f>COUNTA('Original-E2E'!H80,'E2E Combined OD + ZK'!H79)</f>
        <v>2</v>
      </c>
      <c r="C78" s="144">
        <f>COUNTA('Original-E2E'!I80,'E2E Combined OD + ZK'!I79)</f>
        <v>0</v>
      </c>
      <c r="D78" s="151">
        <f t="shared" si="1"/>
        <v>1</v>
      </c>
      <c r="E78" s="99">
        <f>COUNTA('Original-E2E'!G80,'E2E Combined AB + TCF'!G79)</f>
        <v>0</v>
      </c>
      <c r="F78" s="144">
        <f>COUNTA('Original-E2E'!H80,'E2E Combined AB + TCF'!H79)</f>
        <v>2</v>
      </c>
      <c r="G78" s="144">
        <f>COUNTA('Original-E2E'!I80,'E2E Combined AB + TCF'!I79)</f>
        <v>0</v>
      </c>
      <c r="H78" s="152">
        <f t="shared" si="2"/>
        <v>1</v>
      </c>
      <c r="I78" s="99">
        <f>COUNTA('E2E Combined OD + ZK'!G79,'E2E Combined AB + TCF'!G79)</f>
        <v>0</v>
      </c>
      <c r="J78" s="144">
        <f>COUNTA('E2E Combined OD + ZK'!H79,'E2E Combined AB + TCF'!H79)</f>
        <v>2</v>
      </c>
      <c r="K78" s="99">
        <f>COUNTA('E2E Combined OD + ZK'!I79,'E2E Combined AB + TCF'!I79)</f>
        <v>0</v>
      </c>
      <c r="L78" s="151">
        <f t="shared" si="3"/>
        <v>1</v>
      </c>
      <c r="M78" s="99">
        <f>COUNTA('Original-E2E'!G80,'E2E Combined OD + ZK'!G79,'E2E Combined AB + TCF'!G79)</f>
        <v>0</v>
      </c>
      <c r="N78" s="144">
        <f>COUNTA('Original-E2E'!H80,'E2E Combined OD + ZK'!H79,'E2E Combined AB + TCF'!H79)</f>
        <v>3</v>
      </c>
      <c r="O78" s="144">
        <f>COUNTA('Original-E2E'!I80,'E2E Combined OD + ZK'!I79,'E2E Combined AB + TCF'!I79)</f>
        <v>0</v>
      </c>
      <c r="P78" s="99">
        <f t="shared" si="4"/>
        <v>1</v>
      </c>
    </row>
    <row r="79">
      <c r="A79" s="99">
        <f>COUNTA('Original-E2E'!G81,'E2E Combined OD + ZK'!G80)</f>
        <v>1</v>
      </c>
      <c r="B79" s="144">
        <f>COUNTA('Original-E2E'!H81,'E2E Combined OD + ZK'!H80)</f>
        <v>0</v>
      </c>
      <c r="C79" s="144">
        <f>COUNTA('Original-E2E'!I81,'E2E Combined OD + ZK'!I80)</f>
        <v>1</v>
      </c>
      <c r="D79" s="151">
        <f t="shared" si="1"/>
        <v>0</v>
      </c>
      <c r="E79" s="99">
        <f>COUNTA('Original-E2E'!G81,'E2E Combined AB + TCF'!G80)</f>
        <v>0</v>
      </c>
      <c r="F79" s="144">
        <f>COUNTA('Original-E2E'!H81,'E2E Combined AB + TCF'!H80)</f>
        <v>0</v>
      </c>
      <c r="G79" s="144">
        <f>COUNTA('Original-E2E'!I81,'E2E Combined AB + TCF'!I80)</f>
        <v>2</v>
      </c>
      <c r="H79" s="152">
        <f t="shared" si="2"/>
        <v>1</v>
      </c>
      <c r="I79" s="99">
        <f>COUNTA('E2E Combined OD + ZK'!G80,'E2E Combined AB + TCF'!G80)</f>
        <v>1</v>
      </c>
      <c r="J79" s="144">
        <f>COUNTA('E2E Combined OD + ZK'!H80,'E2E Combined AB + TCF'!H80)</f>
        <v>0</v>
      </c>
      <c r="K79" s="99">
        <f>COUNTA('E2E Combined OD + ZK'!I80,'E2E Combined AB + TCF'!I80)</f>
        <v>1</v>
      </c>
      <c r="L79" s="151">
        <f t="shared" si="3"/>
        <v>0</v>
      </c>
      <c r="M79" s="99">
        <f>COUNTA('Original-E2E'!G81,'E2E Combined OD + ZK'!G80,'E2E Combined AB + TCF'!G80)</f>
        <v>1</v>
      </c>
      <c r="N79" s="144">
        <f>COUNTA('Original-E2E'!H81,'E2E Combined OD + ZK'!H80,'E2E Combined AB + TCF'!H80)</f>
        <v>0</v>
      </c>
      <c r="O79" s="144">
        <f>COUNTA('Original-E2E'!I81,'E2E Combined OD + ZK'!I80,'E2E Combined AB + TCF'!I80)</f>
        <v>2</v>
      </c>
      <c r="P79" s="99">
        <f t="shared" si="4"/>
        <v>0.3333333333</v>
      </c>
    </row>
    <row r="80">
      <c r="A80" s="99">
        <f>COUNTA('Original-E2E'!G82,'E2E Combined OD + ZK'!G81)</f>
        <v>0</v>
      </c>
      <c r="B80" s="144">
        <f>COUNTA('Original-E2E'!H82,'E2E Combined OD + ZK'!H81)</f>
        <v>0</v>
      </c>
      <c r="C80" s="144">
        <f>COUNTA('Original-E2E'!I82,'E2E Combined OD + ZK'!I81)</f>
        <v>2</v>
      </c>
      <c r="D80" s="151">
        <f t="shared" si="1"/>
        <v>1</v>
      </c>
      <c r="E80" s="99">
        <f>COUNTA('Original-E2E'!G82,'E2E Combined AB + TCF'!G81)</f>
        <v>0</v>
      </c>
      <c r="F80" s="144">
        <f>COUNTA('Original-E2E'!H82,'E2E Combined AB + TCF'!H81)</f>
        <v>0</v>
      </c>
      <c r="G80" s="144">
        <f>COUNTA('Original-E2E'!I82,'E2E Combined AB + TCF'!I81)</f>
        <v>2</v>
      </c>
      <c r="H80" s="152">
        <f t="shared" si="2"/>
        <v>1</v>
      </c>
      <c r="I80" s="99">
        <f>COUNTA('E2E Combined OD + ZK'!G81,'E2E Combined AB + TCF'!G81)</f>
        <v>0</v>
      </c>
      <c r="J80" s="144">
        <f>COUNTA('E2E Combined OD + ZK'!H81,'E2E Combined AB + TCF'!H81)</f>
        <v>0</v>
      </c>
      <c r="K80" s="99">
        <f>COUNTA('E2E Combined OD + ZK'!I81,'E2E Combined AB + TCF'!I81)</f>
        <v>2</v>
      </c>
      <c r="L80" s="151">
        <f t="shared" si="3"/>
        <v>1</v>
      </c>
      <c r="M80" s="99">
        <f>COUNTA('Original-E2E'!G82,'E2E Combined OD + ZK'!G81,'E2E Combined AB + TCF'!G81)</f>
        <v>0</v>
      </c>
      <c r="N80" s="144">
        <f>COUNTA('Original-E2E'!H82,'E2E Combined OD + ZK'!H81,'E2E Combined AB + TCF'!H81)</f>
        <v>0</v>
      </c>
      <c r="O80" s="144">
        <f>COUNTA('Original-E2E'!I82,'E2E Combined OD + ZK'!I81,'E2E Combined AB + TCF'!I81)</f>
        <v>3</v>
      </c>
      <c r="P80" s="99">
        <f t="shared" si="4"/>
        <v>1</v>
      </c>
    </row>
    <row r="81">
      <c r="A81" s="99">
        <f>COUNTA('Original-E2E'!G83,'E2E Combined OD + ZK'!G82)</f>
        <v>0</v>
      </c>
      <c r="B81" s="144">
        <f>COUNTA('Original-E2E'!H83,'E2E Combined OD + ZK'!H82)</f>
        <v>2</v>
      </c>
      <c r="C81" s="144">
        <f>COUNTA('Original-E2E'!I83,'E2E Combined OD + ZK'!I82)</f>
        <v>0</v>
      </c>
      <c r="D81" s="151">
        <f t="shared" si="1"/>
        <v>1</v>
      </c>
      <c r="E81" s="99">
        <f>COUNTA('Original-E2E'!G83,'E2E Combined AB + TCF'!G82)</f>
        <v>0</v>
      </c>
      <c r="F81" s="144">
        <f>COUNTA('Original-E2E'!H83,'E2E Combined AB + TCF'!H82)</f>
        <v>2</v>
      </c>
      <c r="G81" s="144">
        <f>COUNTA('Original-E2E'!I83,'E2E Combined AB + TCF'!I82)</f>
        <v>0</v>
      </c>
      <c r="H81" s="152">
        <f t="shared" si="2"/>
        <v>1</v>
      </c>
      <c r="I81" s="99">
        <f>COUNTA('E2E Combined OD + ZK'!G82,'E2E Combined AB + TCF'!G82)</f>
        <v>0</v>
      </c>
      <c r="J81" s="144">
        <f>COUNTA('E2E Combined OD + ZK'!H82,'E2E Combined AB + TCF'!H82)</f>
        <v>2</v>
      </c>
      <c r="K81" s="99">
        <f>COUNTA('E2E Combined OD + ZK'!I82,'E2E Combined AB + TCF'!I82)</f>
        <v>0</v>
      </c>
      <c r="L81" s="151">
        <f t="shared" si="3"/>
        <v>1</v>
      </c>
      <c r="M81" s="99">
        <f>COUNTA('Original-E2E'!G83,'E2E Combined OD + ZK'!G82,'E2E Combined AB + TCF'!G82)</f>
        <v>0</v>
      </c>
      <c r="N81" s="144">
        <f>COUNTA('Original-E2E'!H83,'E2E Combined OD + ZK'!H82,'E2E Combined AB + TCF'!H82)</f>
        <v>3</v>
      </c>
      <c r="O81" s="144">
        <f>COUNTA('Original-E2E'!I83,'E2E Combined OD + ZK'!I82,'E2E Combined AB + TCF'!I82)</f>
        <v>0</v>
      </c>
      <c r="P81" s="99">
        <f t="shared" si="4"/>
        <v>1</v>
      </c>
    </row>
    <row r="82">
      <c r="A82" s="99">
        <f>COUNTA('Original-E2E'!G84,'E2E Combined OD + ZK'!G83)</f>
        <v>2</v>
      </c>
      <c r="B82" s="144">
        <f>COUNTA('Original-E2E'!H84,'E2E Combined OD + ZK'!H83)</f>
        <v>0</v>
      </c>
      <c r="C82" s="144">
        <f>COUNTA('Original-E2E'!I84,'E2E Combined OD + ZK'!I83)</f>
        <v>0</v>
      </c>
      <c r="D82" s="151">
        <f t="shared" si="1"/>
        <v>1</v>
      </c>
      <c r="E82" s="99">
        <f>COUNTA('Original-E2E'!G84,'E2E Combined AB + TCF'!G83)</f>
        <v>2</v>
      </c>
      <c r="F82" s="144">
        <f>COUNTA('Original-E2E'!H84,'E2E Combined AB + TCF'!H83)</f>
        <v>0</v>
      </c>
      <c r="G82" s="144">
        <f>COUNTA('Original-E2E'!I84,'E2E Combined AB + TCF'!I83)</f>
        <v>0</v>
      </c>
      <c r="H82" s="152">
        <f t="shared" si="2"/>
        <v>1</v>
      </c>
      <c r="I82" s="99">
        <f>COUNTA('E2E Combined OD + ZK'!G83,'E2E Combined AB + TCF'!G83)</f>
        <v>2</v>
      </c>
      <c r="J82" s="144">
        <f>COUNTA('E2E Combined OD + ZK'!H83,'E2E Combined AB + TCF'!H83)</f>
        <v>0</v>
      </c>
      <c r="K82" s="99">
        <f>COUNTA('E2E Combined OD + ZK'!I83,'E2E Combined AB + TCF'!I83)</f>
        <v>0</v>
      </c>
      <c r="L82" s="151">
        <f t="shared" si="3"/>
        <v>1</v>
      </c>
      <c r="M82" s="99">
        <f>COUNTA('Original-E2E'!G84,'E2E Combined OD + ZK'!G83,'E2E Combined AB + TCF'!G83)</f>
        <v>3</v>
      </c>
      <c r="N82" s="144">
        <f>COUNTA('Original-E2E'!H84,'E2E Combined OD + ZK'!H83,'E2E Combined AB + TCF'!H83)</f>
        <v>0</v>
      </c>
      <c r="O82" s="144">
        <f>COUNTA('Original-E2E'!I84,'E2E Combined OD + ZK'!I83,'E2E Combined AB + TCF'!I83)</f>
        <v>0</v>
      </c>
      <c r="P82" s="99">
        <f t="shared" si="4"/>
        <v>1</v>
      </c>
    </row>
    <row r="83">
      <c r="A83" s="99">
        <f>COUNTA('Original-E2E'!G85,'E2E Combined OD + ZK'!G84)</f>
        <v>2</v>
      </c>
      <c r="B83" s="144">
        <f>COUNTA('Original-E2E'!H85,'E2E Combined OD + ZK'!H84)</f>
        <v>0</v>
      </c>
      <c r="C83" s="144">
        <f>COUNTA('Original-E2E'!I85,'E2E Combined OD + ZK'!I84)</f>
        <v>0</v>
      </c>
      <c r="D83" s="151">
        <f t="shared" si="1"/>
        <v>1</v>
      </c>
      <c r="E83" s="99">
        <f>COUNTA('Original-E2E'!G85,'E2E Combined AB + TCF'!G84)</f>
        <v>2</v>
      </c>
      <c r="F83" s="144">
        <f>COUNTA('Original-E2E'!H85,'E2E Combined AB + TCF'!H84)</f>
        <v>0</v>
      </c>
      <c r="G83" s="144">
        <f>COUNTA('Original-E2E'!I85,'E2E Combined AB + TCF'!I84)</f>
        <v>0</v>
      </c>
      <c r="H83" s="152">
        <f t="shared" si="2"/>
        <v>1</v>
      </c>
      <c r="I83" s="99">
        <f>COUNTA('E2E Combined OD + ZK'!G84,'E2E Combined AB + TCF'!G84)</f>
        <v>2</v>
      </c>
      <c r="J83" s="144">
        <f>COUNTA('E2E Combined OD + ZK'!H84,'E2E Combined AB + TCF'!H84)</f>
        <v>0</v>
      </c>
      <c r="K83" s="99">
        <f>COUNTA('E2E Combined OD + ZK'!I84,'E2E Combined AB + TCF'!I84)</f>
        <v>0</v>
      </c>
      <c r="L83" s="151">
        <f t="shared" si="3"/>
        <v>1</v>
      </c>
      <c r="M83" s="99">
        <f>COUNTA('Original-E2E'!G85,'E2E Combined OD + ZK'!G84,'E2E Combined AB + TCF'!G84)</f>
        <v>3</v>
      </c>
      <c r="N83" s="144">
        <f>COUNTA('Original-E2E'!H85,'E2E Combined OD + ZK'!H84,'E2E Combined AB + TCF'!H84)</f>
        <v>0</v>
      </c>
      <c r="O83" s="144">
        <f>COUNTA('Original-E2E'!I85,'E2E Combined OD + ZK'!I84,'E2E Combined AB + TCF'!I84)</f>
        <v>0</v>
      </c>
      <c r="P83" s="99">
        <f t="shared" si="4"/>
        <v>1</v>
      </c>
    </row>
    <row r="84">
      <c r="A84" s="99">
        <f>COUNTA('Original-E2E'!G86,'E2E Combined OD + ZK'!G85)</f>
        <v>0</v>
      </c>
      <c r="B84" s="144">
        <f>COUNTA('Original-E2E'!H86,'E2E Combined OD + ZK'!H85)</f>
        <v>2</v>
      </c>
      <c r="C84" s="144">
        <f>COUNTA('Original-E2E'!I86,'E2E Combined OD + ZK'!I85)</f>
        <v>0</v>
      </c>
      <c r="D84" s="151">
        <f t="shared" si="1"/>
        <v>1</v>
      </c>
      <c r="E84" s="99">
        <f>COUNTA('Original-E2E'!G86,'E2E Combined AB + TCF'!G85)</f>
        <v>0</v>
      </c>
      <c r="F84" s="144">
        <f>COUNTA('Original-E2E'!H86,'E2E Combined AB + TCF'!H85)</f>
        <v>2</v>
      </c>
      <c r="G84" s="144">
        <f>COUNTA('Original-E2E'!I86,'E2E Combined AB + TCF'!I85)</f>
        <v>0</v>
      </c>
      <c r="H84" s="152">
        <f t="shared" si="2"/>
        <v>1</v>
      </c>
      <c r="I84" s="99">
        <f>COUNTA('E2E Combined OD + ZK'!G85,'E2E Combined AB + TCF'!G85)</f>
        <v>0</v>
      </c>
      <c r="J84" s="144">
        <f>COUNTA('E2E Combined OD + ZK'!H85,'E2E Combined AB + TCF'!H85)</f>
        <v>2</v>
      </c>
      <c r="K84" s="99">
        <f>COUNTA('E2E Combined OD + ZK'!I85,'E2E Combined AB + TCF'!I85)</f>
        <v>0</v>
      </c>
      <c r="L84" s="151">
        <f t="shared" si="3"/>
        <v>1</v>
      </c>
      <c r="M84" s="99">
        <f>COUNTA('Original-E2E'!G86,'E2E Combined OD + ZK'!G85,'E2E Combined AB + TCF'!G85)</f>
        <v>0</v>
      </c>
      <c r="N84" s="144">
        <f>COUNTA('Original-E2E'!H86,'E2E Combined OD + ZK'!H85,'E2E Combined AB + TCF'!H85)</f>
        <v>3</v>
      </c>
      <c r="O84" s="144">
        <f>COUNTA('Original-E2E'!I86,'E2E Combined OD + ZK'!I85,'E2E Combined AB + TCF'!I85)</f>
        <v>0</v>
      </c>
      <c r="P84" s="99">
        <f t="shared" si="4"/>
        <v>1</v>
      </c>
    </row>
    <row r="85">
      <c r="A85" s="99">
        <f>COUNTA('Original-E2E'!G87,'E2E Combined OD + ZK'!G86)</f>
        <v>2</v>
      </c>
      <c r="B85" s="144">
        <f>COUNTA('Original-E2E'!H87,'E2E Combined OD + ZK'!H86)</f>
        <v>0</v>
      </c>
      <c r="C85" s="144">
        <f>COUNTA('Original-E2E'!I87,'E2E Combined OD + ZK'!I86)</f>
        <v>0</v>
      </c>
      <c r="D85" s="151">
        <f t="shared" si="1"/>
        <v>1</v>
      </c>
      <c r="E85" s="99">
        <f>COUNTA('Original-E2E'!G87,'E2E Combined AB + TCF'!G86)</f>
        <v>2</v>
      </c>
      <c r="F85" s="144">
        <f>COUNTA('Original-E2E'!H87,'E2E Combined AB + TCF'!H86)</f>
        <v>0</v>
      </c>
      <c r="G85" s="144">
        <f>COUNTA('Original-E2E'!I87,'E2E Combined AB + TCF'!I86)</f>
        <v>0</v>
      </c>
      <c r="H85" s="152">
        <f t="shared" si="2"/>
        <v>1</v>
      </c>
      <c r="I85" s="99">
        <f>COUNTA('E2E Combined OD + ZK'!G86,'E2E Combined AB + TCF'!G86)</f>
        <v>2</v>
      </c>
      <c r="J85" s="144">
        <f>COUNTA('E2E Combined OD + ZK'!H86,'E2E Combined AB + TCF'!H86)</f>
        <v>0</v>
      </c>
      <c r="K85" s="99">
        <f>COUNTA('E2E Combined OD + ZK'!I86,'E2E Combined AB + TCF'!I86)</f>
        <v>0</v>
      </c>
      <c r="L85" s="151">
        <f t="shared" si="3"/>
        <v>1</v>
      </c>
      <c r="M85" s="99">
        <f>COUNTA('Original-E2E'!G87,'E2E Combined OD + ZK'!G86,'E2E Combined AB + TCF'!G86)</f>
        <v>3</v>
      </c>
      <c r="N85" s="144">
        <f>COUNTA('Original-E2E'!H87,'E2E Combined OD + ZK'!H86,'E2E Combined AB + TCF'!H86)</f>
        <v>0</v>
      </c>
      <c r="O85" s="144">
        <f>COUNTA('Original-E2E'!I87,'E2E Combined OD + ZK'!I86,'E2E Combined AB + TCF'!I86)</f>
        <v>0</v>
      </c>
      <c r="P85" s="99">
        <f t="shared" si="4"/>
        <v>1</v>
      </c>
    </row>
    <row r="86">
      <c r="A86" s="99">
        <f>COUNTA('Original-E2E'!G88,'E2E Combined OD + ZK'!G87)</f>
        <v>0</v>
      </c>
      <c r="B86" s="144">
        <f>COUNTA('Original-E2E'!H88,'E2E Combined OD + ZK'!H87)</f>
        <v>1</v>
      </c>
      <c r="C86" s="144">
        <f>COUNTA('Original-E2E'!I88,'E2E Combined OD + ZK'!I87)</f>
        <v>1</v>
      </c>
      <c r="D86" s="151">
        <f t="shared" si="1"/>
        <v>0</v>
      </c>
      <c r="E86" s="99">
        <f>COUNTA('Original-E2E'!G88,'E2E Combined AB + TCF'!G87)</f>
        <v>0</v>
      </c>
      <c r="F86" s="144">
        <f>COUNTA('Original-E2E'!H88,'E2E Combined AB + TCF'!H87)</f>
        <v>2</v>
      </c>
      <c r="G86" s="144">
        <f>COUNTA('Original-E2E'!I88,'E2E Combined AB + TCF'!I87)</f>
        <v>0</v>
      </c>
      <c r="H86" s="152">
        <f t="shared" si="2"/>
        <v>1</v>
      </c>
      <c r="I86" s="99">
        <f>COUNTA('E2E Combined OD + ZK'!G87,'E2E Combined AB + TCF'!G87)</f>
        <v>0</v>
      </c>
      <c r="J86" s="144">
        <f>COUNTA('E2E Combined OD + ZK'!H87,'E2E Combined AB + TCF'!H87)</f>
        <v>1</v>
      </c>
      <c r="K86" s="99">
        <f>COUNTA('E2E Combined OD + ZK'!I87,'E2E Combined AB + TCF'!I87)</f>
        <v>1</v>
      </c>
      <c r="L86" s="151">
        <f t="shared" si="3"/>
        <v>0</v>
      </c>
      <c r="M86" s="99">
        <f>COUNTA('Original-E2E'!G88,'E2E Combined OD + ZK'!G87,'E2E Combined AB + TCF'!G87)</f>
        <v>0</v>
      </c>
      <c r="N86" s="144">
        <f>COUNTA('Original-E2E'!H88,'E2E Combined OD + ZK'!H87,'E2E Combined AB + TCF'!H87)</f>
        <v>2</v>
      </c>
      <c r="O86" s="144">
        <f>COUNTA('Original-E2E'!I88,'E2E Combined OD + ZK'!I87,'E2E Combined AB + TCF'!I87)</f>
        <v>1</v>
      </c>
      <c r="P86" s="99">
        <f t="shared" si="4"/>
        <v>0.3333333333</v>
      </c>
    </row>
    <row r="87">
      <c r="A87" s="99">
        <f>COUNTA('Original-E2E'!G89,'E2E Combined OD + ZK'!G88)</f>
        <v>0</v>
      </c>
      <c r="B87" s="144">
        <f>COUNTA('Original-E2E'!H89,'E2E Combined OD + ZK'!H88)</f>
        <v>0</v>
      </c>
      <c r="C87" s="144">
        <f>COUNTA('Original-E2E'!I89,'E2E Combined OD + ZK'!I88)</f>
        <v>2</v>
      </c>
      <c r="D87" s="151">
        <f t="shared" si="1"/>
        <v>1</v>
      </c>
      <c r="E87" s="99">
        <f>COUNTA('Original-E2E'!G89,'E2E Combined AB + TCF'!G88)</f>
        <v>1</v>
      </c>
      <c r="F87" s="144">
        <f>COUNTA('Original-E2E'!H89,'E2E Combined AB + TCF'!H88)</f>
        <v>0</v>
      </c>
      <c r="G87" s="144">
        <f>COUNTA('Original-E2E'!I89,'E2E Combined AB + TCF'!I88)</f>
        <v>1</v>
      </c>
      <c r="H87" s="152">
        <f t="shared" si="2"/>
        <v>0</v>
      </c>
      <c r="I87" s="99">
        <f>COUNTA('E2E Combined OD + ZK'!G88,'E2E Combined AB + TCF'!G88)</f>
        <v>1</v>
      </c>
      <c r="J87" s="144">
        <f>COUNTA('E2E Combined OD + ZK'!H88,'E2E Combined AB + TCF'!H88)</f>
        <v>0</v>
      </c>
      <c r="K87" s="99">
        <f>COUNTA('E2E Combined OD + ZK'!I88,'E2E Combined AB + TCF'!I88)</f>
        <v>1</v>
      </c>
      <c r="L87" s="151">
        <f t="shared" si="3"/>
        <v>0</v>
      </c>
      <c r="M87" s="99">
        <f>COUNTA('Original-E2E'!G89,'E2E Combined OD + ZK'!G88,'E2E Combined AB + TCF'!G88)</f>
        <v>1</v>
      </c>
      <c r="N87" s="144">
        <f>COUNTA('Original-E2E'!H89,'E2E Combined OD + ZK'!H88,'E2E Combined AB + TCF'!H88)</f>
        <v>0</v>
      </c>
      <c r="O87" s="144">
        <f>COUNTA('Original-E2E'!I89,'E2E Combined OD + ZK'!I88,'E2E Combined AB + TCF'!I88)</f>
        <v>2</v>
      </c>
      <c r="P87" s="99">
        <f t="shared" si="4"/>
        <v>0.3333333333</v>
      </c>
    </row>
    <row r="88">
      <c r="A88" s="99">
        <f>COUNTA('Original-E2E'!G90,'E2E Combined OD + ZK'!G89)</f>
        <v>0</v>
      </c>
      <c r="B88" s="144">
        <f>COUNTA('Original-E2E'!H90,'E2E Combined OD + ZK'!H89)</f>
        <v>1</v>
      </c>
      <c r="C88" s="144">
        <f>COUNTA('Original-E2E'!I90,'E2E Combined OD + ZK'!I89)</f>
        <v>1</v>
      </c>
      <c r="D88" s="151">
        <f t="shared" si="1"/>
        <v>0</v>
      </c>
      <c r="E88" s="99">
        <f>COUNTA('Original-E2E'!G90,'E2E Combined AB + TCF'!G89)</f>
        <v>0</v>
      </c>
      <c r="F88" s="144">
        <f>COUNTA('Original-E2E'!H90,'E2E Combined AB + TCF'!H89)</f>
        <v>1</v>
      </c>
      <c r="G88" s="144">
        <f>COUNTA('Original-E2E'!I90,'E2E Combined AB + TCF'!I89)</f>
        <v>1</v>
      </c>
      <c r="H88" s="152">
        <f t="shared" si="2"/>
        <v>0</v>
      </c>
      <c r="I88" s="99">
        <f>COUNTA('E2E Combined OD + ZK'!G89,'E2E Combined AB + TCF'!G89)</f>
        <v>0</v>
      </c>
      <c r="J88" s="144">
        <f>COUNTA('E2E Combined OD + ZK'!H89,'E2E Combined AB + TCF'!H89)</f>
        <v>2</v>
      </c>
      <c r="K88" s="99">
        <f>COUNTA('E2E Combined OD + ZK'!I89,'E2E Combined AB + TCF'!I89)</f>
        <v>0</v>
      </c>
      <c r="L88" s="151">
        <f t="shared" si="3"/>
        <v>1</v>
      </c>
      <c r="M88" s="99">
        <f>COUNTA('Original-E2E'!G90,'E2E Combined OD + ZK'!G89,'E2E Combined AB + TCF'!G89)</f>
        <v>0</v>
      </c>
      <c r="N88" s="144">
        <f>COUNTA('Original-E2E'!H90,'E2E Combined OD + ZK'!H89,'E2E Combined AB + TCF'!H89)</f>
        <v>2</v>
      </c>
      <c r="O88" s="144">
        <f>COUNTA('Original-E2E'!I90,'E2E Combined OD + ZK'!I89,'E2E Combined AB + TCF'!I89)</f>
        <v>1</v>
      </c>
      <c r="P88" s="99">
        <f t="shared" si="4"/>
        <v>0.3333333333</v>
      </c>
    </row>
    <row r="89">
      <c r="A89" s="99">
        <f>COUNTA('Original-E2E'!G91,'E2E Combined OD + ZK'!G90)</f>
        <v>2</v>
      </c>
      <c r="B89" s="144">
        <f>COUNTA('Original-E2E'!H91,'E2E Combined OD + ZK'!H90)</f>
        <v>0</v>
      </c>
      <c r="C89" s="144">
        <f>COUNTA('Original-E2E'!I91,'E2E Combined OD + ZK'!I90)</f>
        <v>0</v>
      </c>
      <c r="D89" s="151">
        <f t="shared" si="1"/>
        <v>1</v>
      </c>
      <c r="E89" s="99">
        <f>COUNTA('Original-E2E'!G91,'E2E Combined AB + TCF'!G90)</f>
        <v>1</v>
      </c>
      <c r="F89" s="144">
        <f>COUNTA('Original-E2E'!H91,'E2E Combined AB + TCF'!H90)</f>
        <v>0</v>
      </c>
      <c r="G89" s="144">
        <f>COUNTA('Original-E2E'!I91,'E2E Combined AB + TCF'!I90)</f>
        <v>1</v>
      </c>
      <c r="H89" s="152">
        <f t="shared" si="2"/>
        <v>0</v>
      </c>
      <c r="I89" s="99">
        <f>COUNTA('E2E Combined OD + ZK'!G90,'E2E Combined AB + TCF'!G90)</f>
        <v>1</v>
      </c>
      <c r="J89" s="144">
        <f>COUNTA('E2E Combined OD + ZK'!H90,'E2E Combined AB + TCF'!H90)</f>
        <v>0</v>
      </c>
      <c r="K89" s="99">
        <f>COUNTA('E2E Combined OD + ZK'!I90,'E2E Combined AB + TCF'!I90)</f>
        <v>1</v>
      </c>
      <c r="L89" s="151">
        <f t="shared" si="3"/>
        <v>0</v>
      </c>
      <c r="M89" s="99">
        <f>COUNTA('Original-E2E'!G91,'E2E Combined OD + ZK'!G90,'E2E Combined AB + TCF'!G90)</f>
        <v>2</v>
      </c>
      <c r="N89" s="144">
        <f>COUNTA('Original-E2E'!H91,'E2E Combined OD + ZK'!H90,'E2E Combined AB + TCF'!H90)</f>
        <v>0</v>
      </c>
      <c r="O89" s="144">
        <f>COUNTA('Original-E2E'!I91,'E2E Combined OD + ZK'!I90,'E2E Combined AB + TCF'!I90)</f>
        <v>1</v>
      </c>
      <c r="P89" s="99">
        <f t="shared" si="4"/>
        <v>0.3333333333</v>
      </c>
    </row>
    <row r="90">
      <c r="A90" s="99">
        <f>COUNTA('Original-E2E'!G92,'E2E Combined OD + ZK'!G91)</f>
        <v>0</v>
      </c>
      <c r="B90" s="144">
        <f>COUNTA('Original-E2E'!H92,'E2E Combined OD + ZK'!H91)</f>
        <v>2</v>
      </c>
      <c r="C90" s="144">
        <f>COUNTA('Original-E2E'!I92,'E2E Combined OD + ZK'!I91)</f>
        <v>0</v>
      </c>
      <c r="D90" s="151">
        <f t="shared" si="1"/>
        <v>1</v>
      </c>
      <c r="E90" s="99">
        <f>COUNTA('Original-E2E'!G92,'E2E Combined AB + TCF'!G91)</f>
        <v>0</v>
      </c>
      <c r="F90" s="144">
        <f>COUNTA('Original-E2E'!H92,'E2E Combined AB + TCF'!H91)</f>
        <v>2</v>
      </c>
      <c r="G90" s="144">
        <f>COUNTA('Original-E2E'!I92,'E2E Combined AB + TCF'!I91)</f>
        <v>0</v>
      </c>
      <c r="H90" s="152">
        <f t="shared" si="2"/>
        <v>1</v>
      </c>
      <c r="I90" s="99">
        <f>COUNTA('E2E Combined OD + ZK'!G91,'E2E Combined AB + TCF'!G91)</f>
        <v>0</v>
      </c>
      <c r="J90" s="144">
        <f>COUNTA('E2E Combined OD + ZK'!H91,'E2E Combined AB + TCF'!H91)</f>
        <v>2</v>
      </c>
      <c r="K90" s="99">
        <f>COUNTA('E2E Combined OD + ZK'!I91,'E2E Combined AB + TCF'!I91)</f>
        <v>0</v>
      </c>
      <c r="L90" s="151">
        <f t="shared" si="3"/>
        <v>1</v>
      </c>
      <c r="M90" s="99">
        <f>COUNTA('Original-E2E'!G92,'E2E Combined OD + ZK'!G91,'E2E Combined AB + TCF'!G91)</f>
        <v>0</v>
      </c>
      <c r="N90" s="144">
        <f>COUNTA('Original-E2E'!H92,'E2E Combined OD + ZK'!H91,'E2E Combined AB + TCF'!H91)</f>
        <v>3</v>
      </c>
      <c r="O90" s="144">
        <f>COUNTA('Original-E2E'!I92,'E2E Combined OD + ZK'!I91,'E2E Combined AB + TCF'!I91)</f>
        <v>0</v>
      </c>
      <c r="P90" s="99">
        <f t="shared" si="4"/>
        <v>1</v>
      </c>
    </row>
    <row r="91">
      <c r="A91" s="99">
        <f>COUNTA('Original-E2E'!G93,'E2E Combined OD + ZK'!G92)</f>
        <v>1</v>
      </c>
      <c r="B91" s="144">
        <f>COUNTA('Original-E2E'!H93,'E2E Combined OD + ZK'!H92)</f>
        <v>1</v>
      </c>
      <c r="C91" s="144">
        <f>COUNTA('Original-E2E'!I93,'E2E Combined OD + ZK'!I92)</f>
        <v>0</v>
      </c>
      <c r="D91" s="151">
        <f t="shared" si="1"/>
        <v>0</v>
      </c>
      <c r="E91" s="99">
        <f>COUNTA('Original-E2E'!G93,'E2E Combined AB + TCF'!G92)</f>
        <v>2</v>
      </c>
      <c r="F91" s="144">
        <f>COUNTA('Original-E2E'!H93,'E2E Combined AB + TCF'!H92)</f>
        <v>0</v>
      </c>
      <c r="G91" s="144">
        <f>COUNTA('Original-E2E'!I93,'E2E Combined AB + TCF'!I92)</f>
        <v>0</v>
      </c>
      <c r="H91" s="152">
        <f t="shared" si="2"/>
        <v>1</v>
      </c>
      <c r="I91" s="99">
        <f>COUNTA('E2E Combined OD + ZK'!G92,'E2E Combined AB + TCF'!G92)</f>
        <v>1</v>
      </c>
      <c r="J91" s="144">
        <f>COUNTA('E2E Combined OD + ZK'!H92,'E2E Combined AB + TCF'!H92)</f>
        <v>1</v>
      </c>
      <c r="K91" s="99">
        <f>COUNTA('E2E Combined OD + ZK'!I92,'E2E Combined AB + TCF'!I92)</f>
        <v>0</v>
      </c>
      <c r="L91" s="151">
        <f t="shared" si="3"/>
        <v>0</v>
      </c>
      <c r="M91" s="99">
        <f>COUNTA('Original-E2E'!G93,'E2E Combined OD + ZK'!G92,'E2E Combined AB + TCF'!G92)</f>
        <v>2</v>
      </c>
      <c r="N91" s="144">
        <f>COUNTA('Original-E2E'!H93,'E2E Combined OD + ZK'!H92,'E2E Combined AB + TCF'!H92)</f>
        <v>1</v>
      </c>
      <c r="O91" s="144">
        <f>COUNTA('Original-E2E'!I93,'E2E Combined OD + ZK'!I92,'E2E Combined AB + TCF'!I92)</f>
        <v>0</v>
      </c>
      <c r="P91" s="99">
        <f t="shared" si="4"/>
        <v>0.3333333333</v>
      </c>
    </row>
    <row r="92">
      <c r="A92" s="99">
        <f>COUNTA('Original-E2E'!G94,'E2E Combined OD + ZK'!G93)</f>
        <v>0</v>
      </c>
      <c r="B92" s="144">
        <f>COUNTA('Original-E2E'!H94,'E2E Combined OD + ZK'!H93)</f>
        <v>2</v>
      </c>
      <c r="C92" s="144">
        <f>COUNTA('Original-E2E'!I94,'E2E Combined OD + ZK'!I93)</f>
        <v>0</v>
      </c>
      <c r="D92" s="151">
        <f t="shared" si="1"/>
        <v>1</v>
      </c>
      <c r="E92" s="99">
        <f>COUNTA('Original-E2E'!G94,'E2E Combined AB + TCF'!G93)</f>
        <v>0</v>
      </c>
      <c r="F92" s="144">
        <f>COUNTA('Original-E2E'!H94,'E2E Combined AB + TCF'!H93)</f>
        <v>2</v>
      </c>
      <c r="G92" s="144">
        <f>COUNTA('Original-E2E'!I94,'E2E Combined AB + TCF'!I93)</f>
        <v>0</v>
      </c>
      <c r="H92" s="152">
        <f t="shared" si="2"/>
        <v>1</v>
      </c>
      <c r="I92" s="99">
        <f>COUNTA('E2E Combined OD + ZK'!G93,'E2E Combined AB + TCF'!G93)</f>
        <v>0</v>
      </c>
      <c r="J92" s="144">
        <f>COUNTA('E2E Combined OD + ZK'!H93,'E2E Combined AB + TCF'!H93)</f>
        <v>2</v>
      </c>
      <c r="K92" s="99">
        <f>COUNTA('E2E Combined OD + ZK'!I93,'E2E Combined AB + TCF'!I93)</f>
        <v>0</v>
      </c>
      <c r="L92" s="151">
        <f t="shared" si="3"/>
        <v>1</v>
      </c>
      <c r="M92" s="99">
        <f>COUNTA('Original-E2E'!G94,'E2E Combined OD + ZK'!G93,'E2E Combined AB + TCF'!G93)</f>
        <v>0</v>
      </c>
      <c r="N92" s="144">
        <f>COUNTA('Original-E2E'!H94,'E2E Combined OD + ZK'!H93,'E2E Combined AB + TCF'!H93)</f>
        <v>3</v>
      </c>
      <c r="O92" s="144">
        <f>COUNTA('Original-E2E'!I94,'E2E Combined OD + ZK'!I93,'E2E Combined AB + TCF'!I93)</f>
        <v>0</v>
      </c>
      <c r="P92" s="99">
        <f t="shared" si="4"/>
        <v>1</v>
      </c>
    </row>
    <row r="93">
      <c r="A93" s="99">
        <f>COUNTA('Original-E2E'!G95,'E2E Combined OD + ZK'!G94)</f>
        <v>2</v>
      </c>
      <c r="B93" s="144">
        <f>COUNTA('Original-E2E'!H95,'E2E Combined OD + ZK'!H94)</f>
        <v>0</v>
      </c>
      <c r="C93" s="144">
        <f>COUNTA('Original-E2E'!I95,'E2E Combined OD + ZK'!I94)</f>
        <v>0</v>
      </c>
      <c r="D93" s="151">
        <f t="shared" si="1"/>
        <v>1</v>
      </c>
      <c r="E93" s="99">
        <f>COUNTA('Original-E2E'!G95,'E2E Combined AB + TCF'!G94)</f>
        <v>2</v>
      </c>
      <c r="F93" s="144">
        <f>COUNTA('Original-E2E'!H95,'E2E Combined AB + TCF'!H94)</f>
        <v>0</v>
      </c>
      <c r="G93" s="144">
        <f>COUNTA('Original-E2E'!I95,'E2E Combined AB + TCF'!I94)</f>
        <v>0</v>
      </c>
      <c r="H93" s="152">
        <f t="shared" si="2"/>
        <v>1</v>
      </c>
      <c r="I93" s="99">
        <f>COUNTA('E2E Combined OD + ZK'!G94,'E2E Combined AB + TCF'!G94)</f>
        <v>2</v>
      </c>
      <c r="J93" s="144">
        <f>COUNTA('E2E Combined OD + ZK'!H94,'E2E Combined AB + TCF'!H94)</f>
        <v>0</v>
      </c>
      <c r="K93" s="99">
        <f>COUNTA('E2E Combined OD + ZK'!I94,'E2E Combined AB + TCF'!I94)</f>
        <v>0</v>
      </c>
      <c r="L93" s="151">
        <f t="shared" si="3"/>
        <v>1</v>
      </c>
      <c r="M93" s="99">
        <f>COUNTA('Original-E2E'!G95,'E2E Combined OD + ZK'!G94,'E2E Combined AB + TCF'!G94)</f>
        <v>3</v>
      </c>
      <c r="N93" s="144">
        <f>COUNTA('Original-E2E'!H95,'E2E Combined OD + ZK'!H94,'E2E Combined AB + TCF'!H94)</f>
        <v>0</v>
      </c>
      <c r="O93" s="144">
        <f>COUNTA('Original-E2E'!I95,'E2E Combined OD + ZK'!I94,'E2E Combined AB + TCF'!I94)</f>
        <v>0</v>
      </c>
      <c r="P93" s="99">
        <f t="shared" si="4"/>
        <v>1</v>
      </c>
    </row>
    <row r="94">
      <c r="A94" s="99">
        <f>COUNTA('Original-E2E'!G96,'E2E Combined OD + ZK'!G95)</f>
        <v>1</v>
      </c>
      <c r="B94" s="144">
        <f>COUNTA('Original-E2E'!H96,'E2E Combined OD + ZK'!H95)</f>
        <v>1</v>
      </c>
      <c r="C94" s="144">
        <f>COUNTA('Original-E2E'!I96,'E2E Combined OD + ZK'!I95)</f>
        <v>0</v>
      </c>
      <c r="D94" s="151">
        <f t="shared" si="1"/>
        <v>0</v>
      </c>
      <c r="E94" s="99">
        <f>COUNTA('Original-E2E'!G96,'E2E Combined AB + TCF'!G95)</f>
        <v>2</v>
      </c>
      <c r="F94" s="144">
        <f>COUNTA('Original-E2E'!H96,'E2E Combined AB + TCF'!H95)</f>
        <v>0</v>
      </c>
      <c r="G94" s="144">
        <f>COUNTA('Original-E2E'!I96,'E2E Combined AB + TCF'!I95)</f>
        <v>0</v>
      </c>
      <c r="H94" s="152">
        <f t="shared" si="2"/>
        <v>1</v>
      </c>
      <c r="I94" s="99">
        <f>COUNTA('E2E Combined OD + ZK'!G95,'E2E Combined AB + TCF'!G95)</f>
        <v>1</v>
      </c>
      <c r="J94" s="144">
        <f>COUNTA('E2E Combined OD + ZK'!H95,'E2E Combined AB + TCF'!H95)</f>
        <v>1</v>
      </c>
      <c r="K94" s="99">
        <f>COUNTA('E2E Combined OD + ZK'!I95,'E2E Combined AB + TCF'!I95)</f>
        <v>0</v>
      </c>
      <c r="L94" s="151">
        <f t="shared" si="3"/>
        <v>0</v>
      </c>
      <c r="M94" s="99">
        <f>COUNTA('Original-E2E'!G96,'E2E Combined OD + ZK'!G95,'E2E Combined AB + TCF'!G95)</f>
        <v>2</v>
      </c>
      <c r="N94" s="144">
        <f>COUNTA('Original-E2E'!H96,'E2E Combined OD + ZK'!H95,'E2E Combined AB + TCF'!H95)</f>
        <v>1</v>
      </c>
      <c r="O94" s="144">
        <f>COUNTA('Original-E2E'!I96,'E2E Combined OD + ZK'!I95,'E2E Combined AB + TCF'!I95)</f>
        <v>0</v>
      </c>
      <c r="P94" s="99">
        <f t="shared" si="4"/>
        <v>0.3333333333</v>
      </c>
    </row>
    <row r="95">
      <c r="A95" s="99">
        <f>COUNTA('Original-E2E'!G97,'E2E Combined OD + ZK'!G96)</f>
        <v>1</v>
      </c>
      <c r="B95" s="144">
        <f>COUNTA('Original-E2E'!H97,'E2E Combined OD + ZK'!H96)</f>
        <v>0</v>
      </c>
      <c r="C95" s="144">
        <f>COUNTA('Original-E2E'!I97,'E2E Combined OD + ZK'!I96)</f>
        <v>1</v>
      </c>
      <c r="D95" s="151">
        <f t="shared" si="1"/>
        <v>0</v>
      </c>
      <c r="E95" s="99">
        <f>COUNTA('Original-E2E'!G97,'E2E Combined AB + TCF'!G96)</f>
        <v>2</v>
      </c>
      <c r="F95" s="144">
        <f>COUNTA('Original-E2E'!H97,'E2E Combined AB + TCF'!H96)</f>
        <v>0</v>
      </c>
      <c r="G95" s="144">
        <f>COUNTA('Original-E2E'!I97,'E2E Combined AB + TCF'!I96)</f>
        <v>0</v>
      </c>
      <c r="H95" s="152">
        <f t="shared" si="2"/>
        <v>1</v>
      </c>
      <c r="I95" s="99">
        <f>COUNTA('E2E Combined OD + ZK'!G96,'E2E Combined AB + TCF'!G96)</f>
        <v>1</v>
      </c>
      <c r="J95" s="144">
        <f>COUNTA('E2E Combined OD + ZK'!H96,'E2E Combined AB + TCF'!H96)</f>
        <v>0</v>
      </c>
      <c r="K95" s="99">
        <f>COUNTA('E2E Combined OD + ZK'!I96,'E2E Combined AB + TCF'!I96)</f>
        <v>1</v>
      </c>
      <c r="L95" s="151">
        <f t="shared" si="3"/>
        <v>0</v>
      </c>
      <c r="M95" s="99">
        <f>COUNTA('Original-E2E'!G97,'E2E Combined OD + ZK'!G96,'E2E Combined AB + TCF'!G96)</f>
        <v>2</v>
      </c>
      <c r="N95" s="144">
        <f>COUNTA('Original-E2E'!H97,'E2E Combined OD + ZK'!H96,'E2E Combined AB + TCF'!H96)</f>
        <v>0</v>
      </c>
      <c r="O95" s="144">
        <f>COUNTA('Original-E2E'!I97,'E2E Combined OD + ZK'!I96,'E2E Combined AB + TCF'!I96)</f>
        <v>1</v>
      </c>
      <c r="P95" s="99">
        <f t="shared" si="4"/>
        <v>0.3333333333</v>
      </c>
    </row>
    <row r="96">
      <c r="A96" s="99">
        <f>COUNTA('Original-E2E'!G98,'E2E Combined OD + ZK'!G97)</f>
        <v>2</v>
      </c>
      <c r="B96" s="144">
        <f>COUNTA('Original-E2E'!H98,'E2E Combined OD + ZK'!H97)</f>
        <v>0</v>
      </c>
      <c r="C96" s="144">
        <f>COUNTA('Original-E2E'!I98,'E2E Combined OD + ZK'!I97)</f>
        <v>0</v>
      </c>
      <c r="D96" s="151">
        <f t="shared" si="1"/>
        <v>1</v>
      </c>
      <c r="E96" s="99">
        <f>COUNTA('Original-E2E'!G98,'E2E Combined AB + TCF'!G97)</f>
        <v>2</v>
      </c>
      <c r="F96" s="144">
        <f>COUNTA('Original-E2E'!H98,'E2E Combined AB + TCF'!H97)</f>
        <v>0</v>
      </c>
      <c r="G96" s="144">
        <f>COUNTA('Original-E2E'!I98,'E2E Combined AB + TCF'!I97)</f>
        <v>0</v>
      </c>
      <c r="H96" s="152">
        <f t="shared" si="2"/>
        <v>1</v>
      </c>
      <c r="I96" s="99">
        <f>COUNTA('E2E Combined OD + ZK'!G97,'E2E Combined AB + TCF'!G97)</f>
        <v>2</v>
      </c>
      <c r="J96" s="144">
        <f>COUNTA('E2E Combined OD + ZK'!H97,'E2E Combined AB + TCF'!H97)</f>
        <v>0</v>
      </c>
      <c r="K96" s="99">
        <f>COUNTA('E2E Combined OD + ZK'!I97,'E2E Combined AB + TCF'!I97)</f>
        <v>0</v>
      </c>
      <c r="L96" s="151">
        <f t="shared" si="3"/>
        <v>1</v>
      </c>
      <c r="M96" s="99">
        <f>COUNTA('Original-E2E'!G98,'E2E Combined OD + ZK'!G97,'E2E Combined AB + TCF'!G97)</f>
        <v>3</v>
      </c>
      <c r="N96" s="144">
        <f>COUNTA('Original-E2E'!H98,'E2E Combined OD + ZK'!H97,'E2E Combined AB + TCF'!H97)</f>
        <v>0</v>
      </c>
      <c r="O96" s="144">
        <f>COUNTA('Original-E2E'!I98,'E2E Combined OD + ZK'!I97,'E2E Combined AB + TCF'!I97)</f>
        <v>0</v>
      </c>
      <c r="P96" s="99">
        <f t="shared" si="4"/>
        <v>1</v>
      </c>
    </row>
    <row r="97">
      <c r="A97" s="99">
        <f>COUNTA('Original-E2E'!G99,'E2E Combined OD + ZK'!G98)</f>
        <v>1</v>
      </c>
      <c r="B97" s="144">
        <f>COUNTA('Original-E2E'!H99,'E2E Combined OD + ZK'!H98)</f>
        <v>1</v>
      </c>
      <c r="C97" s="144">
        <f>COUNTA('Original-E2E'!I99,'E2E Combined OD + ZK'!I98)</f>
        <v>0</v>
      </c>
      <c r="D97" s="151">
        <f t="shared" si="1"/>
        <v>0</v>
      </c>
      <c r="E97" s="99">
        <f>COUNTA('Original-E2E'!G99,'E2E Combined AB + TCF'!G98)</f>
        <v>2</v>
      </c>
      <c r="F97" s="144">
        <f>COUNTA('Original-E2E'!H99,'E2E Combined AB + TCF'!H98)</f>
        <v>0</v>
      </c>
      <c r="G97" s="144">
        <f>COUNTA('Original-E2E'!I99,'E2E Combined AB + TCF'!I98)</f>
        <v>0</v>
      </c>
      <c r="H97" s="152">
        <f t="shared" si="2"/>
        <v>1</v>
      </c>
      <c r="I97" s="99">
        <f>COUNTA('E2E Combined OD + ZK'!G98,'E2E Combined AB + TCF'!G98)</f>
        <v>1</v>
      </c>
      <c r="J97" s="144">
        <f>COUNTA('E2E Combined OD + ZK'!H98,'E2E Combined AB + TCF'!H98)</f>
        <v>1</v>
      </c>
      <c r="K97" s="99">
        <f>COUNTA('E2E Combined OD + ZK'!I98,'E2E Combined AB + TCF'!I98)</f>
        <v>0</v>
      </c>
      <c r="L97" s="151">
        <f t="shared" si="3"/>
        <v>0</v>
      </c>
      <c r="M97" s="99">
        <f>COUNTA('Original-E2E'!G99,'E2E Combined OD + ZK'!G98,'E2E Combined AB + TCF'!G98)</f>
        <v>2</v>
      </c>
      <c r="N97" s="144">
        <f>COUNTA('Original-E2E'!H99,'E2E Combined OD + ZK'!H98,'E2E Combined AB + TCF'!H98)</f>
        <v>1</v>
      </c>
      <c r="O97" s="144">
        <f>COUNTA('Original-E2E'!I99,'E2E Combined OD + ZK'!I98,'E2E Combined AB + TCF'!I98)</f>
        <v>0</v>
      </c>
      <c r="P97" s="99">
        <f t="shared" si="4"/>
        <v>0.3333333333</v>
      </c>
    </row>
    <row r="98">
      <c r="A98" s="99">
        <f>COUNTA('Original-E2E'!G100,'E2E Combined OD + ZK'!G99)</f>
        <v>0</v>
      </c>
      <c r="B98" s="144">
        <f>COUNTA('Original-E2E'!H100,'E2E Combined OD + ZK'!H99)</f>
        <v>2</v>
      </c>
      <c r="C98" s="144">
        <f>COUNTA('Original-E2E'!I100,'E2E Combined OD + ZK'!I99)</f>
        <v>0</v>
      </c>
      <c r="D98" s="151">
        <f t="shared" si="1"/>
        <v>1</v>
      </c>
      <c r="E98" s="99">
        <f>COUNTA('Original-E2E'!G100,'E2E Combined AB + TCF'!G99)</f>
        <v>0</v>
      </c>
      <c r="F98" s="144">
        <f>COUNTA('Original-E2E'!H100,'E2E Combined AB + TCF'!H99)</f>
        <v>2</v>
      </c>
      <c r="G98" s="144">
        <f>COUNTA('Original-E2E'!I100,'E2E Combined AB + TCF'!I99)</f>
        <v>0</v>
      </c>
      <c r="H98" s="152">
        <f t="shared" si="2"/>
        <v>1</v>
      </c>
      <c r="I98" s="99">
        <f>COUNTA('E2E Combined OD + ZK'!G99,'E2E Combined AB + TCF'!G99)</f>
        <v>0</v>
      </c>
      <c r="J98" s="144">
        <f>COUNTA('E2E Combined OD + ZK'!H99,'E2E Combined AB + TCF'!H99)</f>
        <v>2</v>
      </c>
      <c r="K98" s="99">
        <f>COUNTA('E2E Combined OD + ZK'!I99,'E2E Combined AB + TCF'!I99)</f>
        <v>0</v>
      </c>
      <c r="L98" s="151">
        <f t="shared" si="3"/>
        <v>1</v>
      </c>
      <c r="M98" s="99">
        <f>COUNTA('Original-E2E'!G100,'E2E Combined OD + ZK'!G99,'E2E Combined AB + TCF'!G99)</f>
        <v>0</v>
      </c>
      <c r="N98" s="144">
        <f>COUNTA('Original-E2E'!H100,'E2E Combined OD + ZK'!H99,'E2E Combined AB + TCF'!H99)</f>
        <v>3</v>
      </c>
      <c r="O98" s="144">
        <f>COUNTA('Original-E2E'!I100,'E2E Combined OD + ZK'!I99,'E2E Combined AB + TCF'!I99)</f>
        <v>0</v>
      </c>
      <c r="P98" s="99">
        <f t="shared" si="4"/>
        <v>1</v>
      </c>
    </row>
    <row r="99">
      <c r="A99" s="99">
        <f>COUNTA('Original-E2E'!G101,'E2E Combined OD + ZK'!G100)</f>
        <v>0</v>
      </c>
      <c r="B99" s="144">
        <f>COUNTA('Original-E2E'!H101,'E2E Combined OD + ZK'!H100)</f>
        <v>2</v>
      </c>
      <c r="C99" s="144">
        <f>COUNTA('Original-E2E'!I101,'E2E Combined OD + ZK'!I100)</f>
        <v>0</v>
      </c>
      <c r="D99" s="151">
        <f t="shared" si="1"/>
        <v>1</v>
      </c>
      <c r="E99" s="99">
        <f>COUNTA('Original-E2E'!G101,'E2E Combined AB + TCF'!G100)</f>
        <v>1</v>
      </c>
      <c r="F99" s="144">
        <f>COUNTA('Original-E2E'!H101,'E2E Combined AB + TCF'!H100)</f>
        <v>1</v>
      </c>
      <c r="G99" s="144">
        <f>COUNTA('Original-E2E'!I101,'E2E Combined AB + TCF'!I100)</f>
        <v>0</v>
      </c>
      <c r="H99" s="152">
        <f t="shared" si="2"/>
        <v>0</v>
      </c>
      <c r="I99" s="99">
        <f>COUNTA('E2E Combined OD + ZK'!G100,'E2E Combined AB + TCF'!G100)</f>
        <v>1</v>
      </c>
      <c r="J99" s="144">
        <f>COUNTA('E2E Combined OD + ZK'!H100,'E2E Combined AB + TCF'!H100)</f>
        <v>1</v>
      </c>
      <c r="K99" s="99">
        <f>COUNTA('E2E Combined OD + ZK'!I100,'E2E Combined AB + TCF'!I100)</f>
        <v>0</v>
      </c>
      <c r="L99" s="151">
        <f t="shared" si="3"/>
        <v>0</v>
      </c>
      <c r="M99" s="99">
        <f>COUNTA('Original-E2E'!G101,'E2E Combined OD + ZK'!G100,'E2E Combined AB + TCF'!G100)</f>
        <v>1</v>
      </c>
      <c r="N99" s="144">
        <f>COUNTA('Original-E2E'!H101,'E2E Combined OD + ZK'!H100,'E2E Combined AB + TCF'!H100)</f>
        <v>2</v>
      </c>
      <c r="O99" s="144">
        <f>COUNTA('Original-E2E'!I101,'E2E Combined OD + ZK'!I100,'E2E Combined AB + TCF'!I100)</f>
        <v>0</v>
      </c>
      <c r="P99" s="99">
        <f t="shared" si="4"/>
        <v>0.3333333333</v>
      </c>
    </row>
    <row r="100">
      <c r="A100" s="99">
        <f>COUNTA('Original-E2E'!G102,'E2E Combined OD + ZK'!G101)</f>
        <v>1</v>
      </c>
      <c r="B100" s="144">
        <f>COUNTA('Original-E2E'!H102,'E2E Combined OD + ZK'!H101)</f>
        <v>1</v>
      </c>
      <c r="C100" s="144">
        <f>COUNTA('Original-E2E'!I102,'E2E Combined OD + ZK'!I101)</f>
        <v>0</v>
      </c>
      <c r="D100" s="151">
        <f t="shared" si="1"/>
        <v>0</v>
      </c>
      <c r="E100" s="99">
        <f>COUNTA('Original-E2E'!G102,'E2E Combined AB + TCF'!G101)</f>
        <v>2</v>
      </c>
      <c r="F100" s="144">
        <f>COUNTA('Original-E2E'!H102,'E2E Combined AB + TCF'!H101)</f>
        <v>0</v>
      </c>
      <c r="G100" s="144">
        <f>COUNTA('Original-E2E'!I102,'E2E Combined AB + TCF'!I101)</f>
        <v>0</v>
      </c>
      <c r="H100" s="152">
        <f t="shared" si="2"/>
        <v>1</v>
      </c>
      <c r="I100" s="99">
        <f>COUNTA('E2E Combined OD + ZK'!G101,'E2E Combined AB + TCF'!G101)</f>
        <v>1</v>
      </c>
      <c r="J100" s="144">
        <f>COUNTA('E2E Combined OD + ZK'!H101,'E2E Combined AB + TCF'!H101)</f>
        <v>1</v>
      </c>
      <c r="K100" s="99">
        <f>COUNTA('E2E Combined OD + ZK'!I101,'E2E Combined AB + TCF'!I101)</f>
        <v>0</v>
      </c>
      <c r="L100" s="151">
        <f t="shared" si="3"/>
        <v>0</v>
      </c>
      <c r="M100" s="99">
        <f>COUNTA('Original-E2E'!G102,'E2E Combined OD + ZK'!G101,'E2E Combined AB + TCF'!G101)</f>
        <v>2</v>
      </c>
      <c r="N100" s="144">
        <f>COUNTA('Original-E2E'!H102,'E2E Combined OD + ZK'!H101,'E2E Combined AB + TCF'!H101)</f>
        <v>1</v>
      </c>
      <c r="O100" s="144">
        <f>COUNTA('Original-E2E'!I102,'E2E Combined OD + ZK'!I101,'E2E Combined AB + TCF'!I101)</f>
        <v>0</v>
      </c>
      <c r="P100" s="99">
        <f t="shared" si="4"/>
        <v>0.3333333333</v>
      </c>
    </row>
    <row r="101">
      <c r="A101" s="99">
        <f>COUNTA('Original-E2E'!G103,'E2E Combined OD + ZK'!G102)</f>
        <v>0</v>
      </c>
      <c r="B101" s="144">
        <f>COUNTA('Original-E2E'!H103,'E2E Combined OD + ZK'!H102)</f>
        <v>2</v>
      </c>
      <c r="C101" s="144">
        <f>COUNTA('Original-E2E'!I103,'E2E Combined OD + ZK'!I102)</f>
        <v>0</v>
      </c>
      <c r="D101" s="151">
        <f t="shared" si="1"/>
        <v>1</v>
      </c>
      <c r="E101" s="99">
        <f>COUNTA('Original-E2E'!G103,'E2E Combined AB + TCF'!G102)</f>
        <v>1</v>
      </c>
      <c r="F101" s="144">
        <f>COUNTA('Original-E2E'!H103,'E2E Combined AB + TCF'!H102)</f>
        <v>1</v>
      </c>
      <c r="G101" s="144">
        <f>COUNTA('Original-E2E'!I103,'E2E Combined AB + TCF'!I102)</f>
        <v>0</v>
      </c>
      <c r="H101" s="152">
        <f t="shared" si="2"/>
        <v>0</v>
      </c>
      <c r="I101" s="99">
        <f>COUNTA('E2E Combined OD + ZK'!G102,'E2E Combined AB + TCF'!G102)</f>
        <v>1</v>
      </c>
      <c r="J101" s="144">
        <f>COUNTA('E2E Combined OD + ZK'!H102,'E2E Combined AB + TCF'!H102)</f>
        <v>1</v>
      </c>
      <c r="K101" s="99">
        <f>COUNTA('E2E Combined OD + ZK'!I102,'E2E Combined AB + TCF'!I102)</f>
        <v>0</v>
      </c>
      <c r="L101" s="151">
        <f t="shared" si="3"/>
        <v>0</v>
      </c>
      <c r="M101" s="99">
        <f>COUNTA('Original-E2E'!G103,'E2E Combined OD + ZK'!G102,'E2E Combined AB + TCF'!G102)</f>
        <v>1</v>
      </c>
      <c r="N101" s="144">
        <f>COUNTA('Original-E2E'!H103,'E2E Combined OD + ZK'!H102,'E2E Combined AB + TCF'!H102)</f>
        <v>2</v>
      </c>
      <c r="O101" s="144">
        <f>COUNTA('Original-E2E'!I103,'E2E Combined OD + ZK'!I102,'E2E Combined AB + TCF'!I102)</f>
        <v>0</v>
      </c>
      <c r="P101" s="99">
        <f t="shared" si="4"/>
        <v>0.3333333333</v>
      </c>
    </row>
    <row r="102">
      <c r="D102" s="151"/>
      <c r="H102" s="151"/>
      <c r="L102" s="151"/>
    </row>
    <row r="103">
      <c r="A103" s="99">
        <f t="shared" ref="A103:C103" si="5">SUM(A2:A101)</f>
        <v>70</v>
      </c>
      <c r="B103" s="99">
        <f t="shared" si="5"/>
        <v>93</v>
      </c>
      <c r="C103" s="99">
        <f t="shared" si="5"/>
        <v>34</v>
      </c>
      <c r="D103" s="151"/>
      <c r="E103" s="99">
        <f t="shared" ref="E103:G103" si="6">SUM(E2:E101)</f>
        <v>75</v>
      </c>
      <c r="F103" s="99">
        <f t="shared" si="6"/>
        <v>89</v>
      </c>
      <c r="G103" s="99">
        <f t="shared" si="6"/>
        <v>33</v>
      </c>
      <c r="H103" s="151"/>
      <c r="I103" s="99">
        <f t="shared" ref="I103:K103" si="7">SUM(I2:I101)</f>
        <v>77</v>
      </c>
      <c r="J103" s="99">
        <f t="shared" si="7"/>
        <v>92</v>
      </c>
      <c r="K103" s="99">
        <f t="shared" si="7"/>
        <v>31</v>
      </c>
      <c r="L103" s="151"/>
      <c r="M103" s="99">
        <f t="shared" ref="M103:O103" si="8">SUM(M2:M101)</f>
        <v>111</v>
      </c>
      <c r="N103" s="99">
        <f t="shared" si="8"/>
        <v>137</v>
      </c>
      <c r="O103" s="99">
        <f t="shared" si="8"/>
        <v>49</v>
      </c>
    </row>
    <row r="104">
      <c r="A104" s="99">
        <f t="shared" ref="A104:C104" si="9">A103/(100*2)</f>
        <v>0.35</v>
      </c>
      <c r="B104" s="99">
        <f t="shared" si="9"/>
        <v>0.465</v>
      </c>
      <c r="C104" s="99">
        <f t="shared" si="9"/>
        <v>0.17</v>
      </c>
      <c r="D104" s="151"/>
      <c r="E104" s="99">
        <f t="shared" ref="E104:G104" si="10">E103/(100*2)</f>
        <v>0.375</v>
      </c>
      <c r="F104" s="99">
        <f t="shared" si="10"/>
        <v>0.445</v>
      </c>
      <c r="G104" s="99">
        <f t="shared" si="10"/>
        <v>0.165</v>
      </c>
      <c r="H104" s="151"/>
      <c r="I104" s="99">
        <f t="shared" ref="I104:K104" si="11">I103/(100*2)</f>
        <v>0.385</v>
      </c>
      <c r="J104" s="99">
        <f t="shared" si="11"/>
        <v>0.46</v>
      </c>
      <c r="K104" s="99">
        <f t="shared" si="11"/>
        <v>0.155</v>
      </c>
      <c r="L104" s="151"/>
      <c r="M104" s="99">
        <f t="shared" ref="M104:O104" si="12">M103/(100*3)</f>
        <v>0.37</v>
      </c>
      <c r="N104" s="99">
        <f t="shared" si="12"/>
        <v>0.4566666667</v>
      </c>
      <c r="O104" s="99">
        <f t="shared" si="12"/>
        <v>0.1633333333</v>
      </c>
    </row>
    <row r="105">
      <c r="D105" s="151"/>
      <c r="H105" s="151"/>
      <c r="L105" s="151"/>
    </row>
    <row r="106">
      <c r="A106" s="98" t="s">
        <v>1037</v>
      </c>
      <c r="B106" s="98">
        <f>SUM(D2:D101)/COUNT(D2:D101)</f>
        <v>0.795</v>
      </c>
      <c r="D106" s="151"/>
      <c r="E106" s="98" t="s">
        <v>1037</v>
      </c>
      <c r="F106" s="99">
        <f>SUM(H2:H101)/COUNT(H2:H101)</f>
        <v>0.795</v>
      </c>
      <c r="H106" s="151"/>
      <c r="I106" s="98" t="s">
        <v>1037</v>
      </c>
      <c r="J106" s="99">
        <f>SUM(L2:L101)/COUNT(L2:L101)</f>
        <v>0.78</v>
      </c>
      <c r="L106" s="151"/>
      <c r="M106" s="98" t="s">
        <v>1037</v>
      </c>
      <c r="N106" s="99">
        <f>SUM(P2:P101)/COUNT(P2:P101)</f>
        <v>0.795</v>
      </c>
    </row>
    <row r="107">
      <c r="A107" s="98" t="s">
        <v>1038</v>
      </c>
      <c r="B107" s="99">
        <f>(A104^2+B104^2+C104^2)</f>
        <v>0.367625</v>
      </c>
      <c r="D107" s="151"/>
      <c r="E107" s="98" t="s">
        <v>1038</v>
      </c>
      <c r="F107" s="99">
        <f>(E104^2+F104^2+G104^2)</f>
        <v>0.365875</v>
      </c>
      <c r="H107" s="151"/>
      <c r="I107" s="98" t="s">
        <v>1038</v>
      </c>
      <c r="J107" s="99">
        <f>(I104^2+J104^2+K104^2)</f>
        <v>0.38385</v>
      </c>
      <c r="L107" s="151"/>
      <c r="M107" s="98" t="s">
        <v>1038</v>
      </c>
      <c r="N107" s="99">
        <f>(M104^2+N104^2+O104^2)</f>
        <v>0.3721222222</v>
      </c>
    </row>
    <row r="108">
      <c r="A108" s="98" t="s">
        <v>1039</v>
      </c>
      <c r="B108" s="99">
        <f>(B106-B107)/(1-B107)</f>
        <v>0.6758252619</v>
      </c>
      <c r="D108" s="151"/>
      <c r="E108" s="98" t="s">
        <v>1039</v>
      </c>
      <c r="F108" s="99">
        <f>(F106-F107)/(1-F107)</f>
        <v>0.6767198896</v>
      </c>
      <c r="H108" s="151"/>
      <c r="I108" s="98" t="s">
        <v>1039</v>
      </c>
      <c r="J108" s="99">
        <f>(J106-J107)/(1-J107)</f>
        <v>0.6429440883</v>
      </c>
      <c r="L108" s="151"/>
      <c r="M108" s="98" t="s">
        <v>1039</v>
      </c>
      <c r="N108" s="99">
        <f>(N106-N107)/(1-N107)</f>
        <v>0.6735033358</v>
      </c>
    </row>
    <row r="110">
      <c r="A110" s="98" t="s">
        <v>1040</v>
      </c>
      <c r="B110" s="144">
        <f>COUNTIF(D2:D101,"1")</f>
        <v>81</v>
      </c>
      <c r="E110" s="98" t="s">
        <v>1040</v>
      </c>
      <c r="F110" s="144">
        <f>COUNTIF(H2:H101,"1")</f>
        <v>81</v>
      </c>
      <c r="I110" s="98" t="s">
        <v>1040</v>
      </c>
      <c r="J110" s="144">
        <f>COUNTIF(L2:L101,"1")</f>
        <v>78</v>
      </c>
      <c r="M110" s="98" t="s">
        <v>1040</v>
      </c>
      <c r="N110" s="144">
        <f>COUNTIF(P2:P101,"1")</f>
        <v>71</v>
      </c>
    </row>
  </sheetData>
  <mergeCells count="4">
    <mergeCell ref="A1:C1"/>
    <mergeCell ref="E1:G1"/>
    <mergeCell ref="I1:K1"/>
    <mergeCell ref="M1:O1"/>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9" t="s">
        <v>1032</v>
      </c>
      <c r="D1" s="149" t="s">
        <v>1033</v>
      </c>
      <c r="E1" s="159" t="s">
        <v>1034</v>
      </c>
      <c r="H1" s="149" t="s">
        <v>1033</v>
      </c>
      <c r="I1" s="159" t="s">
        <v>1035</v>
      </c>
      <c r="L1" s="149" t="s">
        <v>1033</v>
      </c>
      <c r="M1" s="159" t="s">
        <v>1036</v>
      </c>
      <c r="P1" s="149" t="s">
        <v>1033</v>
      </c>
    </row>
    <row r="2">
      <c r="A2" s="99">
        <f>COUNTA('Original-WebNLG'!G4,'WebNLG Combined OD + ZK'!G3)</f>
        <v>2</v>
      </c>
      <c r="B2" s="144">
        <f>COUNTA('Original-WebNLG'!H4,'WebNLG Combined OD + ZK'!H3)</f>
        <v>0</v>
      </c>
      <c r="C2" s="144">
        <f>COUNTA('Original-WebNLG'!I4,'WebNLG Combined OD + ZK'!I3)</f>
        <v>0</v>
      </c>
      <c r="D2" s="151">
        <f t="shared" ref="D2:D101" si="1">((A2^2+B2^2+C2^2)-2)/(2*(2-1))</f>
        <v>1</v>
      </c>
      <c r="E2" s="144">
        <f>COUNTA('Original-WebNLG'!G4,'WebNLG Combined AB + TCF'!G3)</f>
        <v>2</v>
      </c>
      <c r="F2" s="144">
        <f>COUNTA('Original-WebNLG'!H4,'WebNLG Combined AB + TCF'!H3)</f>
        <v>0</v>
      </c>
      <c r="G2" s="144">
        <f>COUNTA('Original-WebNLG'!I4,'WebNLG Combined AB + TCF'!I3)</f>
        <v>0</v>
      </c>
      <c r="H2" s="151">
        <f t="shared" ref="H2:H101" si="2">((E2^2+F2^2+G2^2)-2)/(2*(2-1))</f>
        <v>1</v>
      </c>
      <c r="I2" s="99">
        <f>COUNTA('WebNLG Combined OD + ZK'!G3,'WebNLG Combined AB + TCF'!G3)</f>
        <v>2</v>
      </c>
      <c r="J2" s="144">
        <f>COUNTA('WebNLG Combined OD + ZK'!H3,'WebNLG Combined AB + TCF'!H3)</f>
        <v>0</v>
      </c>
      <c r="K2" s="144">
        <f>COUNTA('WebNLG Combined OD + ZK'!I3,'WebNLG Combined AB + TCF'!I3)</f>
        <v>0</v>
      </c>
      <c r="L2" s="151">
        <f t="shared" ref="L2:L101" si="3">((I2^2+J2^2+K2^2)-2)/(2*(2-1))</f>
        <v>1</v>
      </c>
      <c r="M2" s="99">
        <f>COUNTA('Original-WebNLG'!G4,'WebNLG Combined OD + ZK'!G3,'WebNLG Combined AB + TCF'!G3)</f>
        <v>3</v>
      </c>
      <c r="N2" s="144">
        <f>COUNTA('Original-WebNLG'!H4,'WebNLG Combined OD + ZK'!H3,'WebNLG Combined AB + TCF'!H3)</f>
        <v>0</v>
      </c>
      <c r="O2" s="144">
        <f>COUNTA('Original-WebNLG'!I4,'WebNLG Combined OD + ZK'!I3,'WebNLG Combined AB + TCF'!I3)</f>
        <v>0</v>
      </c>
      <c r="P2" s="151">
        <f t="shared" ref="P2:P101" si="4">((M2^2+N2^2+O2^2)-3)/(3*(3-1))</f>
        <v>1</v>
      </c>
    </row>
    <row r="3">
      <c r="A3" s="99">
        <f>COUNTA('Original-WebNLG'!G5,'WebNLG Combined OD + ZK'!G4)</f>
        <v>0</v>
      </c>
      <c r="B3" s="144">
        <f>COUNTA('Original-WebNLG'!H5,'WebNLG Combined OD + ZK'!H4)</f>
        <v>2</v>
      </c>
      <c r="C3" s="144">
        <f>COUNTA('Original-WebNLG'!I5,'WebNLG Combined OD + ZK'!I4)</f>
        <v>0</v>
      </c>
      <c r="D3" s="151">
        <f t="shared" si="1"/>
        <v>1</v>
      </c>
      <c r="E3" s="144">
        <f>COUNTA('Original-WebNLG'!G5,'WebNLG Combined AB + TCF'!G4)</f>
        <v>1</v>
      </c>
      <c r="F3" s="144">
        <f>COUNTA('Original-WebNLG'!H5,'WebNLG Combined AB + TCF'!H4)</f>
        <v>1</v>
      </c>
      <c r="G3" s="144">
        <f>COUNTA('Original-WebNLG'!I5,'WebNLG Combined AB + TCF'!I4)</f>
        <v>0</v>
      </c>
      <c r="H3" s="151">
        <f t="shared" si="2"/>
        <v>0</v>
      </c>
      <c r="I3" s="99">
        <f>COUNTA('WebNLG Combined OD + ZK'!G4,'WebNLG Combined AB + TCF'!G4)</f>
        <v>1</v>
      </c>
      <c r="J3" s="144">
        <f>COUNTA('WebNLG Combined OD + ZK'!H4,'WebNLG Combined AB + TCF'!H4)</f>
        <v>1</v>
      </c>
      <c r="K3" s="144">
        <f>COUNTA('WebNLG Combined OD + ZK'!I4,'WebNLG Combined AB + TCF'!I4)</f>
        <v>0</v>
      </c>
      <c r="L3" s="151">
        <f t="shared" si="3"/>
        <v>0</v>
      </c>
      <c r="M3" s="99">
        <f>COUNTA('Original-WebNLG'!G5,'WebNLG Combined OD + ZK'!G4,'WebNLG Combined AB + TCF'!G4)</f>
        <v>1</v>
      </c>
      <c r="N3" s="144">
        <f>COUNTA('Original-WebNLG'!H5,'WebNLG Combined OD + ZK'!H4,'WebNLG Combined AB + TCF'!H4)</f>
        <v>2</v>
      </c>
      <c r="O3" s="144">
        <f>COUNTA('Original-WebNLG'!I5,'WebNLG Combined OD + ZK'!I4,'WebNLG Combined AB + TCF'!I4)</f>
        <v>0</v>
      </c>
      <c r="P3" s="151">
        <f t="shared" si="4"/>
        <v>0.3333333333</v>
      </c>
    </row>
    <row r="4">
      <c r="A4" s="99">
        <f>COUNTA('Original-WebNLG'!G6,'WebNLG Combined OD + ZK'!G5)</f>
        <v>1</v>
      </c>
      <c r="B4" s="144">
        <f>COUNTA('Original-WebNLG'!H6,'WebNLG Combined OD + ZK'!H5)</f>
        <v>1</v>
      </c>
      <c r="C4" s="144">
        <f>COUNTA('Original-WebNLG'!I6,'WebNLG Combined OD + ZK'!I5)</f>
        <v>0</v>
      </c>
      <c r="D4" s="151">
        <f t="shared" si="1"/>
        <v>0</v>
      </c>
      <c r="E4" s="144">
        <f>COUNTA('Original-WebNLG'!G6,'WebNLG Combined AB + TCF'!G5)</f>
        <v>1</v>
      </c>
      <c r="F4" s="144">
        <f>COUNTA('Original-WebNLG'!H6,'WebNLG Combined AB + TCF'!H5)</f>
        <v>1</v>
      </c>
      <c r="G4" s="144">
        <f>COUNTA('Original-WebNLG'!I6,'WebNLG Combined AB + TCF'!I5)</f>
        <v>0</v>
      </c>
      <c r="H4" s="151">
        <f t="shared" si="2"/>
        <v>0</v>
      </c>
      <c r="I4" s="99">
        <f>COUNTA('WebNLG Combined OD + ZK'!G5,'WebNLG Combined AB + TCF'!G5)</f>
        <v>2</v>
      </c>
      <c r="J4" s="144">
        <f>COUNTA('WebNLG Combined OD + ZK'!H5,'WebNLG Combined AB + TCF'!H5)</f>
        <v>0</v>
      </c>
      <c r="K4" s="144">
        <f>COUNTA('WebNLG Combined OD + ZK'!I5,'WebNLG Combined AB + TCF'!I5)</f>
        <v>0</v>
      </c>
      <c r="L4" s="151">
        <f t="shared" si="3"/>
        <v>1</v>
      </c>
      <c r="M4" s="99">
        <f>COUNTA('Original-WebNLG'!G6,'WebNLG Combined OD + ZK'!G5,'WebNLG Combined AB + TCF'!G5)</f>
        <v>2</v>
      </c>
      <c r="N4" s="144">
        <f>COUNTA('Original-WebNLG'!H6,'WebNLG Combined OD + ZK'!H5,'WebNLG Combined AB + TCF'!H5)</f>
        <v>1</v>
      </c>
      <c r="O4" s="144">
        <f>COUNTA('Original-WebNLG'!I6,'WebNLG Combined OD + ZK'!I5,'WebNLG Combined AB + TCF'!I5)</f>
        <v>0</v>
      </c>
      <c r="P4" s="151">
        <f t="shared" si="4"/>
        <v>0.3333333333</v>
      </c>
    </row>
    <row r="5">
      <c r="A5" s="99">
        <f>COUNTA('Original-WebNLG'!G7,'WebNLG Combined OD + ZK'!G6)</f>
        <v>0</v>
      </c>
      <c r="B5" s="144">
        <f>COUNTA('Original-WebNLG'!H7,'WebNLG Combined OD + ZK'!H6)</f>
        <v>2</v>
      </c>
      <c r="C5" s="144">
        <f>COUNTA('Original-WebNLG'!I7,'WebNLG Combined OD + ZK'!I6)</f>
        <v>0</v>
      </c>
      <c r="D5" s="151">
        <f t="shared" si="1"/>
        <v>1</v>
      </c>
      <c r="E5" s="144">
        <f>COUNTA('Original-WebNLG'!G7,'WebNLG Combined AB + TCF'!G6)</f>
        <v>0</v>
      </c>
      <c r="F5" s="144">
        <f>COUNTA('Original-WebNLG'!H7,'WebNLG Combined AB + TCF'!H6)</f>
        <v>2</v>
      </c>
      <c r="G5" s="144">
        <f>COUNTA('Original-WebNLG'!I7,'WebNLG Combined AB + TCF'!I6)</f>
        <v>0</v>
      </c>
      <c r="H5" s="151">
        <f t="shared" si="2"/>
        <v>1</v>
      </c>
      <c r="I5" s="99">
        <f>COUNTA('WebNLG Combined OD + ZK'!G6,'WebNLG Combined AB + TCF'!G6)</f>
        <v>0</v>
      </c>
      <c r="J5" s="144">
        <f>COUNTA('WebNLG Combined OD + ZK'!H6,'WebNLG Combined AB + TCF'!H6)</f>
        <v>2</v>
      </c>
      <c r="K5" s="144">
        <f>COUNTA('WebNLG Combined OD + ZK'!I6,'WebNLG Combined AB + TCF'!I6)</f>
        <v>0</v>
      </c>
      <c r="L5" s="151">
        <f t="shared" si="3"/>
        <v>1</v>
      </c>
      <c r="M5" s="99">
        <f>COUNTA('Original-WebNLG'!G7,'WebNLG Combined OD + ZK'!G6,'WebNLG Combined AB + TCF'!G6)</f>
        <v>0</v>
      </c>
      <c r="N5" s="144">
        <f>COUNTA('Original-WebNLG'!H7,'WebNLG Combined OD + ZK'!H6,'WebNLG Combined AB + TCF'!H6)</f>
        <v>3</v>
      </c>
      <c r="O5" s="144">
        <f>COUNTA('Original-WebNLG'!I7,'WebNLG Combined OD + ZK'!I6,'WebNLG Combined AB + TCF'!I6)</f>
        <v>0</v>
      </c>
      <c r="P5" s="151">
        <f t="shared" si="4"/>
        <v>1</v>
      </c>
    </row>
    <row r="6">
      <c r="A6" s="99">
        <f>COUNTA('Original-WebNLG'!G8,'WebNLG Combined OD + ZK'!G7)</f>
        <v>0</v>
      </c>
      <c r="B6" s="144">
        <f>COUNTA('Original-WebNLG'!H8,'WebNLG Combined OD + ZK'!H7)</f>
        <v>2</v>
      </c>
      <c r="C6" s="144">
        <f>COUNTA('Original-WebNLG'!I8,'WebNLG Combined OD + ZK'!I7)</f>
        <v>0</v>
      </c>
      <c r="D6" s="151">
        <f t="shared" si="1"/>
        <v>1</v>
      </c>
      <c r="E6" s="144">
        <f>COUNTA('Original-WebNLG'!G8,'WebNLG Combined AB + TCF'!G7)</f>
        <v>0</v>
      </c>
      <c r="F6" s="144">
        <f>COUNTA('Original-WebNLG'!H8,'WebNLG Combined AB + TCF'!H7)</f>
        <v>2</v>
      </c>
      <c r="G6" s="144">
        <f>COUNTA('Original-WebNLG'!I8,'WebNLG Combined AB + TCF'!I7)</f>
        <v>0</v>
      </c>
      <c r="H6" s="151">
        <f t="shared" si="2"/>
        <v>1</v>
      </c>
      <c r="I6" s="99">
        <f>COUNTA('WebNLG Combined OD + ZK'!G7,'WebNLG Combined AB + TCF'!G7)</f>
        <v>0</v>
      </c>
      <c r="J6" s="144">
        <f>COUNTA('WebNLG Combined OD + ZK'!H7,'WebNLG Combined AB + TCF'!H7)</f>
        <v>2</v>
      </c>
      <c r="K6" s="144">
        <f>COUNTA('WebNLG Combined OD + ZK'!I7,'WebNLG Combined AB + TCF'!I7)</f>
        <v>0</v>
      </c>
      <c r="L6" s="151">
        <f t="shared" si="3"/>
        <v>1</v>
      </c>
      <c r="M6" s="99">
        <f>COUNTA('Original-WebNLG'!G8,'WebNLG Combined OD + ZK'!G7,'WebNLG Combined AB + TCF'!G7)</f>
        <v>0</v>
      </c>
      <c r="N6" s="144">
        <f>COUNTA('Original-WebNLG'!H8,'WebNLG Combined OD + ZK'!H7,'WebNLG Combined AB + TCF'!H7)</f>
        <v>3</v>
      </c>
      <c r="O6" s="144">
        <f>COUNTA('Original-WebNLG'!I8,'WebNLG Combined OD + ZK'!I7,'WebNLG Combined AB + TCF'!I7)</f>
        <v>0</v>
      </c>
      <c r="P6" s="151">
        <f t="shared" si="4"/>
        <v>1</v>
      </c>
    </row>
    <row r="7">
      <c r="A7" s="99">
        <f>COUNTA('Original-WebNLG'!G9,'WebNLG Combined OD + ZK'!G8)</f>
        <v>0</v>
      </c>
      <c r="B7" s="144">
        <f>COUNTA('Original-WebNLG'!H9,'WebNLG Combined OD + ZK'!H8)</f>
        <v>2</v>
      </c>
      <c r="C7" s="144">
        <f>COUNTA('Original-WebNLG'!I9,'WebNLG Combined OD + ZK'!I8)</f>
        <v>0</v>
      </c>
      <c r="D7" s="151">
        <f t="shared" si="1"/>
        <v>1</v>
      </c>
      <c r="E7" s="144">
        <f>COUNTA('Original-WebNLG'!G9,'WebNLG Combined AB + TCF'!G8)</f>
        <v>0</v>
      </c>
      <c r="F7" s="144">
        <f>COUNTA('Original-WebNLG'!H9,'WebNLG Combined AB + TCF'!H8)</f>
        <v>2</v>
      </c>
      <c r="G7" s="144">
        <f>COUNTA('Original-WebNLG'!I9,'WebNLG Combined AB + TCF'!I8)</f>
        <v>0</v>
      </c>
      <c r="H7" s="151">
        <f t="shared" si="2"/>
        <v>1</v>
      </c>
      <c r="I7" s="99">
        <f>COUNTA('WebNLG Combined OD + ZK'!G8,'WebNLG Combined AB + TCF'!G8)</f>
        <v>0</v>
      </c>
      <c r="J7" s="144">
        <f>COUNTA('WebNLG Combined OD + ZK'!H8,'WebNLG Combined AB + TCF'!H8)</f>
        <v>2</v>
      </c>
      <c r="K7" s="144">
        <f>COUNTA('WebNLG Combined OD + ZK'!I8,'WebNLG Combined AB + TCF'!I8)</f>
        <v>0</v>
      </c>
      <c r="L7" s="151">
        <f t="shared" si="3"/>
        <v>1</v>
      </c>
      <c r="M7" s="99">
        <f>COUNTA('Original-WebNLG'!G9,'WebNLG Combined OD + ZK'!G8,'WebNLG Combined AB + TCF'!G8)</f>
        <v>0</v>
      </c>
      <c r="N7" s="144">
        <f>COUNTA('Original-WebNLG'!H9,'WebNLG Combined OD + ZK'!H8,'WebNLG Combined AB + TCF'!H8)</f>
        <v>3</v>
      </c>
      <c r="O7" s="144">
        <f>COUNTA('Original-WebNLG'!I9,'WebNLG Combined OD + ZK'!I8,'WebNLG Combined AB + TCF'!I8)</f>
        <v>0</v>
      </c>
      <c r="P7" s="151">
        <f t="shared" si="4"/>
        <v>1</v>
      </c>
    </row>
    <row r="8">
      <c r="A8" s="99">
        <f>COUNTA('Original-WebNLG'!G10,'WebNLG Combined OD + ZK'!G9)</f>
        <v>2</v>
      </c>
      <c r="B8" s="144">
        <f>COUNTA('Original-WebNLG'!H10,'WebNLG Combined OD + ZK'!H9)</f>
        <v>0</v>
      </c>
      <c r="C8" s="144">
        <f>COUNTA('Original-WebNLG'!I10,'WebNLG Combined OD + ZK'!I9)</f>
        <v>0</v>
      </c>
      <c r="D8" s="151">
        <f t="shared" si="1"/>
        <v>1</v>
      </c>
      <c r="E8" s="144">
        <f>COUNTA('Original-WebNLG'!G10,'WebNLG Combined AB + TCF'!G9)</f>
        <v>2</v>
      </c>
      <c r="F8" s="144">
        <f>COUNTA('Original-WebNLG'!H10,'WebNLG Combined AB + TCF'!H9)</f>
        <v>0</v>
      </c>
      <c r="G8" s="144">
        <f>COUNTA('Original-WebNLG'!I10,'WebNLG Combined AB + TCF'!I9)</f>
        <v>0</v>
      </c>
      <c r="H8" s="151">
        <f t="shared" si="2"/>
        <v>1</v>
      </c>
      <c r="I8" s="99">
        <f>COUNTA('WebNLG Combined OD + ZK'!G9,'WebNLG Combined AB + TCF'!G9)</f>
        <v>2</v>
      </c>
      <c r="J8" s="144">
        <f>COUNTA('WebNLG Combined OD + ZK'!H9,'WebNLG Combined AB + TCF'!H9)</f>
        <v>0</v>
      </c>
      <c r="K8" s="144">
        <f>COUNTA('WebNLG Combined OD + ZK'!I9,'WebNLG Combined AB + TCF'!I9)</f>
        <v>0</v>
      </c>
      <c r="L8" s="151">
        <f t="shared" si="3"/>
        <v>1</v>
      </c>
      <c r="M8" s="99">
        <f>COUNTA('Original-WebNLG'!G10,'WebNLG Combined OD + ZK'!G9,'WebNLG Combined AB + TCF'!G9)</f>
        <v>3</v>
      </c>
      <c r="N8" s="144">
        <f>COUNTA('Original-WebNLG'!H10,'WebNLG Combined OD + ZK'!H9,'WebNLG Combined AB + TCF'!H9)</f>
        <v>0</v>
      </c>
      <c r="O8" s="144">
        <f>COUNTA('Original-WebNLG'!I10,'WebNLG Combined OD + ZK'!I9,'WebNLG Combined AB + TCF'!I9)</f>
        <v>0</v>
      </c>
      <c r="P8" s="151">
        <f t="shared" si="4"/>
        <v>1</v>
      </c>
    </row>
    <row r="9">
      <c r="A9" s="99">
        <f>COUNTA('Original-WebNLG'!G11,'WebNLG Combined OD + ZK'!G10)</f>
        <v>0</v>
      </c>
      <c r="B9" s="144">
        <f>COUNTA('Original-WebNLG'!H11,'WebNLG Combined OD + ZK'!H10)</f>
        <v>2</v>
      </c>
      <c r="C9" s="144">
        <f>COUNTA('Original-WebNLG'!I11,'WebNLG Combined OD + ZK'!I10)</f>
        <v>0</v>
      </c>
      <c r="D9" s="151">
        <f t="shared" si="1"/>
        <v>1</v>
      </c>
      <c r="E9" s="144">
        <f>COUNTA('Original-WebNLG'!G11,'WebNLG Combined AB + TCF'!G10)</f>
        <v>0</v>
      </c>
      <c r="F9" s="144">
        <f>COUNTA('Original-WebNLG'!H11,'WebNLG Combined AB + TCF'!H10)</f>
        <v>2</v>
      </c>
      <c r="G9" s="144">
        <f>COUNTA('Original-WebNLG'!I11,'WebNLG Combined AB + TCF'!I10)</f>
        <v>0</v>
      </c>
      <c r="H9" s="151">
        <f t="shared" si="2"/>
        <v>1</v>
      </c>
      <c r="I9" s="99">
        <f>COUNTA('WebNLG Combined OD + ZK'!G10,'WebNLG Combined AB + TCF'!G10)</f>
        <v>0</v>
      </c>
      <c r="J9" s="144">
        <f>COUNTA('WebNLG Combined OD + ZK'!H10,'WebNLG Combined AB + TCF'!H10)</f>
        <v>2</v>
      </c>
      <c r="K9" s="144">
        <f>COUNTA('WebNLG Combined OD + ZK'!I10,'WebNLG Combined AB + TCF'!I10)</f>
        <v>0</v>
      </c>
      <c r="L9" s="151">
        <f t="shared" si="3"/>
        <v>1</v>
      </c>
      <c r="M9" s="99">
        <f>COUNTA('Original-WebNLG'!G11,'WebNLG Combined OD + ZK'!G10,'WebNLG Combined AB + TCF'!G10)</f>
        <v>0</v>
      </c>
      <c r="N9" s="144">
        <f>COUNTA('Original-WebNLG'!H11,'WebNLG Combined OD + ZK'!H10,'WebNLG Combined AB + TCF'!H10)</f>
        <v>3</v>
      </c>
      <c r="O9" s="144">
        <f>COUNTA('Original-WebNLG'!I11,'WebNLG Combined OD + ZK'!I10,'WebNLG Combined AB + TCF'!I10)</f>
        <v>0</v>
      </c>
      <c r="P9" s="151">
        <f t="shared" si="4"/>
        <v>1</v>
      </c>
    </row>
    <row r="10">
      <c r="A10" s="99">
        <f>COUNTA('Original-WebNLG'!G12,'WebNLG Combined OD + ZK'!G11)</f>
        <v>1</v>
      </c>
      <c r="B10" s="144">
        <f>COUNTA('Original-WebNLG'!H12,'WebNLG Combined OD + ZK'!H11)</f>
        <v>1</v>
      </c>
      <c r="C10" s="144">
        <f>COUNTA('Original-WebNLG'!I12,'WebNLG Combined OD + ZK'!I11)</f>
        <v>0</v>
      </c>
      <c r="D10" s="151">
        <f t="shared" si="1"/>
        <v>0</v>
      </c>
      <c r="E10" s="144">
        <f>COUNTA('Original-WebNLG'!G12,'WebNLG Combined AB + TCF'!G11)</f>
        <v>0</v>
      </c>
      <c r="F10" s="144">
        <f>COUNTA('Original-WebNLG'!H12,'WebNLG Combined AB + TCF'!H11)</f>
        <v>2</v>
      </c>
      <c r="G10" s="144">
        <f>COUNTA('Original-WebNLG'!I12,'WebNLG Combined AB + TCF'!I11)</f>
        <v>0</v>
      </c>
      <c r="H10" s="151">
        <f t="shared" si="2"/>
        <v>1</v>
      </c>
      <c r="I10" s="99">
        <f>COUNTA('WebNLG Combined OD + ZK'!G11,'WebNLG Combined AB + TCF'!G11)</f>
        <v>1</v>
      </c>
      <c r="J10" s="144">
        <f>COUNTA('WebNLG Combined OD + ZK'!H11,'WebNLG Combined AB + TCF'!H11)</f>
        <v>1</v>
      </c>
      <c r="K10" s="144">
        <f>COUNTA('WebNLG Combined OD + ZK'!I11,'WebNLG Combined AB + TCF'!I11)</f>
        <v>0</v>
      </c>
      <c r="L10" s="151">
        <f t="shared" si="3"/>
        <v>0</v>
      </c>
      <c r="M10" s="99">
        <f>COUNTA('Original-WebNLG'!G12,'WebNLG Combined OD + ZK'!G11,'WebNLG Combined AB + TCF'!G11)</f>
        <v>1</v>
      </c>
      <c r="N10" s="144">
        <f>COUNTA('Original-WebNLG'!H12,'WebNLG Combined OD + ZK'!H11,'WebNLG Combined AB + TCF'!H11)</f>
        <v>2</v>
      </c>
      <c r="O10" s="144">
        <f>COUNTA('Original-WebNLG'!I12,'WebNLG Combined OD + ZK'!I11,'WebNLG Combined AB + TCF'!I11)</f>
        <v>0</v>
      </c>
      <c r="P10" s="151">
        <f t="shared" si="4"/>
        <v>0.3333333333</v>
      </c>
    </row>
    <row r="11">
      <c r="A11" s="99">
        <f>COUNTA('Original-WebNLG'!G13,'WebNLG Combined OD + ZK'!G12)</f>
        <v>0</v>
      </c>
      <c r="B11" s="144">
        <f>COUNTA('Original-WebNLG'!H13,'WebNLG Combined OD + ZK'!H12)</f>
        <v>2</v>
      </c>
      <c r="C11" s="144">
        <f>COUNTA('Original-WebNLG'!I13,'WebNLG Combined OD + ZK'!I12)</f>
        <v>0</v>
      </c>
      <c r="D11" s="151">
        <f t="shared" si="1"/>
        <v>1</v>
      </c>
      <c r="E11" s="144">
        <f>COUNTA('Original-WebNLG'!G13,'WebNLG Combined AB + TCF'!G12)</f>
        <v>0</v>
      </c>
      <c r="F11" s="144">
        <f>COUNTA('Original-WebNLG'!H13,'WebNLG Combined AB + TCF'!H12)</f>
        <v>2</v>
      </c>
      <c r="G11" s="144">
        <f>COUNTA('Original-WebNLG'!I13,'WebNLG Combined AB + TCF'!I12)</f>
        <v>0</v>
      </c>
      <c r="H11" s="151">
        <f t="shared" si="2"/>
        <v>1</v>
      </c>
      <c r="I11" s="99">
        <f>COUNTA('WebNLG Combined OD + ZK'!G12,'WebNLG Combined AB + TCF'!G12)</f>
        <v>0</v>
      </c>
      <c r="J11" s="144">
        <f>COUNTA('WebNLG Combined OD + ZK'!H12,'WebNLG Combined AB + TCF'!H12)</f>
        <v>2</v>
      </c>
      <c r="K11" s="144">
        <f>COUNTA('WebNLG Combined OD + ZK'!I12,'WebNLG Combined AB + TCF'!I12)</f>
        <v>0</v>
      </c>
      <c r="L11" s="151">
        <f t="shared" si="3"/>
        <v>1</v>
      </c>
      <c r="M11" s="99">
        <f>COUNTA('Original-WebNLG'!G13,'WebNLG Combined OD + ZK'!G12,'WebNLG Combined AB + TCF'!G12)</f>
        <v>0</v>
      </c>
      <c r="N11" s="144">
        <f>COUNTA('Original-WebNLG'!H13,'WebNLG Combined OD + ZK'!H12,'WebNLG Combined AB + TCF'!H12)</f>
        <v>3</v>
      </c>
      <c r="O11" s="144">
        <f>COUNTA('Original-WebNLG'!I13,'WebNLG Combined OD + ZK'!I12,'WebNLG Combined AB + TCF'!I12)</f>
        <v>0</v>
      </c>
      <c r="P11" s="151">
        <f t="shared" si="4"/>
        <v>1</v>
      </c>
    </row>
    <row r="12">
      <c r="A12" s="99">
        <f>COUNTA('Original-WebNLG'!G14,'WebNLG Combined OD + ZK'!G13)</f>
        <v>0</v>
      </c>
      <c r="B12" s="144">
        <f>COUNTA('Original-WebNLG'!H14,'WebNLG Combined OD + ZK'!H13)</f>
        <v>2</v>
      </c>
      <c r="C12" s="144">
        <f>COUNTA('Original-WebNLG'!I14,'WebNLG Combined OD + ZK'!I13)</f>
        <v>0</v>
      </c>
      <c r="D12" s="151">
        <f t="shared" si="1"/>
        <v>1</v>
      </c>
      <c r="E12" s="144">
        <f>COUNTA('Original-WebNLG'!G14,'WebNLG Combined AB + TCF'!G13)</f>
        <v>1</v>
      </c>
      <c r="F12" s="144">
        <f>COUNTA('Original-WebNLG'!H14,'WebNLG Combined AB + TCF'!H13)</f>
        <v>2</v>
      </c>
      <c r="G12" s="144">
        <f>COUNTA('Original-WebNLG'!I14,'WebNLG Combined AB + TCF'!I13)</f>
        <v>0</v>
      </c>
      <c r="H12" s="151">
        <f t="shared" si="2"/>
        <v>1.5</v>
      </c>
      <c r="I12" s="99">
        <f>COUNTA('WebNLG Combined OD + ZK'!G13,'WebNLG Combined AB + TCF'!G13)</f>
        <v>1</v>
      </c>
      <c r="J12" s="144">
        <f>COUNTA('WebNLG Combined OD + ZK'!H13,'WebNLG Combined AB + TCF'!H13)</f>
        <v>2</v>
      </c>
      <c r="K12" s="144">
        <f>COUNTA('WebNLG Combined OD + ZK'!I13,'WebNLG Combined AB + TCF'!I13)</f>
        <v>0</v>
      </c>
      <c r="L12" s="151">
        <f t="shared" si="3"/>
        <v>1.5</v>
      </c>
      <c r="M12" s="99">
        <f>COUNTA('Original-WebNLG'!G14,'WebNLG Combined OD + ZK'!G13,'WebNLG Combined AB + TCF'!G13)</f>
        <v>1</v>
      </c>
      <c r="N12" s="144">
        <f>COUNTA('Original-WebNLG'!H14,'WebNLG Combined OD + ZK'!H13,'WebNLG Combined AB + TCF'!H13)</f>
        <v>3</v>
      </c>
      <c r="O12" s="144">
        <f>COUNTA('Original-WebNLG'!I14,'WebNLG Combined OD + ZK'!I13,'WebNLG Combined AB + TCF'!I13)</f>
        <v>0</v>
      </c>
      <c r="P12" s="151">
        <f t="shared" si="4"/>
        <v>1.166666667</v>
      </c>
    </row>
    <row r="13">
      <c r="A13" s="99">
        <f>COUNTA('Original-WebNLG'!G15,'WebNLG Combined OD + ZK'!G14)</f>
        <v>0</v>
      </c>
      <c r="B13" s="144">
        <f>COUNTA('Original-WebNLG'!H15,'WebNLG Combined OD + ZK'!H14)</f>
        <v>1</v>
      </c>
      <c r="C13" s="144">
        <f>COUNTA('Original-WebNLG'!I15,'WebNLG Combined OD + ZK'!I14)</f>
        <v>0</v>
      </c>
      <c r="D13" s="151">
        <f t="shared" si="1"/>
        <v>-0.5</v>
      </c>
      <c r="E13" s="144">
        <f>COUNTA('Original-WebNLG'!G15,'WebNLG Combined AB + TCF'!G14)</f>
        <v>0</v>
      </c>
      <c r="F13" s="144">
        <f>COUNTA('Original-WebNLG'!H15,'WebNLG Combined AB + TCF'!H14)</f>
        <v>2</v>
      </c>
      <c r="G13" s="144">
        <f>COUNTA('Original-WebNLG'!I15,'WebNLG Combined AB + TCF'!I14)</f>
        <v>0</v>
      </c>
      <c r="H13" s="151">
        <f t="shared" si="2"/>
        <v>1</v>
      </c>
      <c r="I13" s="99">
        <f>COUNTA('WebNLG Combined OD + ZK'!G14,'WebNLG Combined AB + TCF'!G14)</f>
        <v>0</v>
      </c>
      <c r="J13" s="144">
        <f>COUNTA('WebNLG Combined OD + ZK'!H14,'WebNLG Combined AB + TCF'!H14)</f>
        <v>1</v>
      </c>
      <c r="K13" s="144">
        <f>COUNTA('WebNLG Combined OD + ZK'!I14,'WebNLG Combined AB + TCF'!I14)</f>
        <v>0</v>
      </c>
      <c r="L13" s="151">
        <f t="shared" si="3"/>
        <v>-0.5</v>
      </c>
      <c r="M13" s="99">
        <f>COUNTA('Original-WebNLG'!G15,'WebNLG Combined OD + ZK'!G14,'WebNLG Combined AB + TCF'!G14)</f>
        <v>0</v>
      </c>
      <c r="N13" s="144">
        <f>COUNTA('Original-WebNLG'!H15,'WebNLG Combined OD + ZK'!H14,'WebNLG Combined AB + TCF'!H14)</f>
        <v>2</v>
      </c>
      <c r="O13" s="144">
        <f>COUNTA('Original-WebNLG'!I15,'WebNLG Combined OD + ZK'!I14,'WebNLG Combined AB + TCF'!I14)</f>
        <v>0</v>
      </c>
      <c r="P13" s="151">
        <f t="shared" si="4"/>
        <v>0.1666666667</v>
      </c>
    </row>
    <row r="14">
      <c r="A14" s="99">
        <f>COUNTA('Original-WebNLG'!G16,'WebNLG Combined OD + ZK'!G15)</f>
        <v>0</v>
      </c>
      <c r="B14" s="144">
        <f>COUNTA('Original-WebNLG'!H16,'WebNLG Combined OD + ZK'!H15)</f>
        <v>1</v>
      </c>
      <c r="C14" s="144">
        <f>COUNTA('Original-WebNLG'!I16,'WebNLG Combined OD + ZK'!I15)</f>
        <v>1</v>
      </c>
      <c r="D14" s="151">
        <f t="shared" si="1"/>
        <v>0</v>
      </c>
      <c r="E14" s="144">
        <f>COUNTA('Original-WebNLG'!G16,'WebNLG Combined AB + TCF'!G15)</f>
        <v>1</v>
      </c>
      <c r="F14" s="144">
        <f>COUNTA('Original-WebNLG'!H16,'WebNLG Combined AB + TCF'!H15)</f>
        <v>0</v>
      </c>
      <c r="G14" s="144">
        <f>COUNTA('Original-WebNLG'!I16,'WebNLG Combined AB + TCF'!I15)</f>
        <v>1</v>
      </c>
      <c r="H14" s="151">
        <f t="shared" si="2"/>
        <v>0</v>
      </c>
      <c r="I14" s="99">
        <f>COUNTA('WebNLG Combined OD + ZK'!G15,'WebNLG Combined AB + TCF'!G15)</f>
        <v>1</v>
      </c>
      <c r="J14" s="144">
        <f>COUNTA('WebNLG Combined OD + ZK'!H15,'WebNLG Combined AB + TCF'!H15)</f>
        <v>1</v>
      </c>
      <c r="K14" s="144">
        <f>COUNTA('WebNLG Combined OD + ZK'!I15,'WebNLG Combined AB + TCF'!I15)</f>
        <v>0</v>
      </c>
      <c r="L14" s="151">
        <f t="shared" si="3"/>
        <v>0</v>
      </c>
      <c r="M14" s="99">
        <f>COUNTA('Original-WebNLG'!G16,'WebNLG Combined OD + ZK'!G15,'WebNLG Combined AB + TCF'!G15)</f>
        <v>1</v>
      </c>
      <c r="N14" s="144">
        <f>COUNTA('Original-WebNLG'!H16,'WebNLG Combined OD + ZK'!H15,'WebNLG Combined AB + TCF'!H15)</f>
        <v>1</v>
      </c>
      <c r="O14" s="144">
        <f>COUNTA('Original-WebNLG'!I16,'WebNLG Combined OD + ZK'!I15,'WebNLG Combined AB + TCF'!I15)</f>
        <v>1</v>
      </c>
      <c r="P14" s="151">
        <f t="shared" si="4"/>
        <v>0</v>
      </c>
    </row>
    <row r="15">
      <c r="A15" s="99">
        <f>COUNTA('Original-WebNLG'!G17,'WebNLG Combined OD + ZK'!G16)</f>
        <v>1</v>
      </c>
      <c r="B15" s="144">
        <f>COUNTA('Original-WebNLG'!H17,'WebNLG Combined OD + ZK'!H16)</f>
        <v>1</v>
      </c>
      <c r="C15" s="144">
        <f>COUNTA('Original-WebNLG'!I17,'WebNLG Combined OD + ZK'!I16)</f>
        <v>0</v>
      </c>
      <c r="D15" s="151">
        <f t="shared" si="1"/>
        <v>0</v>
      </c>
      <c r="E15" s="144">
        <f>COUNTA('Original-WebNLG'!G17,'WebNLG Combined AB + TCF'!G16)</f>
        <v>1</v>
      </c>
      <c r="F15" s="144">
        <f>COUNTA('Original-WebNLG'!H17,'WebNLG Combined AB + TCF'!H16)</f>
        <v>1</v>
      </c>
      <c r="G15" s="144">
        <f>COUNTA('Original-WebNLG'!I17,'WebNLG Combined AB + TCF'!I16)</f>
        <v>0</v>
      </c>
      <c r="H15" s="151">
        <f t="shared" si="2"/>
        <v>0</v>
      </c>
      <c r="I15" s="99">
        <f>COUNTA('WebNLG Combined OD + ZK'!G16,'WebNLG Combined AB + TCF'!G16)</f>
        <v>2</v>
      </c>
      <c r="J15" s="144">
        <f>COUNTA('WebNLG Combined OD + ZK'!H16,'WebNLG Combined AB + TCF'!H16)</f>
        <v>0</v>
      </c>
      <c r="K15" s="144">
        <f>COUNTA('WebNLG Combined OD + ZK'!I16,'WebNLG Combined AB + TCF'!I16)</f>
        <v>0</v>
      </c>
      <c r="L15" s="151">
        <f t="shared" si="3"/>
        <v>1</v>
      </c>
      <c r="M15" s="99">
        <f>COUNTA('Original-WebNLG'!G17,'WebNLG Combined OD + ZK'!G16,'WebNLG Combined AB + TCF'!G16)</f>
        <v>2</v>
      </c>
      <c r="N15" s="144">
        <f>COUNTA('Original-WebNLG'!H17,'WebNLG Combined OD + ZK'!H16,'WebNLG Combined AB + TCF'!H16)</f>
        <v>1</v>
      </c>
      <c r="O15" s="144">
        <f>COUNTA('Original-WebNLG'!I17,'WebNLG Combined OD + ZK'!I16,'WebNLG Combined AB + TCF'!I16)</f>
        <v>0</v>
      </c>
      <c r="P15" s="151">
        <f t="shared" si="4"/>
        <v>0.3333333333</v>
      </c>
    </row>
    <row r="16">
      <c r="A16" s="99">
        <f>COUNTA('Original-WebNLG'!G18,'WebNLG Combined OD + ZK'!G17)</f>
        <v>0</v>
      </c>
      <c r="B16" s="144">
        <f>COUNTA('Original-WebNLG'!H18,'WebNLG Combined OD + ZK'!H17)</f>
        <v>2</v>
      </c>
      <c r="C16" s="144">
        <f>COUNTA('Original-WebNLG'!I18,'WebNLG Combined OD + ZK'!I17)</f>
        <v>0</v>
      </c>
      <c r="D16" s="151">
        <f t="shared" si="1"/>
        <v>1</v>
      </c>
      <c r="E16" s="144">
        <f>COUNTA('Original-WebNLG'!G18,'WebNLG Combined AB + TCF'!G17)</f>
        <v>0</v>
      </c>
      <c r="F16" s="144">
        <f>COUNTA('Original-WebNLG'!H18,'WebNLG Combined AB + TCF'!H17)</f>
        <v>2</v>
      </c>
      <c r="G16" s="144">
        <f>COUNTA('Original-WebNLG'!I18,'WebNLG Combined AB + TCF'!I17)</f>
        <v>0</v>
      </c>
      <c r="H16" s="151">
        <f t="shared" si="2"/>
        <v>1</v>
      </c>
      <c r="I16" s="99">
        <f>COUNTA('WebNLG Combined OD + ZK'!G17,'WebNLG Combined AB + TCF'!G17)</f>
        <v>0</v>
      </c>
      <c r="J16" s="144">
        <f>COUNTA('WebNLG Combined OD + ZK'!H17,'WebNLG Combined AB + TCF'!H17)</f>
        <v>2</v>
      </c>
      <c r="K16" s="144">
        <f>COUNTA('WebNLG Combined OD + ZK'!I17,'WebNLG Combined AB + TCF'!I17)</f>
        <v>0</v>
      </c>
      <c r="L16" s="151">
        <f t="shared" si="3"/>
        <v>1</v>
      </c>
      <c r="M16" s="99">
        <f>COUNTA('Original-WebNLG'!G18,'WebNLG Combined OD + ZK'!G17,'WebNLG Combined AB + TCF'!G17)</f>
        <v>0</v>
      </c>
      <c r="N16" s="144">
        <f>COUNTA('Original-WebNLG'!H18,'WebNLG Combined OD + ZK'!H17,'WebNLG Combined AB + TCF'!H17)</f>
        <v>3</v>
      </c>
      <c r="O16" s="144">
        <f>COUNTA('Original-WebNLG'!I18,'WebNLG Combined OD + ZK'!I17,'WebNLG Combined AB + TCF'!I17)</f>
        <v>0</v>
      </c>
      <c r="P16" s="151">
        <f t="shared" si="4"/>
        <v>1</v>
      </c>
    </row>
    <row r="17">
      <c r="A17" s="99">
        <f>COUNTA('Original-WebNLG'!G19,'WebNLG Combined OD + ZK'!G18)</f>
        <v>2</v>
      </c>
      <c r="B17" s="144">
        <f>COUNTA('Original-WebNLG'!H19,'WebNLG Combined OD + ZK'!H18)</f>
        <v>0</v>
      </c>
      <c r="C17" s="144">
        <f>COUNTA('Original-WebNLG'!I19,'WebNLG Combined OD + ZK'!I18)</f>
        <v>0</v>
      </c>
      <c r="D17" s="151">
        <f t="shared" si="1"/>
        <v>1</v>
      </c>
      <c r="E17" s="144">
        <f>COUNTA('Original-WebNLG'!G19,'WebNLG Combined AB + TCF'!G18)</f>
        <v>2</v>
      </c>
      <c r="F17" s="144">
        <f>COUNTA('Original-WebNLG'!H19,'WebNLG Combined AB + TCF'!H18)</f>
        <v>0</v>
      </c>
      <c r="G17" s="144">
        <f>COUNTA('Original-WebNLG'!I19,'WebNLG Combined AB + TCF'!I18)</f>
        <v>0</v>
      </c>
      <c r="H17" s="151">
        <f t="shared" si="2"/>
        <v>1</v>
      </c>
      <c r="I17" s="99">
        <f>COUNTA('WebNLG Combined OD + ZK'!G18,'WebNLG Combined AB + TCF'!G18)</f>
        <v>2</v>
      </c>
      <c r="J17" s="144">
        <f>COUNTA('WebNLG Combined OD + ZK'!H18,'WebNLG Combined AB + TCF'!H18)</f>
        <v>0</v>
      </c>
      <c r="K17" s="144">
        <f>COUNTA('WebNLG Combined OD + ZK'!I18,'WebNLG Combined AB + TCF'!I18)</f>
        <v>0</v>
      </c>
      <c r="L17" s="151">
        <f t="shared" si="3"/>
        <v>1</v>
      </c>
      <c r="M17" s="99">
        <f>COUNTA('Original-WebNLG'!G19,'WebNLG Combined OD + ZK'!G18,'WebNLG Combined AB + TCF'!G18)</f>
        <v>3</v>
      </c>
      <c r="N17" s="144">
        <f>COUNTA('Original-WebNLG'!H19,'WebNLG Combined OD + ZK'!H18,'WebNLG Combined AB + TCF'!H18)</f>
        <v>0</v>
      </c>
      <c r="O17" s="144">
        <f>COUNTA('Original-WebNLG'!I19,'WebNLG Combined OD + ZK'!I18,'WebNLG Combined AB + TCF'!I18)</f>
        <v>0</v>
      </c>
      <c r="P17" s="151">
        <f t="shared" si="4"/>
        <v>1</v>
      </c>
    </row>
    <row r="18">
      <c r="A18" s="99">
        <f>COUNTA('Original-WebNLG'!G20,'WebNLG Combined OD + ZK'!G19)</f>
        <v>0</v>
      </c>
      <c r="B18" s="144">
        <f>COUNTA('Original-WebNLG'!H20,'WebNLG Combined OD + ZK'!H19)</f>
        <v>0</v>
      </c>
      <c r="C18" s="144">
        <f>COUNTA('Original-WebNLG'!I20,'WebNLG Combined OD + ZK'!I19)</f>
        <v>2</v>
      </c>
      <c r="D18" s="151">
        <f t="shared" si="1"/>
        <v>1</v>
      </c>
      <c r="E18" s="144">
        <f>COUNTA('Original-WebNLG'!G20,'WebNLG Combined AB + TCF'!G19)</f>
        <v>1</v>
      </c>
      <c r="F18" s="144">
        <f>COUNTA('Original-WebNLG'!H20,'WebNLG Combined AB + TCF'!H19)</f>
        <v>0</v>
      </c>
      <c r="G18" s="144">
        <f>COUNTA('Original-WebNLG'!I20,'WebNLG Combined AB + TCF'!I19)</f>
        <v>1</v>
      </c>
      <c r="H18" s="151">
        <f t="shared" si="2"/>
        <v>0</v>
      </c>
      <c r="I18" s="99">
        <f>COUNTA('WebNLG Combined OD + ZK'!G19,'WebNLG Combined AB + TCF'!G19)</f>
        <v>1</v>
      </c>
      <c r="J18" s="144">
        <f>COUNTA('WebNLG Combined OD + ZK'!H19,'WebNLG Combined AB + TCF'!H19)</f>
        <v>0</v>
      </c>
      <c r="K18" s="144">
        <f>COUNTA('WebNLG Combined OD + ZK'!I19,'WebNLG Combined AB + TCF'!I19)</f>
        <v>1</v>
      </c>
      <c r="L18" s="151">
        <f t="shared" si="3"/>
        <v>0</v>
      </c>
      <c r="M18" s="99">
        <f>COUNTA('Original-WebNLG'!G20,'WebNLG Combined OD + ZK'!G19,'WebNLG Combined AB + TCF'!G19)</f>
        <v>1</v>
      </c>
      <c r="N18" s="144">
        <f>COUNTA('Original-WebNLG'!H20,'WebNLG Combined OD + ZK'!H19,'WebNLG Combined AB + TCF'!H19)</f>
        <v>0</v>
      </c>
      <c r="O18" s="144">
        <f>COUNTA('Original-WebNLG'!I20,'WebNLG Combined OD + ZK'!I19,'WebNLG Combined AB + TCF'!I19)</f>
        <v>2</v>
      </c>
      <c r="P18" s="151">
        <f t="shared" si="4"/>
        <v>0.3333333333</v>
      </c>
    </row>
    <row r="19">
      <c r="A19" s="99">
        <f>COUNTA('Original-WebNLG'!G21,'WebNLG Combined OD + ZK'!G20)</f>
        <v>2</v>
      </c>
      <c r="B19" s="144">
        <f>COUNTA('Original-WebNLG'!H21,'WebNLG Combined OD + ZK'!H20)</f>
        <v>0</v>
      </c>
      <c r="C19" s="144">
        <f>COUNTA('Original-WebNLG'!I21,'WebNLG Combined OD + ZK'!I20)</f>
        <v>0</v>
      </c>
      <c r="D19" s="151">
        <f t="shared" si="1"/>
        <v>1</v>
      </c>
      <c r="E19" s="144">
        <f>COUNTA('Original-WebNLG'!G21,'WebNLG Combined AB + TCF'!G20)</f>
        <v>2</v>
      </c>
      <c r="F19" s="144">
        <f>COUNTA('Original-WebNLG'!H21,'WebNLG Combined AB + TCF'!H20)</f>
        <v>0</v>
      </c>
      <c r="G19" s="144">
        <f>COUNTA('Original-WebNLG'!I21,'WebNLG Combined AB + TCF'!I20)</f>
        <v>0</v>
      </c>
      <c r="H19" s="151">
        <f t="shared" si="2"/>
        <v>1</v>
      </c>
      <c r="I19" s="99">
        <f>COUNTA('WebNLG Combined OD + ZK'!G20,'WebNLG Combined AB + TCF'!G20)</f>
        <v>2</v>
      </c>
      <c r="J19" s="144">
        <f>COUNTA('WebNLG Combined OD + ZK'!H20,'WebNLG Combined AB + TCF'!H20)</f>
        <v>0</v>
      </c>
      <c r="K19" s="144">
        <f>COUNTA('WebNLG Combined OD + ZK'!I20,'WebNLG Combined AB + TCF'!I20)</f>
        <v>0</v>
      </c>
      <c r="L19" s="151">
        <f t="shared" si="3"/>
        <v>1</v>
      </c>
      <c r="M19" s="99">
        <f>COUNTA('Original-WebNLG'!G21,'WebNLG Combined OD + ZK'!G20,'WebNLG Combined AB + TCF'!G20)</f>
        <v>3</v>
      </c>
      <c r="N19" s="144">
        <f>COUNTA('Original-WebNLG'!H21,'WebNLG Combined OD + ZK'!H20,'WebNLG Combined AB + TCF'!H20)</f>
        <v>0</v>
      </c>
      <c r="O19" s="144">
        <f>COUNTA('Original-WebNLG'!I21,'WebNLG Combined OD + ZK'!I20,'WebNLG Combined AB + TCF'!I20)</f>
        <v>0</v>
      </c>
      <c r="P19" s="151">
        <f t="shared" si="4"/>
        <v>1</v>
      </c>
    </row>
    <row r="20">
      <c r="A20" s="99">
        <f>COUNTA('Original-WebNLG'!G22,'WebNLG Combined OD + ZK'!G21)</f>
        <v>2</v>
      </c>
      <c r="B20" s="144">
        <f>COUNTA('Original-WebNLG'!H22,'WebNLG Combined OD + ZK'!H21)</f>
        <v>0</v>
      </c>
      <c r="C20" s="144">
        <f>COUNTA('Original-WebNLG'!I22,'WebNLG Combined OD + ZK'!I21)</f>
        <v>0</v>
      </c>
      <c r="D20" s="151">
        <f t="shared" si="1"/>
        <v>1</v>
      </c>
      <c r="E20" s="144">
        <f>COUNTA('Original-WebNLG'!G22,'WebNLG Combined AB + TCF'!G21)</f>
        <v>2</v>
      </c>
      <c r="F20" s="144">
        <f>COUNTA('Original-WebNLG'!H22,'WebNLG Combined AB + TCF'!H21)</f>
        <v>0</v>
      </c>
      <c r="G20" s="144">
        <f>COUNTA('Original-WebNLG'!I22,'WebNLG Combined AB + TCF'!I21)</f>
        <v>0</v>
      </c>
      <c r="H20" s="151">
        <f t="shared" si="2"/>
        <v>1</v>
      </c>
      <c r="I20" s="99">
        <f>COUNTA('WebNLG Combined OD + ZK'!G21,'WebNLG Combined AB + TCF'!G21)</f>
        <v>2</v>
      </c>
      <c r="J20" s="144">
        <f>COUNTA('WebNLG Combined OD + ZK'!H21,'WebNLG Combined AB + TCF'!H21)</f>
        <v>0</v>
      </c>
      <c r="K20" s="144">
        <f>COUNTA('WebNLG Combined OD + ZK'!I21,'WebNLG Combined AB + TCF'!I21)</f>
        <v>0</v>
      </c>
      <c r="L20" s="151">
        <f t="shared" si="3"/>
        <v>1</v>
      </c>
      <c r="M20" s="99">
        <f>COUNTA('Original-WebNLG'!G22,'WebNLG Combined OD + ZK'!G21,'WebNLG Combined AB + TCF'!G21)</f>
        <v>3</v>
      </c>
      <c r="N20" s="144">
        <f>COUNTA('Original-WebNLG'!H22,'WebNLG Combined OD + ZK'!H21,'WebNLG Combined AB + TCF'!H21)</f>
        <v>0</v>
      </c>
      <c r="O20" s="144">
        <f>COUNTA('Original-WebNLG'!I22,'WebNLG Combined OD + ZK'!I21,'WebNLG Combined AB + TCF'!I21)</f>
        <v>0</v>
      </c>
      <c r="P20" s="151">
        <f t="shared" si="4"/>
        <v>1</v>
      </c>
    </row>
    <row r="21">
      <c r="A21" s="99">
        <f>COUNTA('Original-WebNLG'!G23,'WebNLG Combined OD + ZK'!G22)</f>
        <v>0</v>
      </c>
      <c r="B21" s="144">
        <f>COUNTA('Original-WebNLG'!H23,'WebNLG Combined OD + ZK'!H22)</f>
        <v>2</v>
      </c>
      <c r="C21" s="144">
        <f>COUNTA('Original-WebNLG'!I23,'WebNLG Combined OD + ZK'!I22)</f>
        <v>0</v>
      </c>
      <c r="D21" s="151">
        <f t="shared" si="1"/>
        <v>1</v>
      </c>
      <c r="E21" s="144">
        <f>COUNTA('Original-WebNLG'!G23,'WebNLG Combined AB + TCF'!G22)</f>
        <v>0</v>
      </c>
      <c r="F21" s="144">
        <f>COUNTA('Original-WebNLG'!H23,'WebNLG Combined AB + TCF'!H22)</f>
        <v>2</v>
      </c>
      <c r="G21" s="144">
        <f>COUNTA('Original-WebNLG'!I23,'WebNLG Combined AB + TCF'!I22)</f>
        <v>0</v>
      </c>
      <c r="H21" s="151">
        <f t="shared" si="2"/>
        <v>1</v>
      </c>
      <c r="I21" s="99">
        <f>COUNTA('WebNLG Combined OD + ZK'!G22,'WebNLG Combined AB + TCF'!G22)</f>
        <v>0</v>
      </c>
      <c r="J21" s="144">
        <f>COUNTA('WebNLG Combined OD + ZK'!H22,'WebNLG Combined AB + TCF'!H22)</f>
        <v>2</v>
      </c>
      <c r="K21" s="144">
        <f>COUNTA('WebNLG Combined OD + ZK'!I22,'WebNLG Combined AB + TCF'!I22)</f>
        <v>0</v>
      </c>
      <c r="L21" s="151">
        <f t="shared" si="3"/>
        <v>1</v>
      </c>
      <c r="M21" s="99">
        <f>COUNTA('Original-WebNLG'!G23,'WebNLG Combined OD + ZK'!G22,'WebNLG Combined AB + TCF'!G22)</f>
        <v>0</v>
      </c>
      <c r="N21" s="144">
        <f>COUNTA('Original-WebNLG'!H23,'WebNLG Combined OD + ZK'!H22,'WebNLG Combined AB + TCF'!H22)</f>
        <v>3</v>
      </c>
      <c r="O21" s="144">
        <f>COUNTA('Original-WebNLG'!I23,'WebNLG Combined OD + ZK'!I22,'WebNLG Combined AB + TCF'!I22)</f>
        <v>0</v>
      </c>
      <c r="P21" s="151">
        <f t="shared" si="4"/>
        <v>1</v>
      </c>
    </row>
    <row r="22">
      <c r="A22" s="99">
        <f>COUNTA('Original-WebNLG'!G24,'WebNLG Combined OD + ZK'!G23)</f>
        <v>1</v>
      </c>
      <c r="B22" s="144">
        <f>COUNTA('Original-WebNLG'!H24,'WebNLG Combined OD + ZK'!H23)</f>
        <v>1</v>
      </c>
      <c r="C22" s="144">
        <f>COUNTA('Original-WebNLG'!I24,'WebNLG Combined OD + ZK'!I23)</f>
        <v>0</v>
      </c>
      <c r="D22" s="151">
        <f t="shared" si="1"/>
        <v>0</v>
      </c>
      <c r="E22" s="144">
        <f>COUNTA('Original-WebNLG'!G24,'WebNLG Combined AB + TCF'!G23)</f>
        <v>1</v>
      </c>
      <c r="F22" s="144">
        <f>COUNTA('Original-WebNLG'!H24,'WebNLG Combined AB + TCF'!H23)</f>
        <v>0</v>
      </c>
      <c r="G22" s="144">
        <f>COUNTA('Original-WebNLG'!I24,'WebNLG Combined AB + TCF'!I23)</f>
        <v>1</v>
      </c>
      <c r="H22" s="151">
        <f t="shared" si="2"/>
        <v>0</v>
      </c>
      <c r="I22" s="99">
        <f>COUNTA('WebNLG Combined OD + ZK'!G23,'WebNLG Combined AB + TCF'!G23)</f>
        <v>0</v>
      </c>
      <c r="J22" s="144">
        <f>COUNTA('WebNLG Combined OD + ZK'!H23,'WebNLG Combined AB + TCF'!H23)</f>
        <v>1</v>
      </c>
      <c r="K22" s="144">
        <f>COUNTA('WebNLG Combined OD + ZK'!I23,'WebNLG Combined AB + TCF'!I23)</f>
        <v>1</v>
      </c>
      <c r="L22" s="151">
        <f t="shared" si="3"/>
        <v>0</v>
      </c>
      <c r="M22" s="99">
        <f>COUNTA('Original-WebNLG'!G24,'WebNLG Combined OD + ZK'!G23,'WebNLG Combined AB + TCF'!G23)</f>
        <v>1</v>
      </c>
      <c r="N22" s="144">
        <f>COUNTA('Original-WebNLG'!H24,'WebNLG Combined OD + ZK'!H23,'WebNLG Combined AB + TCF'!H23)</f>
        <v>1</v>
      </c>
      <c r="O22" s="144">
        <f>COUNTA('Original-WebNLG'!I24,'WebNLG Combined OD + ZK'!I23,'WebNLG Combined AB + TCF'!I23)</f>
        <v>1</v>
      </c>
      <c r="P22" s="151">
        <f t="shared" si="4"/>
        <v>0</v>
      </c>
    </row>
    <row r="23">
      <c r="A23" s="99">
        <f>COUNTA('Original-WebNLG'!G25,'WebNLG Combined OD + ZK'!G24)</f>
        <v>2</v>
      </c>
      <c r="B23" s="144">
        <f>COUNTA('Original-WebNLG'!H25,'WebNLG Combined OD + ZK'!H24)</f>
        <v>0</v>
      </c>
      <c r="C23" s="144">
        <f>COUNTA('Original-WebNLG'!I25,'WebNLG Combined OD + ZK'!I24)</f>
        <v>0</v>
      </c>
      <c r="D23" s="151">
        <f t="shared" si="1"/>
        <v>1</v>
      </c>
      <c r="E23" s="144">
        <f>COUNTA('Original-WebNLG'!G25,'WebNLG Combined AB + TCF'!G24)</f>
        <v>2</v>
      </c>
      <c r="F23" s="144">
        <f>COUNTA('Original-WebNLG'!H25,'WebNLG Combined AB + TCF'!H24)</f>
        <v>0</v>
      </c>
      <c r="G23" s="144">
        <f>COUNTA('Original-WebNLG'!I25,'WebNLG Combined AB + TCF'!I24)</f>
        <v>0</v>
      </c>
      <c r="H23" s="151">
        <f t="shared" si="2"/>
        <v>1</v>
      </c>
      <c r="I23" s="99">
        <f>COUNTA('WebNLG Combined OD + ZK'!G24,'WebNLG Combined AB + TCF'!G24)</f>
        <v>2</v>
      </c>
      <c r="J23" s="144">
        <f>COUNTA('WebNLG Combined OD + ZK'!H24,'WebNLG Combined AB + TCF'!H24)</f>
        <v>0</v>
      </c>
      <c r="K23" s="144">
        <f>COUNTA('WebNLG Combined OD + ZK'!I24,'WebNLG Combined AB + TCF'!I24)</f>
        <v>0</v>
      </c>
      <c r="L23" s="151">
        <f t="shared" si="3"/>
        <v>1</v>
      </c>
      <c r="M23" s="99">
        <f>COUNTA('Original-WebNLG'!G25,'WebNLG Combined OD + ZK'!G24,'WebNLG Combined AB + TCF'!G24)</f>
        <v>3</v>
      </c>
      <c r="N23" s="144">
        <f>COUNTA('Original-WebNLG'!H25,'WebNLG Combined OD + ZK'!H24,'WebNLG Combined AB + TCF'!H24)</f>
        <v>0</v>
      </c>
      <c r="O23" s="144">
        <f>COUNTA('Original-WebNLG'!I25,'WebNLG Combined OD + ZK'!I24,'WebNLG Combined AB + TCF'!I24)</f>
        <v>0</v>
      </c>
      <c r="P23" s="151">
        <f t="shared" si="4"/>
        <v>1</v>
      </c>
    </row>
    <row r="24">
      <c r="A24" s="99">
        <f>COUNTA('Original-WebNLG'!G26,'WebNLG Combined OD + ZK'!G25)</f>
        <v>1</v>
      </c>
      <c r="B24" s="144">
        <f>COUNTA('Original-WebNLG'!H26,'WebNLG Combined OD + ZK'!H25)</f>
        <v>1</v>
      </c>
      <c r="C24" s="144">
        <f>COUNTA('Original-WebNLG'!I26,'WebNLG Combined OD + ZK'!I25)</f>
        <v>0</v>
      </c>
      <c r="D24" s="151">
        <f t="shared" si="1"/>
        <v>0</v>
      </c>
      <c r="E24" s="144">
        <f>COUNTA('Original-WebNLG'!G26,'WebNLG Combined AB + TCF'!G25)</f>
        <v>2</v>
      </c>
      <c r="F24" s="144">
        <f>COUNTA('Original-WebNLG'!H26,'WebNLG Combined AB + TCF'!H25)</f>
        <v>0</v>
      </c>
      <c r="G24" s="144">
        <f>COUNTA('Original-WebNLG'!I26,'WebNLG Combined AB + TCF'!I25)</f>
        <v>0</v>
      </c>
      <c r="H24" s="151">
        <f t="shared" si="2"/>
        <v>1</v>
      </c>
      <c r="I24" s="99">
        <f>COUNTA('WebNLG Combined OD + ZK'!G25,'WebNLG Combined AB + TCF'!G25)</f>
        <v>1</v>
      </c>
      <c r="J24" s="144">
        <f>COUNTA('WebNLG Combined OD + ZK'!H25,'WebNLG Combined AB + TCF'!H25)</f>
        <v>1</v>
      </c>
      <c r="K24" s="144">
        <f>COUNTA('WebNLG Combined OD + ZK'!I25,'WebNLG Combined AB + TCF'!I25)</f>
        <v>0</v>
      </c>
      <c r="L24" s="151">
        <f t="shared" si="3"/>
        <v>0</v>
      </c>
      <c r="M24" s="99">
        <f>COUNTA('Original-WebNLG'!G26,'WebNLG Combined OD + ZK'!G25,'WebNLG Combined AB + TCF'!G25)</f>
        <v>2</v>
      </c>
      <c r="N24" s="144">
        <f>COUNTA('Original-WebNLG'!H26,'WebNLG Combined OD + ZK'!H25,'WebNLG Combined AB + TCF'!H25)</f>
        <v>1</v>
      </c>
      <c r="O24" s="144">
        <f>COUNTA('Original-WebNLG'!I26,'WebNLG Combined OD + ZK'!I25,'WebNLG Combined AB + TCF'!I25)</f>
        <v>0</v>
      </c>
      <c r="P24" s="151">
        <f t="shared" si="4"/>
        <v>0.3333333333</v>
      </c>
    </row>
    <row r="25">
      <c r="A25" s="99">
        <f>COUNTA('Original-WebNLG'!G27,'WebNLG Combined OD + ZK'!G26)</f>
        <v>1</v>
      </c>
      <c r="B25" s="144">
        <f>COUNTA('Original-WebNLG'!H27,'WebNLG Combined OD + ZK'!H26)</f>
        <v>1</v>
      </c>
      <c r="C25" s="144">
        <f>COUNTA('Original-WebNLG'!I27,'WebNLG Combined OD + ZK'!I26)</f>
        <v>0</v>
      </c>
      <c r="D25" s="151">
        <f t="shared" si="1"/>
        <v>0</v>
      </c>
      <c r="E25" s="144">
        <f>COUNTA('Original-WebNLG'!G27,'WebNLG Combined AB + TCF'!G26)</f>
        <v>1</v>
      </c>
      <c r="F25" s="144">
        <f>COUNTA('Original-WebNLG'!H27,'WebNLG Combined AB + TCF'!H26)</f>
        <v>1</v>
      </c>
      <c r="G25" s="144">
        <f>COUNTA('Original-WebNLG'!I27,'WebNLG Combined AB + TCF'!I26)</f>
        <v>0</v>
      </c>
      <c r="H25" s="151">
        <f t="shared" si="2"/>
        <v>0</v>
      </c>
      <c r="I25" s="99">
        <f>COUNTA('WebNLG Combined OD + ZK'!G26,'WebNLG Combined AB + TCF'!G26)</f>
        <v>2</v>
      </c>
      <c r="J25" s="144">
        <f>COUNTA('WebNLG Combined OD + ZK'!H26,'WebNLG Combined AB + TCF'!H26)</f>
        <v>0</v>
      </c>
      <c r="K25" s="144">
        <f>COUNTA('WebNLG Combined OD + ZK'!I26,'WebNLG Combined AB + TCF'!I26)</f>
        <v>0</v>
      </c>
      <c r="L25" s="151">
        <f t="shared" si="3"/>
        <v>1</v>
      </c>
      <c r="M25" s="99">
        <f>COUNTA('Original-WebNLG'!G27,'WebNLG Combined OD + ZK'!G26,'WebNLG Combined AB + TCF'!G26)</f>
        <v>2</v>
      </c>
      <c r="N25" s="144">
        <f>COUNTA('Original-WebNLG'!H27,'WebNLG Combined OD + ZK'!H26,'WebNLG Combined AB + TCF'!H26)</f>
        <v>1</v>
      </c>
      <c r="O25" s="144">
        <f>COUNTA('Original-WebNLG'!I27,'WebNLG Combined OD + ZK'!I26,'WebNLG Combined AB + TCF'!I26)</f>
        <v>0</v>
      </c>
      <c r="P25" s="151">
        <f t="shared" si="4"/>
        <v>0.3333333333</v>
      </c>
    </row>
    <row r="26">
      <c r="A26" s="99">
        <f>COUNTA('Original-WebNLG'!G28,'WebNLG Combined OD + ZK'!G27)</f>
        <v>2</v>
      </c>
      <c r="B26" s="144">
        <f>COUNTA('Original-WebNLG'!H28,'WebNLG Combined OD + ZK'!H27)</f>
        <v>0</v>
      </c>
      <c r="C26" s="144">
        <f>COUNTA('Original-WebNLG'!I28,'WebNLG Combined OD + ZK'!I27)</f>
        <v>0</v>
      </c>
      <c r="D26" s="151">
        <f t="shared" si="1"/>
        <v>1</v>
      </c>
      <c r="E26" s="144">
        <f>COUNTA('Original-WebNLG'!G28,'WebNLG Combined AB + TCF'!G27)</f>
        <v>2</v>
      </c>
      <c r="F26" s="144">
        <f>COUNTA('Original-WebNLG'!H28,'WebNLG Combined AB + TCF'!H27)</f>
        <v>0</v>
      </c>
      <c r="G26" s="144">
        <f>COUNTA('Original-WebNLG'!I28,'WebNLG Combined AB + TCF'!I27)</f>
        <v>0</v>
      </c>
      <c r="H26" s="151">
        <f t="shared" si="2"/>
        <v>1</v>
      </c>
      <c r="I26" s="99">
        <f>COUNTA('WebNLG Combined OD + ZK'!G27,'WebNLG Combined AB + TCF'!G27)</f>
        <v>2</v>
      </c>
      <c r="J26" s="144">
        <f>COUNTA('WebNLG Combined OD + ZK'!H27,'WebNLG Combined AB + TCF'!H27)</f>
        <v>0</v>
      </c>
      <c r="K26" s="144">
        <f>COUNTA('WebNLG Combined OD + ZK'!I27,'WebNLG Combined AB + TCF'!I27)</f>
        <v>0</v>
      </c>
      <c r="L26" s="151">
        <f t="shared" si="3"/>
        <v>1</v>
      </c>
      <c r="M26" s="99">
        <f>COUNTA('Original-WebNLG'!G28,'WebNLG Combined OD + ZK'!G27,'WebNLG Combined AB + TCF'!G27)</f>
        <v>3</v>
      </c>
      <c r="N26" s="144">
        <f>COUNTA('Original-WebNLG'!H28,'WebNLG Combined OD + ZK'!H27,'WebNLG Combined AB + TCF'!H27)</f>
        <v>0</v>
      </c>
      <c r="O26" s="144">
        <f>COUNTA('Original-WebNLG'!I28,'WebNLG Combined OD + ZK'!I27,'WebNLG Combined AB + TCF'!I27)</f>
        <v>0</v>
      </c>
      <c r="P26" s="151">
        <f t="shared" si="4"/>
        <v>1</v>
      </c>
    </row>
    <row r="27">
      <c r="A27" s="99">
        <f>COUNTA('Original-WebNLG'!G29,'WebNLG Combined OD + ZK'!G28)</f>
        <v>1</v>
      </c>
      <c r="B27" s="144">
        <f>COUNTA('Original-WebNLG'!H29,'WebNLG Combined OD + ZK'!H28)</f>
        <v>0</v>
      </c>
      <c r="C27" s="144">
        <f>COUNTA('Original-WebNLG'!I29,'WebNLG Combined OD + ZK'!I28)</f>
        <v>1</v>
      </c>
      <c r="D27" s="151">
        <f t="shared" si="1"/>
        <v>0</v>
      </c>
      <c r="E27" s="144">
        <f>COUNTA('Original-WebNLG'!G29,'WebNLG Combined AB + TCF'!G28)</f>
        <v>2</v>
      </c>
      <c r="F27" s="144">
        <f>COUNTA('Original-WebNLG'!H29,'WebNLG Combined AB + TCF'!H28)</f>
        <v>0</v>
      </c>
      <c r="G27" s="144">
        <f>COUNTA('Original-WebNLG'!I29,'WebNLG Combined AB + TCF'!I28)</f>
        <v>0</v>
      </c>
      <c r="H27" s="151">
        <f t="shared" si="2"/>
        <v>1</v>
      </c>
      <c r="I27" s="99">
        <f>COUNTA('WebNLG Combined OD + ZK'!G28,'WebNLG Combined AB + TCF'!G28)</f>
        <v>1</v>
      </c>
      <c r="J27" s="144">
        <f>COUNTA('WebNLG Combined OD + ZK'!H28,'WebNLG Combined AB + TCF'!H28)</f>
        <v>0</v>
      </c>
      <c r="K27" s="144">
        <f>COUNTA('WebNLG Combined OD + ZK'!I28,'WebNLG Combined AB + TCF'!I28)</f>
        <v>1</v>
      </c>
      <c r="L27" s="151">
        <f t="shared" si="3"/>
        <v>0</v>
      </c>
      <c r="M27" s="99">
        <f>COUNTA('Original-WebNLG'!G29,'WebNLG Combined OD + ZK'!G28,'WebNLG Combined AB + TCF'!G28)</f>
        <v>2</v>
      </c>
      <c r="N27" s="144">
        <f>COUNTA('Original-WebNLG'!H29,'WebNLG Combined OD + ZK'!H28,'WebNLG Combined AB + TCF'!H28)</f>
        <v>0</v>
      </c>
      <c r="O27" s="144">
        <f>COUNTA('Original-WebNLG'!I29,'WebNLG Combined OD + ZK'!I28,'WebNLG Combined AB + TCF'!I28)</f>
        <v>1</v>
      </c>
      <c r="P27" s="151">
        <f t="shared" si="4"/>
        <v>0.3333333333</v>
      </c>
    </row>
    <row r="28">
      <c r="A28" s="99">
        <f>COUNTA('Original-WebNLG'!G30,'WebNLG Combined OD + ZK'!G29)</f>
        <v>0</v>
      </c>
      <c r="B28" s="144">
        <f>COUNTA('Original-WebNLG'!H30,'WebNLG Combined OD + ZK'!H29)</f>
        <v>1</v>
      </c>
      <c r="C28" s="144">
        <f>COUNTA('Original-WebNLG'!I30,'WebNLG Combined OD + ZK'!I29)</f>
        <v>1</v>
      </c>
      <c r="D28" s="151">
        <f t="shared" si="1"/>
        <v>0</v>
      </c>
      <c r="E28" s="144">
        <f>COUNTA('Original-WebNLG'!G30,'WebNLG Combined AB + TCF'!G29)</f>
        <v>1</v>
      </c>
      <c r="F28" s="144">
        <f>COUNTA('Original-WebNLG'!H30,'WebNLG Combined AB + TCF'!H29)</f>
        <v>0</v>
      </c>
      <c r="G28" s="144">
        <f>COUNTA('Original-WebNLG'!I30,'WebNLG Combined AB + TCF'!I29)</f>
        <v>1</v>
      </c>
      <c r="H28" s="151">
        <f t="shared" si="2"/>
        <v>0</v>
      </c>
      <c r="I28" s="99">
        <f>COUNTA('WebNLG Combined OD + ZK'!G29,'WebNLG Combined AB + TCF'!G29)</f>
        <v>1</v>
      </c>
      <c r="J28" s="144">
        <f>COUNTA('WebNLG Combined OD + ZK'!H29,'WebNLG Combined AB + TCF'!H29)</f>
        <v>1</v>
      </c>
      <c r="K28" s="144">
        <f>COUNTA('WebNLG Combined OD + ZK'!I29,'WebNLG Combined AB + TCF'!I29)</f>
        <v>0</v>
      </c>
      <c r="L28" s="151">
        <f t="shared" si="3"/>
        <v>0</v>
      </c>
      <c r="M28" s="99">
        <f>COUNTA('Original-WebNLG'!G30,'WebNLG Combined OD + ZK'!G29,'WebNLG Combined AB + TCF'!G29)</f>
        <v>1</v>
      </c>
      <c r="N28" s="144">
        <f>COUNTA('Original-WebNLG'!H30,'WebNLG Combined OD + ZK'!H29,'WebNLG Combined AB + TCF'!H29)</f>
        <v>1</v>
      </c>
      <c r="O28" s="144">
        <f>COUNTA('Original-WebNLG'!I30,'WebNLG Combined OD + ZK'!I29,'WebNLG Combined AB + TCF'!I29)</f>
        <v>1</v>
      </c>
      <c r="P28" s="151">
        <f t="shared" si="4"/>
        <v>0</v>
      </c>
    </row>
    <row r="29">
      <c r="A29" s="99">
        <f>COUNTA('Original-WebNLG'!G31,'WebNLG Combined OD + ZK'!G30)</f>
        <v>0</v>
      </c>
      <c r="B29" s="144">
        <f>COUNTA('Original-WebNLG'!H31,'WebNLG Combined OD + ZK'!H30)</f>
        <v>0</v>
      </c>
      <c r="C29" s="144">
        <f>COUNTA('Original-WebNLG'!I31,'WebNLG Combined OD + ZK'!I30)</f>
        <v>2</v>
      </c>
      <c r="D29" s="151">
        <f t="shared" si="1"/>
        <v>1</v>
      </c>
      <c r="E29" s="144">
        <f>COUNTA('Original-WebNLG'!G31,'WebNLG Combined AB + TCF'!G30)</f>
        <v>1</v>
      </c>
      <c r="F29" s="144">
        <f>COUNTA('Original-WebNLG'!H31,'WebNLG Combined AB + TCF'!H30)</f>
        <v>0</v>
      </c>
      <c r="G29" s="144">
        <f>COUNTA('Original-WebNLG'!I31,'WebNLG Combined AB + TCF'!I30)</f>
        <v>1</v>
      </c>
      <c r="H29" s="151">
        <f t="shared" si="2"/>
        <v>0</v>
      </c>
      <c r="I29" s="99">
        <f>COUNTA('WebNLG Combined OD + ZK'!G30,'WebNLG Combined AB + TCF'!G30)</f>
        <v>1</v>
      </c>
      <c r="J29" s="144">
        <f>COUNTA('WebNLG Combined OD + ZK'!H30,'WebNLG Combined AB + TCF'!H30)</f>
        <v>0</v>
      </c>
      <c r="K29" s="144">
        <f>COUNTA('WebNLG Combined OD + ZK'!I30,'WebNLG Combined AB + TCF'!I30)</f>
        <v>1</v>
      </c>
      <c r="L29" s="151">
        <f t="shared" si="3"/>
        <v>0</v>
      </c>
      <c r="M29" s="99">
        <f>COUNTA('Original-WebNLG'!G31,'WebNLG Combined OD + ZK'!G30,'WebNLG Combined AB + TCF'!G30)</f>
        <v>1</v>
      </c>
      <c r="N29" s="144">
        <f>COUNTA('Original-WebNLG'!H31,'WebNLG Combined OD + ZK'!H30,'WebNLG Combined AB + TCF'!H30)</f>
        <v>0</v>
      </c>
      <c r="O29" s="144">
        <f>COUNTA('Original-WebNLG'!I31,'WebNLG Combined OD + ZK'!I30,'WebNLG Combined AB + TCF'!I30)</f>
        <v>2</v>
      </c>
      <c r="P29" s="151">
        <f t="shared" si="4"/>
        <v>0.3333333333</v>
      </c>
    </row>
    <row r="30">
      <c r="A30" s="99">
        <f>COUNTA('Original-WebNLG'!G32,'WebNLG Combined OD + ZK'!G31)</f>
        <v>2</v>
      </c>
      <c r="B30" s="144">
        <f>COUNTA('Original-WebNLG'!H32,'WebNLG Combined OD + ZK'!H31)</f>
        <v>0</v>
      </c>
      <c r="C30" s="144">
        <f>COUNTA('Original-WebNLG'!I32,'WebNLG Combined OD + ZK'!I31)</f>
        <v>0</v>
      </c>
      <c r="D30" s="151">
        <f t="shared" si="1"/>
        <v>1</v>
      </c>
      <c r="E30" s="144">
        <f>COUNTA('Original-WebNLG'!G32,'WebNLG Combined AB + TCF'!G31)</f>
        <v>2</v>
      </c>
      <c r="F30" s="144">
        <f>COUNTA('Original-WebNLG'!H32,'WebNLG Combined AB + TCF'!H31)</f>
        <v>0</v>
      </c>
      <c r="G30" s="144">
        <f>COUNTA('Original-WebNLG'!I32,'WebNLG Combined AB + TCF'!I31)</f>
        <v>0</v>
      </c>
      <c r="H30" s="151">
        <f t="shared" si="2"/>
        <v>1</v>
      </c>
      <c r="I30" s="99">
        <f>COUNTA('WebNLG Combined OD + ZK'!G31,'WebNLG Combined AB + TCF'!G31)</f>
        <v>2</v>
      </c>
      <c r="J30" s="144">
        <f>COUNTA('WebNLG Combined OD + ZK'!H31,'WebNLG Combined AB + TCF'!H31)</f>
        <v>0</v>
      </c>
      <c r="K30" s="144">
        <f>COUNTA('WebNLG Combined OD + ZK'!I31,'WebNLG Combined AB + TCF'!I31)</f>
        <v>0</v>
      </c>
      <c r="L30" s="151">
        <f t="shared" si="3"/>
        <v>1</v>
      </c>
      <c r="M30" s="99">
        <f>COUNTA('Original-WebNLG'!G32,'WebNLG Combined OD + ZK'!G31,'WebNLG Combined AB + TCF'!G31)</f>
        <v>3</v>
      </c>
      <c r="N30" s="144">
        <f>COUNTA('Original-WebNLG'!H32,'WebNLG Combined OD + ZK'!H31,'WebNLG Combined AB + TCF'!H31)</f>
        <v>0</v>
      </c>
      <c r="O30" s="144">
        <f>COUNTA('Original-WebNLG'!I32,'WebNLG Combined OD + ZK'!I31,'WebNLG Combined AB + TCF'!I31)</f>
        <v>0</v>
      </c>
      <c r="P30" s="151">
        <f t="shared" si="4"/>
        <v>1</v>
      </c>
    </row>
    <row r="31">
      <c r="A31" s="99">
        <f>COUNTA('Original-WebNLG'!G33,'WebNLG Combined OD + ZK'!G32)</f>
        <v>0</v>
      </c>
      <c r="B31" s="144">
        <f>COUNTA('Original-WebNLG'!H33,'WebNLG Combined OD + ZK'!H32)</f>
        <v>1</v>
      </c>
      <c r="C31" s="144">
        <f>COUNTA('Original-WebNLG'!I33,'WebNLG Combined OD + ZK'!I32)</f>
        <v>0</v>
      </c>
      <c r="D31" s="151">
        <f t="shared" si="1"/>
        <v>-0.5</v>
      </c>
      <c r="E31" s="144">
        <f>COUNTA('Original-WebNLG'!G33,'WebNLG Combined AB + TCF'!G32)</f>
        <v>0</v>
      </c>
      <c r="F31" s="144">
        <f>COUNTA('Original-WebNLG'!H33,'WebNLG Combined AB + TCF'!H32)</f>
        <v>2</v>
      </c>
      <c r="G31" s="144">
        <f>COUNTA('Original-WebNLG'!I33,'WebNLG Combined AB + TCF'!I32)</f>
        <v>0</v>
      </c>
      <c r="H31" s="151">
        <f t="shared" si="2"/>
        <v>1</v>
      </c>
      <c r="I31" s="99">
        <f>COUNTA('WebNLG Combined OD + ZK'!G32,'WebNLG Combined AB + TCF'!G32)</f>
        <v>0</v>
      </c>
      <c r="J31" s="144">
        <f>COUNTA('WebNLG Combined OD + ZK'!H32,'WebNLG Combined AB + TCF'!H32)</f>
        <v>1</v>
      </c>
      <c r="K31" s="144">
        <f>COUNTA('WebNLG Combined OD + ZK'!I32,'WebNLG Combined AB + TCF'!I32)</f>
        <v>0</v>
      </c>
      <c r="L31" s="151">
        <f t="shared" si="3"/>
        <v>-0.5</v>
      </c>
      <c r="M31" s="99">
        <f>COUNTA('Original-WebNLG'!G33,'WebNLG Combined OD + ZK'!G32,'WebNLG Combined AB + TCF'!G32)</f>
        <v>0</v>
      </c>
      <c r="N31" s="144">
        <f>COUNTA('Original-WebNLG'!H33,'WebNLG Combined OD + ZK'!H32,'WebNLG Combined AB + TCF'!H32)</f>
        <v>2</v>
      </c>
      <c r="O31" s="144">
        <f>COUNTA('Original-WebNLG'!I33,'WebNLG Combined OD + ZK'!I32,'WebNLG Combined AB + TCF'!I32)</f>
        <v>0</v>
      </c>
      <c r="P31" s="151">
        <f t="shared" si="4"/>
        <v>0.1666666667</v>
      </c>
    </row>
    <row r="32">
      <c r="A32" s="99">
        <f>COUNTA('Original-WebNLG'!G34,'WebNLG Combined OD + ZK'!G33)</f>
        <v>0</v>
      </c>
      <c r="B32" s="144">
        <f>COUNTA('Original-WebNLG'!H34,'WebNLG Combined OD + ZK'!H33)</f>
        <v>2</v>
      </c>
      <c r="C32" s="144">
        <f>COUNTA('Original-WebNLG'!I34,'WebNLG Combined OD + ZK'!I33)</f>
        <v>0</v>
      </c>
      <c r="D32" s="151">
        <f t="shared" si="1"/>
        <v>1</v>
      </c>
      <c r="E32" s="144">
        <f>COUNTA('Original-WebNLG'!G34,'WebNLG Combined AB + TCF'!G33)</f>
        <v>0</v>
      </c>
      <c r="F32" s="144">
        <f>COUNTA('Original-WebNLG'!H34,'WebNLG Combined AB + TCF'!H33)</f>
        <v>2</v>
      </c>
      <c r="G32" s="144">
        <f>COUNTA('Original-WebNLG'!I34,'WebNLG Combined AB + TCF'!I33)</f>
        <v>0</v>
      </c>
      <c r="H32" s="151">
        <f t="shared" si="2"/>
        <v>1</v>
      </c>
      <c r="I32" s="99">
        <f>COUNTA('WebNLG Combined OD + ZK'!G33,'WebNLG Combined AB + TCF'!G33)</f>
        <v>0</v>
      </c>
      <c r="J32" s="144">
        <f>COUNTA('WebNLG Combined OD + ZK'!H33,'WebNLG Combined AB + TCF'!H33)</f>
        <v>2</v>
      </c>
      <c r="K32" s="144">
        <f>COUNTA('WebNLG Combined OD + ZK'!I33,'WebNLG Combined AB + TCF'!I33)</f>
        <v>0</v>
      </c>
      <c r="L32" s="151">
        <f t="shared" si="3"/>
        <v>1</v>
      </c>
      <c r="M32" s="99">
        <f>COUNTA('Original-WebNLG'!G34,'WebNLG Combined OD + ZK'!G33,'WebNLG Combined AB + TCF'!G33)</f>
        <v>0</v>
      </c>
      <c r="N32" s="144">
        <f>COUNTA('Original-WebNLG'!H34,'WebNLG Combined OD + ZK'!H33,'WebNLG Combined AB + TCF'!H33)</f>
        <v>3</v>
      </c>
      <c r="O32" s="144">
        <f>COUNTA('Original-WebNLG'!I34,'WebNLG Combined OD + ZK'!I33,'WebNLG Combined AB + TCF'!I33)</f>
        <v>0</v>
      </c>
      <c r="P32" s="151">
        <f t="shared" si="4"/>
        <v>1</v>
      </c>
    </row>
    <row r="33">
      <c r="A33" s="99">
        <f>COUNTA('Original-WebNLG'!G35,'WebNLG Combined OD + ZK'!G34)</f>
        <v>1</v>
      </c>
      <c r="B33" s="144">
        <f>COUNTA('Original-WebNLG'!H35,'WebNLG Combined OD + ZK'!H34)</f>
        <v>1</v>
      </c>
      <c r="C33" s="144">
        <f>COUNTA('Original-WebNLG'!I35,'WebNLG Combined OD + ZK'!I34)</f>
        <v>0</v>
      </c>
      <c r="D33" s="151">
        <f t="shared" si="1"/>
        <v>0</v>
      </c>
      <c r="E33" s="144">
        <f>COUNTA('Original-WebNLG'!G35,'WebNLG Combined AB + TCF'!G34)</f>
        <v>0</v>
      </c>
      <c r="F33" s="144">
        <f>COUNTA('Original-WebNLG'!H35,'WebNLG Combined AB + TCF'!H34)</f>
        <v>2</v>
      </c>
      <c r="G33" s="144">
        <f>COUNTA('Original-WebNLG'!I35,'WebNLG Combined AB + TCF'!I34)</f>
        <v>0</v>
      </c>
      <c r="H33" s="151">
        <f t="shared" si="2"/>
        <v>1</v>
      </c>
      <c r="I33" s="99">
        <f>COUNTA('WebNLG Combined OD + ZK'!G34,'WebNLG Combined AB + TCF'!G34)</f>
        <v>1</v>
      </c>
      <c r="J33" s="144">
        <f>COUNTA('WebNLG Combined OD + ZK'!H34,'WebNLG Combined AB + TCF'!H34)</f>
        <v>1</v>
      </c>
      <c r="K33" s="144">
        <f>COUNTA('WebNLG Combined OD + ZK'!I34,'WebNLG Combined AB + TCF'!I34)</f>
        <v>0</v>
      </c>
      <c r="L33" s="151">
        <f t="shared" si="3"/>
        <v>0</v>
      </c>
      <c r="M33" s="99">
        <f>COUNTA('Original-WebNLG'!G35,'WebNLG Combined OD + ZK'!G34,'WebNLG Combined AB + TCF'!G34)</f>
        <v>1</v>
      </c>
      <c r="N33" s="144">
        <f>COUNTA('Original-WebNLG'!H35,'WebNLG Combined OD + ZK'!H34,'WebNLG Combined AB + TCF'!H34)</f>
        <v>2</v>
      </c>
      <c r="O33" s="144">
        <f>COUNTA('Original-WebNLG'!I35,'WebNLG Combined OD + ZK'!I34,'WebNLG Combined AB + TCF'!I34)</f>
        <v>0</v>
      </c>
      <c r="P33" s="151">
        <f t="shared" si="4"/>
        <v>0.3333333333</v>
      </c>
    </row>
    <row r="34">
      <c r="A34" s="99">
        <f>COUNTA('Original-WebNLG'!G36,'WebNLG Combined OD + ZK'!G35)</f>
        <v>0</v>
      </c>
      <c r="B34" s="144">
        <f>COUNTA('Original-WebNLG'!H36,'WebNLG Combined OD + ZK'!H35)</f>
        <v>1</v>
      </c>
      <c r="C34" s="144">
        <f>COUNTA('Original-WebNLG'!I36,'WebNLG Combined OD + ZK'!I35)</f>
        <v>1</v>
      </c>
      <c r="D34" s="151">
        <f t="shared" si="1"/>
        <v>0</v>
      </c>
      <c r="E34" s="144">
        <f>COUNTA('Original-WebNLG'!G36,'WebNLG Combined AB + TCF'!G35)</f>
        <v>0</v>
      </c>
      <c r="F34" s="144">
        <f>COUNTA('Original-WebNLG'!H36,'WebNLG Combined AB + TCF'!H35)</f>
        <v>1</v>
      </c>
      <c r="G34" s="144">
        <f>COUNTA('Original-WebNLG'!I36,'WebNLG Combined AB + TCF'!I35)</f>
        <v>1</v>
      </c>
      <c r="H34" s="151">
        <f t="shared" si="2"/>
        <v>0</v>
      </c>
      <c r="I34" s="99">
        <f>COUNTA('WebNLG Combined OD + ZK'!G35,'WebNLG Combined AB + TCF'!G35)</f>
        <v>0</v>
      </c>
      <c r="J34" s="144">
        <f>COUNTA('WebNLG Combined OD + ZK'!H35,'WebNLG Combined AB + TCF'!H35)</f>
        <v>0</v>
      </c>
      <c r="K34" s="144">
        <f>COUNTA('WebNLG Combined OD + ZK'!I35,'WebNLG Combined AB + TCF'!I35)</f>
        <v>2</v>
      </c>
      <c r="L34" s="151">
        <f t="shared" si="3"/>
        <v>1</v>
      </c>
      <c r="M34" s="99">
        <f>COUNTA('Original-WebNLG'!G36,'WebNLG Combined OD + ZK'!G35,'WebNLG Combined AB + TCF'!G35)</f>
        <v>0</v>
      </c>
      <c r="N34" s="144">
        <f>COUNTA('Original-WebNLG'!H36,'WebNLG Combined OD + ZK'!H35,'WebNLG Combined AB + TCF'!H35)</f>
        <v>1</v>
      </c>
      <c r="O34" s="144">
        <f>COUNTA('Original-WebNLG'!I36,'WebNLG Combined OD + ZK'!I35,'WebNLG Combined AB + TCF'!I35)</f>
        <v>2</v>
      </c>
      <c r="P34" s="151">
        <f t="shared" si="4"/>
        <v>0.3333333333</v>
      </c>
    </row>
    <row r="35">
      <c r="A35" s="99">
        <f>COUNTA('Original-WebNLG'!G37,'WebNLG Combined OD + ZK'!G36)</f>
        <v>2</v>
      </c>
      <c r="B35" s="144">
        <f>COUNTA('Original-WebNLG'!H37,'WebNLG Combined OD + ZK'!H36)</f>
        <v>0</v>
      </c>
      <c r="C35" s="144">
        <f>COUNTA('Original-WebNLG'!I37,'WebNLG Combined OD + ZK'!I36)</f>
        <v>0</v>
      </c>
      <c r="D35" s="151">
        <f t="shared" si="1"/>
        <v>1</v>
      </c>
      <c r="E35" s="144">
        <f>COUNTA('Original-WebNLG'!G37,'WebNLG Combined AB + TCF'!G36)</f>
        <v>2</v>
      </c>
      <c r="F35" s="144">
        <f>COUNTA('Original-WebNLG'!H37,'WebNLG Combined AB + TCF'!H36)</f>
        <v>0</v>
      </c>
      <c r="G35" s="144">
        <f>COUNTA('Original-WebNLG'!I37,'WebNLG Combined AB + TCF'!I36)</f>
        <v>0</v>
      </c>
      <c r="H35" s="151">
        <f t="shared" si="2"/>
        <v>1</v>
      </c>
      <c r="I35" s="99">
        <f>COUNTA('WebNLG Combined OD + ZK'!G36,'WebNLG Combined AB + TCF'!G36)</f>
        <v>2</v>
      </c>
      <c r="J35" s="144">
        <f>COUNTA('WebNLG Combined OD + ZK'!H36,'WebNLG Combined AB + TCF'!H36)</f>
        <v>0</v>
      </c>
      <c r="K35" s="144">
        <f>COUNTA('WebNLG Combined OD + ZK'!I36,'WebNLG Combined AB + TCF'!I36)</f>
        <v>0</v>
      </c>
      <c r="L35" s="151">
        <f t="shared" si="3"/>
        <v>1</v>
      </c>
      <c r="M35" s="99">
        <f>COUNTA('Original-WebNLG'!G37,'WebNLG Combined OD + ZK'!G36,'WebNLG Combined AB + TCF'!G36)</f>
        <v>3</v>
      </c>
      <c r="N35" s="144">
        <f>COUNTA('Original-WebNLG'!H37,'WebNLG Combined OD + ZK'!H36,'WebNLG Combined AB + TCF'!H36)</f>
        <v>0</v>
      </c>
      <c r="O35" s="144">
        <f>COUNTA('Original-WebNLG'!I37,'WebNLG Combined OD + ZK'!I36,'WebNLG Combined AB + TCF'!I36)</f>
        <v>0</v>
      </c>
      <c r="P35" s="151">
        <f t="shared" si="4"/>
        <v>1</v>
      </c>
    </row>
    <row r="36">
      <c r="A36" s="99">
        <f>COUNTA('Original-WebNLG'!G38,'WebNLG Combined OD + ZK'!G37)</f>
        <v>0</v>
      </c>
      <c r="B36" s="144">
        <f>COUNTA('Original-WebNLG'!H38,'WebNLG Combined OD + ZK'!H37)</f>
        <v>1</v>
      </c>
      <c r="C36" s="144">
        <f>COUNTA('Original-WebNLG'!I38,'WebNLG Combined OD + ZK'!I37)</f>
        <v>1</v>
      </c>
      <c r="D36" s="151">
        <f t="shared" si="1"/>
        <v>0</v>
      </c>
      <c r="E36" s="144">
        <f>COUNTA('Original-WebNLG'!G38,'WebNLG Combined AB + TCF'!G37)</f>
        <v>0</v>
      </c>
      <c r="F36" s="144">
        <f>COUNTA('Original-WebNLG'!H38,'WebNLG Combined AB + TCF'!H37)</f>
        <v>2</v>
      </c>
      <c r="G36" s="144">
        <f>COUNTA('Original-WebNLG'!I38,'WebNLG Combined AB + TCF'!I37)</f>
        <v>0</v>
      </c>
      <c r="H36" s="151">
        <f t="shared" si="2"/>
        <v>1</v>
      </c>
      <c r="I36" s="99">
        <f>COUNTA('WebNLG Combined OD + ZK'!G37,'WebNLG Combined AB + TCF'!G37)</f>
        <v>0</v>
      </c>
      <c r="J36" s="144">
        <f>COUNTA('WebNLG Combined OD + ZK'!H37,'WebNLG Combined AB + TCF'!H37)</f>
        <v>1</v>
      </c>
      <c r="K36" s="144">
        <f>COUNTA('WebNLG Combined OD + ZK'!I37,'WebNLG Combined AB + TCF'!I37)</f>
        <v>1</v>
      </c>
      <c r="L36" s="151">
        <f t="shared" si="3"/>
        <v>0</v>
      </c>
      <c r="M36" s="99">
        <f>COUNTA('Original-WebNLG'!G38,'WebNLG Combined OD + ZK'!G37,'WebNLG Combined AB + TCF'!G37)</f>
        <v>0</v>
      </c>
      <c r="N36" s="144">
        <f>COUNTA('Original-WebNLG'!H38,'WebNLG Combined OD + ZK'!H37,'WebNLG Combined AB + TCF'!H37)</f>
        <v>2</v>
      </c>
      <c r="O36" s="144">
        <f>COUNTA('Original-WebNLG'!I38,'WebNLG Combined OD + ZK'!I37,'WebNLG Combined AB + TCF'!I37)</f>
        <v>1</v>
      </c>
      <c r="P36" s="151">
        <f t="shared" si="4"/>
        <v>0.3333333333</v>
      </c>
    </row>
    <row r="37">
      <c r="A37" s="99">
        <f>COUNTA('Original-WebNLG'!G39,'WebNLG Combined OD + ZK'!G38)</f>
        <v>2</v>
      </c>
      <c r="B37" s="144">
        <f>COUNTA('Original-WebNLG'!H39,'WebNLG Combined OD + ZK'!H38)</f>
        <v>0</v>
      </c>
      <c r="C37" s="144">
        <f>COUNTA('Original-WebNLG'!I39,'WebNLG Combined OD + ZK'!I38)</f>
        <v>0</v>
      </c>
      <c r="D37" s="151">
        <f t="shared" si="1"/>
        <v>1</v>
      </c>
      <c r="E37" s="144">
        <f>COUNTA('Original-WebNLG'!G39,'WebNLG Combined AB + TCF'!G38)</f>
        <v>2</v>
      </c>
      <c r="F37" s="144">
        <f>COUNTA('Original-WebNLG'!H39,'WebNLG Combined AB + TCF'!H38)</f>
        <v>0</v>
      </c>
      <c r="G37" s="144">
        <f>COUNTA('Original-WebNLG'!I39,'WebNLG Combined AB + TCF'!I38)</f>
        <v>0</v>
      </c>
      <c r="H37" s="151">
        <f t="shared" si="2"/>
        <v>1</v>
      </c>
      <c r="I37" s="99">
        <f>COUNTA('WebNLG Combined OD + ZK'!G38,'WebNLG Combined AB + TCF'!G38)</f>
        <v>2</v>
      </c>
      <c r="J37" s="144">
        <f>COUNTA('WebNLG Combined OD + ZK'!H38,'WebNLG Combined AB + TCF'!H38)</f>
        <v>0</v>
      </c>
      <c r="K37" s="144">
        <f>COUNTA('WebNLG Combined OD + ZK'!I38,'WebNLG Combined AB + TCF'!I38)</f>
        <v>0</v>
      </c>
      <c r="L37" s="151">
        <f t="shared" si="3"/>
        <v>1</v>
      </c>
      <c r="M37" s="99">
        <f>COUNTA('Original-WebNLG'!G39,'WebNLG Combined OD + ZK'!G38,'WebNLG Combined AB + TCF'!G38)</f>
        <v>3</v>
      </c>
      <c r="N37" s="144">
        <f>COUNTA('Original-WebNLG'!H39,'WebNLG Combined OD + ZK'!H38,'WebNLG Combined AB + TCF'!H38)</f>
        <v>0</v>
      </c>
      <c r="O37" s="144">
        <f>COUNTA('Original-WebNLG'!I39,'WebNLG Combined OD + ZK'!I38,'WebNLG Combined AB + TCF'!I38)</f>
        <v>0</v>
      </c>
      <c r="P37" s="151">
        <f t="shared" si="4"/>
        <v>1</v>
      </c>
    </row>
    <row r="38">
      <c r="A38" s="99">
        <f>COUNTA('Original-WebNLG'!G40,'WebNLG Combined OD + ZK'!G39)</f>
        <v>2</v>
      </c>
      <c r="B38" s="144">
        <f>COUNTA('Original-WebNLG'!H40,'WebNLG Combined OD + ZK'!H39)</f>
        <v>0</v>
      </c>
      <c r="C38" s="144">
        <f>COUNTA('Original-WebNLG'!I40,'WebNLG Combined OD + ZK'!I39)</f>
        <v>0</v>
      </c>
      <c r="D38" s="151">
        <f t="shared" si="1"/>
        <v>1</v>
      </c>
      <c r="E38" s="144">
        <f>COUNTA('Original-WebNLG'!G40,'WebNLG Combined AB + TCF'!G39)</f>
        <v>2</v>
      </c>
      <c r="F38" s="144">
        <f>COUNTA('Original-WebNLG'!H40,'WebNLG Combined AB + TCF'!H39)</f>
        <v>0</v>
      </c>
      <c r="G38" s="144">
        <f>COUNTA('Original-WebNLG'!I40,'WebNLG Combined AB + TCF'!I39)</f>
        <v>0</v>
      </c>
      <c r="H38" s="151">
        <f t="shared" si="2"/>
        <v>1</v>
      </c>
      <c r="I38" s="99">
        <f>COUNTA('WebNLG Combined OD + ZK'!G39,'WebNLG Combined AB + TCF'!G39)</f>
        <v>2</v>
      </c>
      <c r="J38" s="144">
        <f>COUNTA('WebNLG Combined OD + ZK'!H39,'WebNLG Combined AB + TCF'!H39)</f>
        <v>0</v>
      </c>
      <c r="K38" s="144">
        <f>COUNTA('WebNLG Combined OD + ZK'!I39,'WebNLG Combined AB + TCF'!I39)</f>
        <v>0</v>
      </c>
      <c r="L38" s="151">
        <f t="shared" si="3"/>
        <v>1</v>
      </c>
      <c r="M38" s="99">
        <f>COUNTA('Original-WebNLG'!G40,'WebNLG Combined OD + ZK'!G39,'WebNLG Combined AB + TCF'!G39)</f>
        <v>3</v>
      </c>
      <c r="N38" s="144">
        <f>COUNTA('Original-WebNLG'!H40,'WebNLG Combined OD + ZK'!H39,'WebNLG Combined AB + TCF'!H39)</f>
        <v>0</v>
      </c>
      <c r="O38" s="144">
        <f>COUNTA('Original-WebNLG'!I40,'WebNLG Combined OD + ZK'!I39,'WebNLG Combined AB + TCF'!I39)</f>
        <v>0</v>
      </c>
      <c r="P38" s="151">
        <f t="shared" si="4"/>
        <v>1</v>
      </c>
    </row>
    <row r="39">
      <c r="A39" s="99">
        <f>COUNTA('Original-WebNLG'!G41,'WebNLG Combined OD + ZK'!G40)</f>
        <v>1</v>
      </c>
      <c r="B39" s="144">
        <f>COUNTA('Original-WebNLG'!H41,'WebNLG Combined OD + ZK'!H40)</f>
        <v>0</v>
      </c>
      <c r="C39" s="144">
        <f>COUNTA('Original-WebNLG'!I41,'WebNLG Combined OD + ZK'!I40)</f>
        <v>1</v>
      </c>
      <c r="D39" s="151">
        <f t="shared" si="1"/>
        <v>0</v>
      </c>
      <c r="E39" s="144">
        <f>COUNTA('Original-WebNLG'!G41,'WebNLG Combined AB + TCF'!G40)</f>
        <v>2</v>
      </c>
      <c r="F39" s="144">
        <f>COUNTA('Original-WebNLG'!H41,'WebNLG Combined AB + TCF'!H40)</f>
        <v>0</v>
      </c>
      <c r="G39" s="144">
        <f>COUNTA('Original-WebNLG'!I41,'WebNLG Combined AB + TCF'!I40)</f>
        <v>0</v>
      </c>
      <c r="H39" s="151">
        <f t="shared" si="2"/>
        <v>1</v>
      </c>
      <c r="I39" s="99">
        <f>COUNTA('WebNLG Combined OD + ZK'!G40,'WebNLG Combined AB + TCF'!G40)</f>
        <v>1</v>
      </c>
      <c r="J39" s="144">
        <f>COUNTA('WebNLG Combined OD + ZK'!H40,'WebNLG Combined AB + TCF'!H40)</f>
        <v>0</v>
      </c>
      <c r="K39" s="144">
        <f>COUNTA('WebNLG Combined OD + ZK'!I40,'WebNLG Combined AB + TCF'!I40)</f>
        <v>1</v>
      </c>
      <c r="L39" s="151">
        <f t="shared" si="3"/>
        <v>0</v>
      </c>
      <c r="M39" s="99">
        <f>COUNTA('Original-WebNLG'!G41,'WebNLG Combined OD + ZK'!G40,'WebNLG Combined AB + TCF'!G40)</f>
        <v>2</v>
      </c>
      <c r="N39" s="144">
        <f>COUNTA('Original-WebNLG'!H41,'WebNLG Combined OD + ZK'!H40,'WebNLG Combined AB + TCF'!H40)</f>
        <v>0</v>
      </c>
      <c r="O39" s="144">
        <f>COUNTA('Original-WebNLG'!I41,'WebNLG Combined OD + ZK'!I40,'WebNLG Combined AB + TCF'!I40)</f>
        <v>1</v>
      </c>
      <c r="P39" s="151">
        <f t="shared" si="4"/>
        <v>0.3333333333</v>
      </c>
    </row>
    <row r="40">
      <c r="A40" s="99">
        <f>COUNTA('Original-WebNLG'!G42,'WebNLG Combined OD + ZK'!G41)</f>
        <v>2</v>
      </c>
      <c r="B40" s="144">
        <f>COUNTA('Original-WebNLG'!H42,'WebNLG Combined OD + ZK'!H41)</f>
        <v>0</v>
      </c>
      <c r="C40" s="144">
        <f>COUNTA('Original-WebNLG'!I42,'WebNLG Combined OD + ZK'!I41)</f>
        <v>0</v>
      </c>
      <c r="D40" s="151">
        <f t="shared" si="1"/>
        <v>1</v>
      </c>
      <c r="E40" s="144">
        <f>COUNTA('Original-WebNLG'!G42,'WebNLG Combined AB + TCF'!G41)</f>
        <v>2</v>
      </c>
      <c r="F40" s="144">
        <f>COUNTA('Original-WebNLG'!H42,'WebNLG Combined AB + TCF'!H41)</f>
        <v>0</v>
      </c>
      <c r="G40" s="144">
        <f>COUNTA('Original-WebNLG'!I42,'WebNLG Combined AB + TCF'!I41)</f>
        <v>0</v>
      </c>
      <c r="H40" s="151">
        <f t="shared" si="2"/>
        <v>1</v>
      </c>
      <c r="I40" s="99">
        <f>COUNTA('WebNLG Combined OD + ZK'!G41,'WebNLG Combined AB + TCF'!G41)</f>
        <v>2</v>
      </c>
      <c r="J40" s="144">
        <f>COUNTA('WebNLG Combined OD + ZK'!H41,'WebNLG Combined AB + TCF'!H41)</f>
        <v>0</v>
      </c>
      <c r="K40" s="144">
        <f>COUNTA('WebNLG Combined OD + ZK'!I41,'WebNLG Combined AB + TCF'!I41)</f>
        <v>0</v>
      </c>
      <c r="L40" s="151">
        <f t="shared" si="3"/>
        <v>1</v>
      </c>
      <c r="M40" s="99">
        <f>COUNTA('Original-WebNLG'!G42,'WebNLG Combined OD + ZK'!G41,'WebNLG Combined AB + TCF'!G41)</f>
        <v>3</v>
      </c>
      <c r="N40" s="144">
        <f>COUNTA('Original-WebNLG'!H42,'WebNLG Combined OD + ZK'!H41,'WebNLG Combined AB + TCF'!H41)</f>
        <v>0</v>
      </c>
      <c r="O40" s="144">
        <f>COUNTA('Original-WebNLG'!I42,'WebNLG Combined OD + ZK'!I41,'WebNLG Combined AB + TCF'!I41)</f>
        <v>0</v>
      </c>
      <c r="P40" s="151">
        <f t="shared" si="4"/>
        <v>1</v>
      </c>
    </row>
    <row r="41">
      <c r="A41" s="99">
        <f>COUNTA('Original-WebNLG'!G43,'WebNLG Combined OD + ZK'!G42)</f>
        <v>1</v>
      </c>
      <c r="B41" s="144">
        <f>COUNTA('Original-WebNLG'!H43,'WebNLG Combined OD + ZK'!H42)</f>
        <v>1</v>
      </c>
      <c r="C41" s="144">
        <f>COUNTA('Original-WebNLG'!I43,'WebNLG Combined OD + ZK'!I42)</f>
        <v>0</v>
      </c>
      <c r="D41" s="151">
        <f t="shared" si="1"/>
        <v>0</v>
      </c>
      <c r="E41" s="144">
        <f>COUNTA('Original-WebNLG'!G43,'WebNLG Combined AB + TCF'!G42)</f>
        <v>2</v>
      </c>
      <c r="F41" s="144">
        <f>COUNTA('Original-WebNLG'!H43,'WebNLG Combined AB + TCF'!H42)</f>
        <v>0</v>
      </c>
      <c r="G41" s="144">
        <f>COUNTA('Original-WebNLG'!I43,'WebNLG Combined AB + TCF'!I42)</f>
        <v>0</v>
      </c>
      <c r="H41" s="151">
        <f t="shared" si="2"/>
        <v>1</v>
      </c>
      <c r="I41" s="99">
        <f>COUNTA('WebNLG Combined OD + ZK'!G42,'WebNLG Combined AB + TCF'!G42)</f>
        <v>1</v>
      </c>
      <c r="J41" s="144">
        <f>COUNTA('WebNLG Combined OD + ZK'!H42,'WebNLG Combined AB + TCF'!H42)</f>
        <v>1</v>
      </c>
      <c r="K41" s="144">
        <f>COUNTA('WebNLG Combined OD + ZK'!I42,'WebNLG Combined AB + TCF'!I42)</f>
        <v>0</v>
      </c>
      <c r="L41" s="151">
        <f t="shared" si="3"/>
        <v>0</v>
      </c>
      <c r="M41" s="99">
        <f>COUNTA('Original-WebNLG'!G43,'WebNLG Combined OD + ZK'!G42,'WebNLG Combined AB + TCF'!G42)</f>
        <v>2</v>
      </c>
      <c r="N41" s="144">
        <f>COUNTA('Original-WebNLG'!H43,'WebNLG Combined OD + ZK'!H42,'WebNLG Combined AB + TCF'!H42)</f>
        <v>1</v>
      </c>
      <c r="O41" s="144">
        <f>COUNTA('Original-WebNLG'!I43,'WebNLG Combined OD + ZK'!I42,'WebNLG Combined AB + TCF'!I42)</f>
        <v>0</v>
      </c>
      <c r="P41" s="151">
        <f t="shared" si="4"/>
        <v>0.3333333333</v>
      </c>
    </row>
    <row r="42">
      <c r="A42" s="99">
        <f>COUNTA('Original-WebNLG'!G44,'WebNLG Combined OD + ZK'!G43)</f>
        <v>1</v>
      </c>
      <c r="B42" s="144">
        <f>COUNTA('Original-WebNLG'!H44,'WebNLG Combined OD + ZK'!H43)</f>
        <v>1</v>
      </c>
      <c r="C42" s="144">
        <f>COUNTA('Original-WebNLG'!I44,'WebNLG Combined OD + ZK'!I43)</f>
        <v>0</v>
      </c>
      <c r="D42" s="151">
        <f t="shared" si="1"/>
        <v>0</v>
      </c>
      <c r="E42" s="144">
        <f>COUNTA('Original-WebNLG'!G44,'WebNLG Combined AB + TCF'!G43)</f>
        <v>2</v>
      </c>
      <c r="F42" s="144">
        <f>COUNTA('Original-WebNLG'!H44,'WebNLG Combined AB + TCF'!H43)</f>
        <v>0</v>
      </c>
      <c r="G42" s="144">
        <f>COUNTA('Original-WebNLG'!I44,'WebNLG Combined AB + TCF'!I43)</f>
        <v>0</v>
      </c>
      <c r="H42" s="151">
        <f t="shared" si="2"/>
        <v>1</v>
      </c>
      <c r="I42" s="99">
        <f>COUNTA('WebNLG Combined OD + ZK'!G43,'WebNLG Combined AB + TCF'!G43)</f>
        <v>1</v>
      </c>
      <c r="J42" s="144">
        <f>COUNTA('WebNLG Combined OD + ZK'!H43,'WebNLG Combined AB + TCF'!H43)</f>
        <v>1</v>
      </c>
      <c r="K42" s="144">
        <f>COUNTA('WebNLG Combined OD + ZK'!I43,'WebNLG Combined AB + TCF'!I43)</f>
        <v>0</v>
      </c>
      <c r="L42" s="151">
        <f t="shared" si="3"/>
        <v>0</v>
      </c>
      <c r="M42" s="99">
        <f>COUNTA('Original-WebNLG'!G44,'WebNLG Combined OD + ZK'!G43,'WebNLG Combined AB + TCF'!G43)</f>
        <v>2</v>
      </c>
      <c r="N42" s="144">
        <f>COUNTA('Original-WebNLG'!H44,'WebNLG Combined OD + ZK'!H43,'WebNLG Combined AB + TCF'!H43)</f>
        <v>1</v>
      </c>
      <c r="O42" s="144">
        <f>COUNTA('Original-WebNLG'!I44,'WebNLG Combined OD + ZK'!I43,'WebNLG Combined AB + TCF'!I43)</f>
        <v>0</v>
      </c>
      <c r="P42" s="151">
        <f t="shared" si="4"/>
        <v>0.3333333333</v>
      </c>
    </row>
    <row r="43">
      <c r="A43" s="99">
        <f>COUNTA('Original-WebNLG'!G45,'WebNLG Combined OD + ZK'!G44)</f>
        <v>0</v>
      </c>
      <c r="B43" s="144">
        <f>COUNTA('Original-WebNLG'!H45,'WebNLG Combined OD + ZK'!H44)</f>
        <v>2</v>
      </c>
      <c r="C43" s="144">
        <f>COUNTA('Original-WebNLG'!I45,'WebNLG Combined OD + ZK'!I44)</f>
        <v>0</v>
      </c>
      <c r="D43" s="151">
        <f t="shared" si="1"/>
        <v>1</v>
      </c>
      <c r="E43" s="144">
        <f>COUNTA('Original-WebNLG'!G45,'WebNLG Combined AB + TCF'!G44)</f>
        <v>0</v>
      </c>
      <c r="F43" s="144">
        <f>COUNTA('Original-WebNLG'!H45,'WebNLG Combined AB + TCF'!H44)</f>
        <v>2</v>
      </c>
      <c r="G43" s="144">
        <f>COUNTA('Original-WebNLG'!I45,'WebNLG Combined AB + TCF'!I44)</f>
        <v>0</v>
      </c>
      <c r="H43" s="151">
        <f t="shared" si="2"/>
        <v>1</v>
      </c>
      <c r="I43" s="99">
        <f>COUNTA('WebNLG Combined OD + ZK'!G44,'WebNLG Combined AB + TCF'!G44)</f>
        <v>0</v>
      </c>
      <c r="J43" s="144">
        <f>COUNTA('WebNLG Combined OD + ZK'!H44,'WebNLG Combined AB + TCF'!H44)</f>
        <v>2</v>
      </c>
      <c r="K43" s="144">
        <f>COUNTA('WebNLG Combined OD + ZK'!I44,'WebNLG Combined AB + TCF'!I44)</f>
        <v>0</v>
      </c>
      <c r="L43" s="151">
        <f t="shared" si="3"/>
        <v>1</v>
      </c>
      <c r="M43" s="99">
        <f>COUNTA('Original-WebNLG'!G45,'WebNLG Combined OD + ZK'!G44,'WebNLG Combined AB + TCF'!G44)</f>
        <v>0</v>
      </c>
      <c r="N43" s="144">
        <f>COUNTA('Original-WebNLG'!H45,'WebNLG Combined OD + ZK'!H44,'WebNLG Combined AB + TCF'!H44)</f>
        <v>3</v>
      </c>
      <c r="O43" s="144">
        <f>COUNTA('Original-WebNLG'!I45,'WebNLG Combined OD + ZK'!I44,'WebNLG Combined AB + TCF'!I44)</f>
        <v>0</v>
      </c>
      <c r="P43" s="151">
        <f t="shared" si="4"/>
        <v>1</v>
      </c>
    </row>
    <row r="44">
      <c r="A44" s="99">
        <f>COUNTA('Original-WebNLG'!G46,'WebNLG Combined OD + ZK'!G45)</f>
        <v>1</v>
      </c>
      <c r="B44" s="144">
        <f>COUNTA('Original-WebNLG'!H46,'WebNLG Combined OD + ZK'!H45)</f>
        <v>1</v>
      </c>
      <c r="C44" s="144">
        <f>COUNTA('Original-WebNLG'!I46,'WebNLG Combined OD + ZK'!I45)</f>
        <v>0</v>
      </c>
      <c r="D44" s="151">
        <f t="shared" si="1"/>
        <v>0</v>
      </c>
      <c r="E44" s="144">
        <f>COUNTA('Original-WebNLG'!G46,'WebNLG Combined AB + TCF'!G45)</f>
        <v>0</v>
      </c>
      <c r="F44" s="144">
        <f>COUNTA('Original-WebNLG'!H46,'WebNLG Combined AB + TCF'!H45)</f>
        <v>1</v>
      </c>
      <c r="G44" s="144">
        <f>COUNTA('Original-WebNLG'!I46,'WebNLG Combined AB + TCF'!I45)</f>
        <v>1</v>
      </c>
      <c r="H44" s="151">
        <f t="shared" si="2"/>
        <v>0</v>
      </c>
      <c r="I44" s="99">
        <f>COUNTA('WebNLG Combined OD + ZK'!G45,'WebNLG Combined AB + TCF'!G45)</f>
        <v>1</v>
      </c>
      <c r="J44" s="144">
        <f>COUNTA('WebNLG Combined OD + ZK'!H45,'WebNLG Combined AB + TCF'!H45)</f>
        <v>0</v>
      </c>
      <c r="K44" s="144">
        <f>COUNTA('WebNLG Combined OD + ZK'!I45,'WebNLG Combined AB + TCF'!I45)</f>
        <v>1</v>
      </c>
      <c r="L44" s="151">
        <f t="shared" si="3"/>
        <v>0</v>
      </c>
      <c r="M44" s="99">
        <f>COUNTA('Original-WebNLG'!G46,'WebNLG Combined OD + ZK'!G45,'WebNLG Combined AB + TCF'!G45)</f>
        <v>1</v>
      </c>
      <c r="N44" s="144">
        <f>COUNTA('Original-WebNLG'!H46,'WebNLG Combined OD + ZK'!H45,'WebNLG Combined AB + TCF'!H45)</f>
        <v>1</v>
      </c>
      <c r="O44" s="144">
        <f>COUNTA('Original-WebNLG'!I46,'WebNLG Combined OD + ZK'!I45,'WebNLG Combined AB + TCF'!I45)</f>
        <v>1</v>
      </c>
      <c r="P44" s="151">
        <f t="shared" si="4"/>
        <v>0</v>
      </c>
    </row>
    <row r="45">
      <c r="A45" s="99">
        <f>COUNTA('Original-WebNLG'!G47,'WebNLG Combined OD + ZK'!G46)</f>
        <v>2</v>
      </c>
      <c r="B45" s="144">
        <f>COUNTA('Original-WebNLG'!H47,'WebNLG Combined OD + ZK'!H46)</f>
        <v>0</v>
      </c>
      <c r="C45" s="144">
        <f>COUNTA('Original-WebNLG'!I47,'WebNLG Combined OD + ZK'!I46)</f>
        <v>0</v>
      </c>
      <c r="D45" s="151">
        <f t="shared" si="1"/>
        <v>1</v>
      </c>
      <c r="E45" s="144">
        <f>COUNTA('Original-WebNLG'!G47,'WebNLG Combined AB + TCF'!G46)</f>
        <v>2</v>
      </c>
      <c r="F45" s="144">
        <f>COUNTA('Original-WebNLG'!H47,'WebNLG Combined AB + TCF'!H46)</f>
        <v>0</v>
      </c>
      <c r="G45" s="144">
        <f>COUNTA('Original-WebNLG'!I47,'WebNLG Combined AB + TCF'!I46)</f>
        <v>0</v>
      </c>
      <c r="H45" s="151">
        <f t="shared" si="2"/>
        <v>1</v>
      </c>
      <c r="I45" s="99">
        <f>COUNTA('WebNLG Combined OD + ZK'!G46,'WebNLG Combined AB + TCF'!G46)</f>
        <v>2</v>
      </c>
      <c r="J45" s="144">
        <f>COUNTA('WebNLG Combined OD + ZK'!H46,'WebNLG Combined AB + TCF'!H46)</f>
        <v>0</v>
      </c>
      <c r="K45" s="144">
        <f>COUNTA('WebNLG Combined OD + ZK'!I46,'WebNLG Combined AB + TCF'!I46)</f>
        <v>0</v>
      </c>
      <c r="L45" s="151">
        <f t="shared" si="3"/>
        <v>1</v>
      </c>
      <c r="M45" s="99">
        <f>COUNTA('Original-WebNLG'!G47,'WebNLG Combined OD + ZK'!G46,'WebNLG Combined AB + TCF'!G46)</f>
        <v>3</v>
      </c>
      <c r="N45" s="144">
        <f>COUNTA('Original-WebNLG'!H47,'WebNLG Combined OD + ZK'!H46,'WebNLG Combined AB + TCF'!H46)</f>
        <v>0</v>
      </c>
      <c r="O45" s="144">
        <f>COUNTA('Original-WebNLG'!I47,'WebNLG Combined OD + ZK'!I46,'WebNLG Combined AB + TCF'!I46)</f>
        <v>0</v>
      </c>
      <c r="P45" s="151">
        <f t="shared" si="4"/>
        <v>1</v>
      </c>
    </row>
    <row r="46">
      <c r="A46" s="99">
        <f>COUNTA('Original-WebNLG'!G48,'WebNLG Combined OD + ZK'!G47)</f>
        <v>0</v>
      </c>
      <c r="B46" s="144">
        <f>COUNTA('Original-WebNLG'!H48,'WebNLG Combined OD + ZK'!H47)</f>
        <v>2</v>
      </c>
      <c r="C46" s="144">
        <f>COUNTA('Original-WebNLG'!I48,'WebNLG Combined OD + ZK'!I47)</f>
        <v>0</v>
      </c>
      <c r="D46" s="151">
        <f t="shared" si="1"/>
        <v>1</v>
      </c>
      <c r="E46" s="144">
        <f>COUNTA('Original-WebNLG'!G48,'WebNLG Combined AB + TCF'!G47)</f>
        <v>0</v>
      </c>
      <c r="F46" s="144">
        <f>COUNTA('Original-WebNLG'!H48,'WebNLG Combined AB + TCF'!H47)</f>
        <v>2</v>
      </c>
      <c r="G46" s="144">
        <f>COUNTA('Original-WebNLG'!I48,'WebNLG Combined AB + TCF'!I47)</f>
        <v>0</v>
      </c>
      <c r="H46" s="151">
        <f t="shared" si="2"/>
        <v>1</v>
      </c>
      <c r="I46" s="99">
        <f>COUNTA('WebNLG Combined OD + ZK'!G47,'WebNLG Combined AB + TCF'!G47)</f>
        <v>0</v>
      </c>
      <c r="J46" s="144">
        <f>COUNTA('WebNLG Combined OD + ZK'!H47,'WebNLG Combined AB + TCF'!H47)</f>
        <v>2</v>
      </c>
      <c r="K46" s="144">
        <f>COUNTA('WebNLG Combined OD + ZK'!I47,'WebNLG Combined AB + TCF'!I47)</f>
        <v>0</v>
      </c>
      <c r="L46" s="151">
        <f t="shared" si="3"/>
        <v>1</v>
      </c>
      <c r="M46" s="99">
        <f>COUNTA('Original-WebNLG'!G48,'WebNLG Combined OD + ZK'!G47,'WebNLG Combined AB + TCF'!G47)</f>
        <v>0</v>
      </c>
      <c r="N46" s="144">
        <f>COUNTA('Original-WebNLG'!H48,'WebNLG Combined OD + ZK'!H47,'WebNLG Combined AB + TCF'!H47)</f>
        <v>3</v>
      </c>
      <c r="O46" s="144">
        <f>COUNTA('Original-WebNLG'!I48,'WebNLG Combined OD + ZK'!I47,'WebNLG Combined AB + TCF'!I47)</f>
        <v>0</v>
      </c>
      <c r="P46" s="151">
        <f t="shared" si="4"/>
        <v>1</v>
      </c>
    </row>
    <row r="47">
      <c r="A47" s="99">
        <f>COUNTA('Original-WebNLG'!G49,'WebNLG Combined OD + ZK'!G48)</f>
        <v>2</v>
      </c>
      <c r="B47" s="144">
        <f>COUNTA('Original-WebNLG'!H49,'WebNLG Combined OD + ZK'!H48)</f>
        <v>0</v>
      </c>
      <c r="C47" s="144">
        <f>COUNTA('Original-WebNLG'!I49,'WebNLG Combined OD + ZK'!I48)</f>
        <v>0</v>
      </c>
      <c r="D47" s="151">
        <f t="shared" si="1"/>
        <v>1</v>
      </c>
      <c r="E47" s="144">
        <f>COUNTA('Original-WebNLG'!G49,'WebNLG Combined AB + TCF'!G48)</f>
        <v>2</v>
      </c>
      <c r="F47" s="144">
        <f>COUNTA('Original-WebNLG'!H49,'WebNLG Combined AB + TCF'!H48)</f>
        <v>0</v>
      </c>
      <c r="G47" s="144">
        <f>COUNTA('Original-WebNLG'!I49,'WebNLG Combined AB + TCF'!I48)</f>
        <v>0</v>
      </c>
      <c r="H47" s="151">
        <f t="shared" si="2"/>
        <v>1</v>
      </c>
      <c r="I47" s="99">
        <f>COUNTA('WebNLG Combined OD + ZK'!G48,'WebNLG Combined AB + TCF'!G48)</f>
        <v>2</v>
      </c>
      <c r="J47" s="144">
        <f>COUNTA('WebNLG Combined OD + ZK'!H48,'WebNLG Combined AB + TCF'!H48)</f>
        <v>0</v>
      </c>
      <c r="K47" s="144">
        <f>COUNTA('WebNLG Combined OD + ZK'!I48,'WebNLG Combined AB + TCF'!I48)</f>
        <v>0</v>
      </c>
      <c r="L47" s="151">
        <f t="shared" si="3"/>
        <v>1</v>
      </c>
      <c r="M47" s="99">
        <f>COUNTA('Original-WebNLG'!G49,'WebNLG Combined OD + ZK'!G48,'WebNLG Combined AB + TCF'!G48)</f>
        <v>3</v>
      </c>
      <c r="N47" s="144">
        <f>COUNTA('Original-WebNLG'!H49,'WebNLG Combined OD + ZK'!H48,'WebNLG Combined AB + TCF'!H48)</f>
        <v>0</v>
      </c>
      <c r="O47" s="144">
        <f>COUNTA('Original-WebNLG'!I49,'WebNLG Combined OD + ZK'!I48,'WebNLG Combined AB + TCF'!I48)</f>
        <v>0</v>
      </c>
      <c r="P47" s="151">
        <f t="shared" si="4"/>
        <v>1</v>
      </c>
    </row>
    <row r="48">
      <c r="A48" s="99">
        <f>COUNTA('Original-WebNLG'!G50,'WebNLG Combined OD + ZK'!G49)</f>
        <v>0</v>
      </c>
      <c r="B48" s="144">
        <f>COUNTA('Original-WebNLG'!H50,'WebNLG Combined OD + ZK'!H49)</f>
        <v>2</v>
      </c>
      <c r="C48" s="144">
        <f>COUNTA('Original-WebNLG'!I50,'WebNLG Combined OD + ZK'!I49)</f>
        <v>0</v>
      </c>
      <c r="D48" s="151">
        <f t="shared" si="1"/>
        <v>1</v>
      </c>
      <c r="E48" s="144">
        <f>COUNTA('Original-WebNLG'!G50,'WebNLG Combined AB + TCF'!G49)</f>
        <v>1</v>
      </c>
      <c r="F48" s="144">
        <f>COUNTA('Original-WebNLG'!H50,'WebNLG Combined AB + TCF'!H49)</f>
        <v>1</v>
      </c>
      <c r="G48" s="144">
        <f>COUNTA('Original-WebNLG'!I50,'WebNLG Combined AB + TCF'!I49)</f>
        <v>0</v>
      </c>
      <c r="H48" s="151">
        <f t="shared" si="2"/>
        <v>0</v>
      </c>
      <c r="I48" s="99">
        <f>COUNTA('WebNLG Combined OD + ZK'!G49,'WebNLG Combined AB + TCF'!G49)</f>
        <v>1</v>
      </c>
      <c r="J48" s="144">
        <f>COUNTA('WebNLG Combined OD + ZK'!H49,'WebNLG Combined AB + TCF'!H49)</f>
        <v>1</v>
      </c>
      <c r="K48" s="144">
        <f>COUNTA('WebNLG Combined OD + ZK'!I49,'WebNLG Combined AB + TCF'!I49)</f>
        <v>0</v>
      </c>
      <c r="L48" s="151">
        <f t="shared" si="3"/>
        <v>0</v>
      </c>
      <c r="M48" s="99">
        <f>COUNTA('Original-WebNLG'!G50,'WebNLG Combined OD + ZK'!G49,'WebNLG Combined AB + TCF'!G49)</f>
        <v>1</v>
      </c>
      <c r="N48" s="144">
        <f>COUNTA('Original-WebNLG'!H50,'WebNLG Combined OD + ZK'!H49,'WebNLG Combined AB + TCF'!H49)</f>
        <v>2</v>
      </c>
      <c r="O48" s="144">
        <f>COUNTA('Original-WebNLG'!I50,'WebNLG Combined OD + ZK'!I49,'WebNLG Combined AB + TCF'!I49)</f>
        <v>0</v>
      </c>
      <c r="P48" s="151">
        <f t="shared" si="4"/>
        <v>0.3333333333</v>
      </c>
    </row>
    <row r="49">
      <c r="A49" s="99">
        <f>COUNTA('Original-WebNLG'!G51,'WebNLG Combined OD + ZK'!G50)</f>
        <v>0</v>
      </c>
      <c r="B49" s="144">
        <f>COUNTA('Original-WebNLG'!H51,'WebNLG Combined OD + ZK'!H50)</f>
        <v>2</v>
      </c>
      <c r="C49" s="144">
        <f>COUNTA('Original-WebNLG'!I51,'WebNLG Combined OD + ZK'!I50)</f>
        <v>0</v>
      </c>
      <c r="D49" s="151">
        <f t="shared" si="1"/>
        <v>1</v>
      </c>
      <c r="E49" s="144">
        <f>COUNTA('Original-WebNLG'!G51,'WebNLG Combined AB + TCF'!G50)</f>
        <v>0</v>
      </c>
      <c r="F49" s="144">
        <f>COUNTA('Original-WebNLG'!H51,'WebNLG Combined AB + TCF'!H50)</f>
        <v>2</v>
      </c>
      <c r="G49" s="144">
        <f>COUNTA('Original-WebNLG'!I51,'WebNLG Combined AB + TCF'!I50)</f>
        <v>0</v>
      </c>
      <c r="H49" s="151">
        <f t="shared" si="2"/>
        <v>1</v>
      </c>
      <c r="I49" s="99">
        <f>COUNTA('WebNLG Combined OD + ZK'!G50,'WebNLG Combined AB + TCF'!G50)</f>
        <v>0</v>
      </c>
      <c r="J49" s="144">
        <f>COUNTA('WebNLG Combined OD + ZK'!H50,'WebNLG Combined AB + TCF'!H50)</f>
        <v>2</v>
      </c>
      <c r="K49" s="144">
        <f>COUNTA('WebNLG Combined OD + ZK'!I50,'WebNLG Combined AB + TCF'!I50)</f>
        <v>0</v>
      </c>
      <c r="L49" s="151">
        <f t="shared" si="3"/>
        <v>1</v>
      </c>
      <c r="M49" s="99">
        <f>COUNTA('Original-WebNLG'!G51,'WebNLG Combined OD + ZK'!G50,'WebNLG Combined AB + TCF'!G50)</f>
        <v>0</v>
      </c>
      <c r="N49" s="144">
        <f>COUNTA('Original-WebNLG'!H51,'WebNLG Combined OD + ZK'!H50,'WebNLG Combined AB + TCF'!H50)</f>
        <v>3</v>
      </c>
      <c r="O49" s="144">
        <f>COUNTA('Original-WebNLG'!I51,'WebNLG Combined OD + ZK'!I50,'WebNLG Combined AB + TCF'!I50)</f>
        <v>0</v>
      </c>
      <c r="P49" s="151">
        <f t="shared" si="4"/>
        <v>1</v>
      </c>
    </row>
    <row r="50">
      <c r="A50" s="99">
        <f>COUNTA('Original-WebNLG'!G52,'WebNLG Combined OD + ZK'!G51)</f>
        <v>2</v>
      </c>
      <c r="B50" s="144">
        <f>COUNTA('Original-WebNLG'!H52,'WebNLG Combined OD + ZK'!H51)</f>
        <v>0</v>
      </c>
      <c r="C50" s="144">
        <f>COUNTA('Original-WebNLG'!I52,'WebNLG Combined OD + ZK'!I51)</f>
        <v>0</v>
      </c>
      <c r="D50" s="151">
        <f t="shared" si="1"/>
        <v>1</v>
      </c>
      <c r="E50" s="144">
        <f>COUNTA('Original-WebNLG'!G52,'WebNLG Combined AB + TCF'!G51)</f>
        <v>2</v>
      </c>
      <c r="F50" s="144">
        <f>COUNTA('Original-WebNLG'!H52,'WebNLG Combined AB + TCF'!H51)</f>
        <v>0</v>
      </c>
      <c r="G50" s="144">
        <f>COUNTA('Original-WebNLG'!I52,'WebNLG Combined AB + TCF'!I51)</f>
        <v>0</v>
      </c>
      <c r="H50" s="151">
        <f t="shared" si="2"/>
        <v>1</v>
      </c>
      <c r="I50" s="99">
        <f>COUNTA('WebNLG Combined OD + ZK'!G51,'WebNLG Combined AB + TCF'!G51)</f>
        <v>2</v>
      </c>
      <c r="J50" s="144">
        <f>COUNTA('WebNLG Combined OD + ZK'!H51,'WebNLG Combined AB + TCF'!H51)</f>
        <v>0</v>
      </c>
      <c r="K50" s="144">
        <f>COUNTA('WebNLG Combined OD + ZK'!I51,'WebNLG Combined AB + TCF'!I51)</f>
        <v>0</v>
      </c>
      <c r="L50" s="151">
        <f t="shared" si="3"/>
        <v>1</v>
      </c>
      <c r="M50" s="99">
        <f>COUNTA('Original-WebNLG'!G52,'WebNLG Combined OD + ZK'!G51,'WebNLG Combined AB + TCF'!G51)</f>
        <v>3</v>
      </c>
      <c r="N50" s="144">
        <f>COUNTA('Original-WebNLG'!H52,'WebNLG Combined OD + ZK'!H51,'WebNLG Combined AB + TCF'!H51)</f>
        <v>0</v>
      </c>
      <c r="O50" s="144">
        <f>COUNTA('Original-WebNLG'!I52,'WebNLG Combined OD + ZK'!I51,'WebNLG Combined AB + TCF'!I51)</f>
        <v>0</v>
      </c>
      <c r="P50" s="151">
        <f t="shared" si="4"/>
        <v>1</v>
      </c>
    </row>
    <row r="51">
      <c r="A51" s="99">
        <f>COUNTA('Original-WebNLG'!G53,'WebNLG Combined OD + ZK'!G52)</f>
        <v>1</v>
      </c>
      <c r="B51" s="144">
        <f>COUNTA('Original-WebNLG'!H53,'WebNLG Combined OD + ZK'!H52)</f>
        <v>1</v>
      </c>
      <c r="C51" s="144">
        <f>COUNTA('Original-WebNLG'!I53,'WebNLG Combined OD + ZK'!I52)</f>
        <v>0</v>
      </c>
      <c r="D51" s="151">
        <f t="shared" si="1"/>
        <v>0</v>
      </c>
      <c r="E51" s="144">
        <f>COUNTA('Original-WebNLG'!G53,'WebNLG Combined AB + TCF'!G52)</f>
        <v>2</v>
      </c>
      <c r="F51" s="144">
        <f>COUNTA('Original-WebNLG'!H53,'WebNLG Combined AB + TCF'!H52)</f>
        <v>0</v>
      </c>
      <c r="G51" s="144">
        <f>COUNTA('Original-WebNLG'!I53,'WebNLG Combined AB + TCF'!I52)</f>
        <v>0</v>
      </c>
      <c r="H51" s="151">
        <f t="shared" si="2"/>
        <v>1</v>
      </c>
      <c r="I51" s="99">
        <f>COUNTA('WebNLG Combined OD + ZK'!G52,'WebNLG Combined AB + TCF'!G52)</f>
        <v>1</v>
      </c>
      <c r="J51" s="144">
        <f>COUNTA('WebNLG Combined OD + ZK'!H52,'WebNLG Combined AB + TCF'!H52)</f>
        <v>1</v>
      </c>
      <c r="K51" s="144">
        <f>COUNTA('WebNLG Combined OD + ZK'!I52,'WebNLG Combined AB + TCF'!I52)</f>
        <v>0</v>
      </c>
      <c r="L51" s="151">
        <f t="shared" si="3"/>
        <v>0</v>
      </c>
      <c r="M51" s="99">
        <f>COUNTA('Original-WebNLG'!G53,'WebNLG Combined OD + ZK'!G52,'WebNLG Combined AB + TCF'!G52)</f>
        <v>2</v>
      </c>
      <c r="N51" s="144">
        <f>COUNTA('Original-WebNLG'!H53,'WebNLG Combined OD + ZK'!H52,'WebNLG Combined AB + TCF'!H52)</f>
        <v>1</v>
      </c>
      <c r="O51" s="144">
        <f>COUNTA('Original-WebNLG'!I53,'WebNLG Combined OD + ZK'!I52,'WebNLG Combined AB + TCF'!I52)</f>
        <v>0</v>
      </c>
      <c r="P51" s="151">
        <f t="shared" si="4"/>
        <v>0.3333333333</v>
      </c>
    </row>
    <row r="52">
      <c r="A52" s="99">
        <f>COUNTA('Original-WebNLG'!G54,'WebNLG Combined OD + ZK'!G53)</f>
        <v>1</v>
      </c>
      <c r="B52" s="144">
        <f>COUNTA('Original-WebNLG'!H54,'WebNLG Combined OD + ZK'!H53)</f>
        <v>1</v>
      </c>
      <c r="C52" s="144">
        <f>COUNTA('Original-WebNLG'!I54,'WebNLG Combined OD + ZK'!I53)</f>
        <v>0</v>
      </c>
      <c r="D52" s="151">
        <f t="shared" si="1"/>
        <v>0</v>
      </c>
      <c r="E52" s="144">
        <f>COUNTA('Original-WebNLG'!G54,'WebNLG Combined AB + TCF'!G53)</f>
        <v>2</v>
      </c>
      <c r="F52" s="144">
        <f>COUNTA('Original-WebNLG'!H54,'WebNLG Combined AB + TCF'!H53)</f>
        <v>0</v>
      </c>
      <c r="G52" s="144">
        <f>COUNTA('Original-WebNLG'!I54,'WebNLG Combined AB + TCF'!I53)</f>
        <v>0</v>
      </c>
      <c r="H52" s="151">
        <f t="shared" si="2"/>
        <v>1</v>
      </c>
      <c r="I52" s="99">
        <f>COUNTA('WebNLG Combined OD + ZK'!G53,'WebNLG Combined AB + TCF'!G53)</f>
        <v>1</v>
      </c>
      <c r="J52" s="144">
        <f>COUNTA('WebNLG Combined OD + ZK'!H53,'WebNLG Combined AB + TCF'!H53)</f>
        <v>1</v>
      </c>
      <c r="K52" s="144">
        <f>COUNTA('WebNLG Combined OD + ZK'!I53,'WebNLG Combined AB + TCF'!I53)</f>
        <v>0</v>
      </c>
      <c r="L52" s="151">
        <f t="shared" si="3"/>
        <v>0</v>
      </c>
      <c r="M52" s="99">
        <f>COUNTA('Original-WebNLG'!G54,'WebNLG Combined OD + ZK'!G53,'WebNLG Combined AB + TCF'!G53)</f>
        <v>2</v>
      </c>
      <c r="N52" s="144">
        <f>COUNTA('Original-WebNLG'!H54,'WebNLG Combined OD + ZK'!H53,'WebNLG Combined AB + TCF'!H53)</f>
        <v>1</v>
      </c>
      <c r="O52" s="144">
        <f>COUNTA('Original-WebNLG'!I54,'WebNLG Combined OD + ZK'!I53,'WebNLG Combined AB + TCF'!I53)</f>
        <v>0</v>
      </c>
      <c r="P52" s="151">
        <f t="shared" si="4"/>
        <v>0.3333333333</v>
      </c>
    </row>
    <row r="53">
      <c r="A53" s="99">
        <f>COUNTA('Original-WebNLG'!G55,'WebNLG Combined OD + ZK'!G54)</f>
        <v>1</v>
      </c>
      <c r="B53" s="144">
        <f>COUNTA('Original-WebNLG'!H55,'WebNLG Combined OD + ZK'!H54)</f>
        <v>1</v>
      </c>
      <c r="C53" s="144">
        <f>COUNTA('Original-WebNLG'!I55,'WebNLG Combined OD + ZK'!I54)</f>
        <v>0</v>
      </c>
      <c r="D53" s="151">
        <f t="shared" si="1"/>
        <v>0</v>
      </c>
      <c r="E53" s="144">
        <f>COUNTA('Original-WebNLG'!G55,'WebNLG Combined AB + TCF'!G54)</f>
        <v>1</v>
      </c>
      <c r="F53" s="144">
        <f>COUNTA('Original-WebNLG'!H55,'WebNLG Combined AB + TCF'!H54)</f>
        <v>1</v>
      </c>
      <c r="G53" s="144">
        <f>COUNTA('Original-WebNLG'!I55,'WebNLG Combined AB + TCF'!I54)</f>
        <v>0</v>
      </c>
      <c r="H53" s="151">
        <f t="shared" si="2"/>
        <v>0</v>
      </c>
      <c r="I53" s="99">
        <f>COUNTA('WebNLG Combined OD + ZK'!G54,'WebNLG Combined AB + TCF'!G54)</f>
        <v>0</v>
      </c>
      <c r="J53" s="144">
        <f>COUNTA('WebNLG Combined OD + ZK'!H54,'WebNLG Combined AB + TCF'!H54)</f>
        <v>2</v>
      </c>
      <c r="K53" s="144">
        <f>COUNTA('WebNLG Combined OD + ZK'!I54,'WebNLG Combined AB + TCF'!I54)</f>
        <v>0</v>
      </c>
      <c r="L53" s="151">
        <f t="shared" si="3"/>
        <v>1</v>
      </c>
      <c r="M53" s="99">
        <f>COUNTA('Original-WebNLG'!G55,'WebNLG Combined OD + ZK'!G54,'WebNLG Combined AB + TCF'!G54)</f>
        <v>1</v>
      </c>
      <c r="N53" s="144">
        <f>COUNTA('Original-WebNLG'!H55,'WebNLG Combined OD + ZK'!H54,'WebNLG Combined AB + TCF'!H54)</f>
        <v>2</v>
      </c>
      <c r="O53" s="144">
        <f>COUNTA('Original-WebNLG'!I55,'WebNLG Combined OD + ZK'!I54,'WebNLG Combined AB + TCF'!I54)</f>
        <v>0</v>
      </c>
      <c r="P53" s="151">
        <f t="shared" si="4"/>
        <v>0.3333333333</v>
      </c>
    </row>
    <row r="54">
      <c r="A54" s="99">
        <f>COUNTA('Original-WebNLG'!G56,'WebNLG Combined OD + ZK'!G55)</f>
        <v>1</v>
      </c>
      <c r="B54" s="144">
        <f>COUNTA('Original-WebNLG'!H56,'WebNLG Combined OD + ZK'!H55)</f>
        <v>1</v>
      </c>
      <c r="C54" s="144">
        <f>COUNTA('Original-WebNLG'!I56,'WebNLG Combined OD + ZK'!I55)</f>
        <v>0</v>
      </c>
      <c r="D54" s="151">
        <f t="shared" si="1"/>
        <v>0</v>
      </c>
      <c r="E54" s="144">
        <f>COUNTA('Original-WebNLG'!G56,'WebNLG Combined AB + TCF'!G55)</f>
        <v>2</v>
      </c>
      <c r="F54" s="144">
        <f>COUNTA('Original-WebNLG'!H56,'WebNLG Combined AB + TCF'!H55)</f>
        <v>0</v>
      </c>
      <c r="G54" s="144">
        <f>COUNTA('Original-WebNLG'!I56,'WebNLG Combined AB + TCF'!I55)</f>
        <v>0</v>
      </c>
      <c r="H54" s="151">
        <f t="shared" si="2"/>
        <v>1</v>
      </c>
      <c r="I54" s="99">
        <f>COUNTA('WebNLG Combined OD + ZK'!G55,'WebNLG Combined AB + TCF'!G55)</f>
        <v>1</v>
      </c>
      <c r="J54" s="144">
        <f>COUNTA('WebNLG Combined OD + ZK'!H55,'WebNLG Combined AB + TCF'!H55)</f>
        <v>1</v>
      </c>
      <c r="K54" s="144">
        <f>COUNTA('WebNLG Combined OD + ZK'!I55,'WebNLG Combined AB + TCF'!I55)</f>
        <v>0</v>
      </c>
      <c r="L54" s="151">
        <f t="shared" si="3"/>
        <v>0</v>
      </c>
      <c r="M54" s="99">
        <f>COUNTA('Original-WebNLG'!G56,'WebNLG Combined OD + ZK'!G55,'WebNLG Combined AB + TCF'!G55)</f>
        <v>2</v>
      </c>
      <c r="N54" s="144">
        <f>COUNTA('Original-WebNLG'!H56,'WebNLG Combined OD + ZK'!H55,'WebNLG Combined AB + TCF'!H55)</f>
        <v>1</v>
      </c>
      <c r="O54" s="144">
        <f>COUNTA('Original-WebNLG'!I56,'WebNLG Combined OD + ZK'!I55,'WebNLG Combined AB + TCF'!I55)</f>
        <v>0</v>
      </c>
      <c r="P54" s="151">
        <f t="shared" si="4"/>
        <v>0.3333333333</v>
      </c>
    </row>
    <row r="55">
      <c r="A55" s="99">
        <f>COUNTA('Original-WebNLG'!G57,'WebNLG Combined OD + ZK'!G56)</f>
        <v>1</v>
      </c>
      <c r="B55" s="144">
        <f>COUNTA('Original-WebNLG'!H57,'WebNLG Combined OD + ZK'!H56)</f>
        <v>0</v>
      </c>
      <c r="C55" s="144">
        <f>COUNTA('Original-WebNLG'!I57,'WebNLG Combined OD + ZK'!I56)</f>
        <v>1</v>
      </c>
      <c r="D55" s="151">
        <f t="shared" si="1"/>
        <v>0</v>
      </c>
      <c r="E55" s="144">
        <f>COUNTA('Original-WebNLG'!G57,'WebNLG Combined AB + TCF'!G56)</f>
        <v>0</v>
      </c>
      <c r="F55" s="144">
        <f>COUNTA('Original-WebNLG'!H57,'WebNLG Combined AB + TCF'!H56)</f>
        <v>1</v>
      </c>
      <c r="G55" s="144">
        <f>COUNTA('Original-WebNLG'!I57,'WebNLG Combined AB + TCF'!I56)</f>
        <v>1</v>
      </c>
      <c r="H55" s="151">
        <f t="shared" si="2"/>
        <v>0</v>
      </c>
      <c r="I55" s="99">
        <f>COUNTA('WebNLG Combined OD + ZK'!G56,'WebNLG Combined AB + TCF'!G56)</f>
        <v>1</v>
      </c>
      <c r="J55" s="144">
        <f>COUNTA('WebNLG Combined OD + ZK'!H56,'WebNLG Combined AB + TCF'!H56)</f>
        <v>1</v>
      </c>
      <c r="K55" s="144">
        <f>COUNTA('WebNLG Combined OD + ZK'!I56,'WebNLG Combined AB + TCF'!I56)</f>
        <v>0</v>
      </c>
      <c r="L55" s="151">
        <f t="shared" si="3"/>
        <v>0</v>
      </c>
      <c r="M55" s="99">
        <f>COUNTA('Original-WebNLG'!G57,'WebNLG Combined OD + ZK'!G56,'WebNLG Combined AB + TCF'!G56)</f>
        <v>1</v>
      </c>
      <c r="N55" s="144">
        <f>COUNTA('Original-WebNLG'!H57,'WebNLG Combined OD + ZK'!H56,'WebNLG Combined AB + TCF'!H56)</f>
        <v>1</v>
      </c>
      <c r="O55" s="144">
        <f>COUNTA('Original-WebNLG'!I57,'WebNLG Combined OD + ZK'!I56,'WebNLG Combined AB + TCF'!I56)</f>
        <v>1</v>
      </c>
      <c r="P55" s="151">
        <f t="shared" si="4"/>
        <v>0</v>
      </c>
    </row>
    <row r="56">
      <c r="A56" s="99">
        <f>COUNTA('Original-WebNLG'!G58,'WebNLG Combined OD + ZK'!G57)</f>
        <v>1</v>
      </c>
      <c r="B56" s="144">
        <f>COUNTA('Original-WebNLG'!H58,'WebNLG Combined OD + ZK'!H57)</f>
        <v>1</v>
      </c>
      <c r="C56" s="144">
        <f>COUNTA('Original-WebNLG'!I58,'WebNLG Combined OD + ZK'!I57)</f>
        <v>0</v>
      </c>
      <c r="D56" s="151">
        <f t="shared" si="1"/>
        <v>0</v>
      </c>
      <c r="E56" s="144">
        <f>COUNTA('Original-WebNLG'!G58,'WebNLG Combined AB + TCF'!G57)</f>
        <v>1</v>
      </c>
      <c r="F56" s="144">
        <f>COUNTA('Original-WebNLG'!H58,'WebNLG Combined AB + TCF'!H57)</f>
        <v>1</v>
      </c>
      <c r="G56" s="144">
        <f>COUNTA('Original-WebNLG'!I58,'WebNLG Combined AB + TCF'!I57)</f>
        <v>0</v>
      </c>
      <c r="H56" s="151">
        <f t="shared" si="2"/>
        <v>0</v>
      </c>
      <c r="I56" s="99">
        <f>COUNTA('WebNLG Combined OD + ZK'!G57,'WebNLG Combined AB + TCF'!G57)</f>
        <v>2</v>
      </c>
      <c r="J56" s="144">
        <f>COUNTA('WebNLG Combined OD + ZK'!H57,'WebNLG Combined AB + TCF'!H57)</f>
        <v>0</v>
      </c>
      <c r="K56" s="144">
        <f>COUNTA('WebNLG Combined OD + ZK'!I57,'WebNLG Combined AB + TCF'!I57)</f>
        <v>0</v>
      </c>
      <c r="L56" s="151">
        <f t="shared" si="3"/>
        <v>1</v>
      </c>
      <c r="M56" s="99">
        <f>COUNTA('Original-WebNLG'!G58,'WebNLG Combined OD + ZK'!G57,'WebNLG Combined AB + TCF'!G57)</f>
        <v>2</v>
      </c>
      <c r="N56" s="144">
        <f>COUNTA('Original-WebNLG'!H58,'WebNLG Combined OD + ZK'!H57,'WebNLG Combined AB + TCF'!H57)</f>
        <v>1</v>
      </c>
      <c r="O56" s="144">
        <f>COUNTA('Original-WebNLG'!I58,'WebNLG Combined OD + ZK'!I57,'WebNLG Combined AB + TCF'!I57)</f>
        <v>0</v>
      </c>
      <c r="P56" s="151">
        <f t="shared" si="4"/>
        <v>0.3333333333</v>
      </c>
    </row>
    <row r="57">
      <c r="A57" s="99">
        <f>COUNTA('Original-WebNLG'!G59,'WebNLG Combined OD + ZK'!G58)</f>
        <v>1</v>
      </c>
      <c r="B57" s="144">
        <f>COUNTA('Original-WebNLG'!H59,'WebNLG Combined OD + ZK'!H58)</f>
        <v>1</v>
      </c>
      <c r="C57" s="144">
        <f>COUNTA('Original-WebNLG'!I59,'WebNLG Combined OD + ZK'!I58)</f>
        <v>0</v>
      </c>
      <c r="D57" s="151">
        <f t="shared" si="1"/>
        <v>0</v>
      </c>
      <c r="E57" s="144">
        <f>COUNTA('Original-WebNLG'!G59,'WebNLG Combined AB + TCF'!G58)</f>
        <v>2</v>
      </c>
      <c r="F57" s="144">
        <f>COUNTA('Original-WebNLG'!H59,'WebNLG Combined AB + TCF'!H58)</f>
        <v>0</v>
      </c>
      <c r="G57" s="144">
        <f>COUNTA('Original-WebNLG'!I59,'WebNLG Combined AB + TCF'!I58)</f>
        <v>0</v>
      </c>
      <c r="H57" s="151">
        <f t="shared" si="2"/>
        <v>1</v>
      </c>
      <c r="I57" s="99">
        <f>COUNTA('WebNLG Combined OD + ZK'!G58,'WebNLG Combined AB + TCF'!G58)</f>
        <v>1</v>
      </c>
      <c r="J57" s="144">
        <f>COUNTA('WebNLG Combined OD + ZK'!H58,'WebNLG Combined AB + TCF'!H58)</f>
        <v>1</v>
      </c>
      <c r="K57" s="144">
        <f>COUNTA('WebNLG Combined OD + ZK'!I58,'WebNLG Combined AB + TCF'!I58)</f>
        <v>0</v>
      </c>
      <c r="L57" s="151">
        <f t="shared" si="3"/>
        <v>0</v>
      </c>
      <c r="M57" s="99">
        <f>COUNTA('Original-WebNLG'!G59,'WebNLG Combined OD + ZK'!G58,'WebNLG Combined AB + TCF'!G58)</f>
        <v>2</v>
      </c>
      <c r="N57" s="144">
        <f>COUNTA('Original-WebNLG'!H59,'WebNLG Combined OD + ZK'!H58,'WebNLG Combined AB + TCF'!H58)</f>
        <v>1</v>
      </c>
      <c r="O57" s="144">
        <f>COUNTA('Original-WebNLG'!I59,'WebNLG Combined OD + ZK'!I58,'WebNLG Combined AB + TCF'!I58)</f>
        <v>0</v>
      </c>
      <c r="P57" s="151">
        <f t="shared" si="4"/>
        <v>0.3333333333</v>
      </c>
    </row>
    <row r="58">
      <c r="A58" s="99">
        <f>COUNTA('Original-WebNLG'!G60,'WebNLG Combined OD + ZK'!G59)</f>
        <v>2</v>
      </c>
      <c r="B58" s="144">
        <f>COUNTA('Original-WebNLG'!H60,'WebNLG Combined OD + ZK'!H59)</f>
        <v>0</v>
      </c>
      <c r="C58" s="144">
        <f>COUNTA('Original-WebNLG'!I60,'WebNLG Combined OD + ZK'!I59)</f>
        <v>0</v>
      </c>
      <c r="D58" s="151">
        <f t="shared" si="1"/>
        <v>1</v>
      </c>
      <c r="E58" s="144">
        <f>COUNTA('Original-WebNLG'!G60,'WebNLG Combined AB + TCF'!G59)</f>
        <v>2</v>
      </c>
      <c r="F58" s="144">
        <f>COUNTA('Original-WebNLG'!H60,'WebNLG Combined AB + TCF'!H59)</f>
        <v>0</v>
      </c>
      <c r="G58" s="144">
        <f>COUNTA('Original-WebNLG'!I60,'WebNLG Combined AB + TCF'!I59)</f>
        <v>0</v>
      </c>
      <c r="H58" s="151">
        <f t="shared" si="2"/>
        <v>1</v>
      </c>
      <c r="I58" s="99">
        <f>COUNTA('WebNLG Combined OD + ZK'!G59,'WebNLG Combined AB + TCF'!G59)</f>
        <v>2</v>
      </c>
      <c r="J58" s="144">
        <f>COUNTA('WebNLG Combined OD + ZK'!H59,'WebNLG Combined AB + TCF'!H59)</f>
        <v>0</v>
      </c>
      <c r="K58" s="144">
        <f>COUNTA('WebNLG Combined OD + ZK'!I59,'WebNLG Combined AB + TCF'!I59)</f>
        <v>0</v>
      </c>
      <c r="L58" s="151">
        <f t="shared" si="3"/>
        <v>1</v>
      </c>
      <c r="M58" s="99">
        <f>COUNTA('Original-WebNLG'!G60,'WebNLG Combined OD + ZK'!G59,'WebNLG Combined AB + TCF'!G59)</f>
        <v>3</v>
      </c>
      <c r="N58" s="144">
        <f>COUNTA('Original-WebNLG'!H60,'WebNLG Combined OD + ZK'!H59,'WebNLG Combined AB + TCF'!H59)</f>
        <v>0</v>
      </c>
      <c r="O58" s="144">
        <f>COUNTA('Original-WebNLG'!I60,'WebNLG Combined OD + ZK'!I59,'WebNLG Combined AB + TCF'!I59)</f>
        <v>0</v>
      </c>
      <c r="P58" s="151">
        <f t="shared" si="4"/>
        <v>1</v>
      </c>
    </row>
    <row r="59">
      <c r="A59" s="99">
        <f>COUNTA('Original-WebNLG'!G61,'WebNLG Combined OD + ZK'!G60)</f>
        <v>0</v>
      </c>
      <c r="B59" s="144">
        <f>COUNTA('Original-WebNLG'!H61,'WebNLG Combined OD + ZK'!H60)</f>
        <v>1</v>
      </c>
      <c r="C59" s="144">
        <f>COUNTA('Original-WebNLG'!I61,'WebNLG Combined OD + ZK'!I60)</f>
        <v>0</v>
      </c>
      <c r="D59" s="151">
        <f t="shared" si="1"/>
        <v>-0.5</v>
      </c>
      <c r="E59" s="144">
        <f>COUNTA('Original-WebNLG'!G61,'WebNLG Combined AB + TCF'!G60)</f>
        <v>0</v>
      </c>
      <c r="F59" s="144">
        <f>COUNTA('Original-WebNLG'!H61,'WebNLG Combined AB + TCF'!H60)</f>
        <v>2</v>
      </c>
      <c r="G59" s="144">
        <f>COUNTA('Original-WebNLG'!I61,'WebNLG Combined AB + TCF'!I60)</f>
        <v>0</v>
      </c>
      <c r="H59" s="151">
        <f t="shared" si="2"/>
        <v>1</v>
      </c>
      <c r="I59" s="99">
        <f>COUNTA('WebNLG Combined OD + ZK'!G60,'WebNLG Combined AB + TCF'!G60)</f>
        <v>0</v>
      </c>
      <c r="J59" s="144">
        <f>COUNTA('WebNLG Combined OD + ZK'!H60,'WebNLG Combined AB + TCF'!H60)</f>
        <v>1</v>
      </c>
      <c r="K59" s="144">
        <f>COUNTA('WebNLG Combined OD + ZK'!I60,'WebNLG Combined AB + TCF'!I60)</f>
        <v>0</v>
      </c>
      <c r="L59" s="151">
        <f t="shared" si="3"/>
        <v>-0.5</v>
      </c>
      <c r="M59" s="99">
        <f>COUNTA('Original-WebNLG'!G61,'WebNLG Combined OD + ZK'!G60,'WebNLG Combined AB + TCF'!G60)</f>
        <v>0</v>
      </c>
      <c r="N59" s="144">
        <f>COUNTA('Original-WebNLG'!H61,'WebNLG Combined OD + ZK'!H60,'WebNLG Combined AB + TCF'!H60)</f>
        <v>2</v>
      </c>
      <c r="O59" s="144">
        <f>COUNTA('Original-WebNLG'!I61,'WebNLG Combined OD + ZK'!I60,'WebNLG Combined AB + TCF'!I60)</f>
        <v>0</v>
      </c>
      <c r="P59" s="151">
        <f t="shared" si="4"/>
        <v>0.1666666667</v>
      </c>
    </row>
    <row r="60">
      <c r="A60" s="99">
        <f>COUNTA('Original-WebNLG'!G62,'WebNLG Combined OD + ZK'!G61)</f>
        <v>2</v>
      </c>
      <c r="B60" s="144">
        <f>COUNTA('Original-WebNLG'!H62,'WebNLG Combined OD + ZK'!H61)</f>
        <v>0</v>
      </c>
      <c r="C60" s="144">
        <f>COUNTA('Original-WebNLG'!I62,'WebNLG Combined OD + ZK'!I61)</f>
        <v>0</v>
      </c>
      <c r="D60" s="151">
        <f t="shared" si="1"/>
        <v>1</v>
      </c>
      <c r="E60" s="144">
        <f>COUNTA('Original-WebNLG'!G62,'WebNLG Combined AB + TCF'!G61)</f>
        <v>2</v>
      </c>
      <c r="F60" s="144">
        <f>COUNTA('Original-WebNLG'!H62,'WebNLG Combined AB + TCF'!H61)</f>
        <v>0</v>
      </c>
      <c r="G60" s="144">
        <f>COUNTA('Original-WebNLG'!I62,'WebNLG Combined AB + TCF'!I61)</f>
        <v>0</v>
      </c>
      <c r="H60" s="151">
        <f t="shared" si="2"/>
        <v>1</v>
      </c>
      <c r="I60" s="99">
        <f>COUNTA('WebNLG Combined OD + ZK'!G61,'WebNLG Combined AB + TCF'!G61)</f>
        <v>2</v>
      </c>
      <c r="J60" s="144">
        <f>COUNTA('WebNLG Combined OD + ZK'!H61,'WebNLG Combined AB + TCF'!H61)</f>
        <v>0</v>
      </c>
      <c r="K60" s="144">
        <f>COUNTA('WebNLG Combined OD + ZK'!I61,'WebNLG Combined AB + TCF'!I61)</f>
        <v>0</v>
      </c>
      <c r="L60" s="151">
        <f t="shared" si="3"/>
        <v>1</v>
      </c>
      <c r="M60" s="99">
        <f>COUNTA('Original-WebNLG'!G62,'WebNLG Combined OD + ZK'!G61,'WebNLG Combined AB + TCF'!G61)</f>
        <v>3</v>
      </c>
      <c r="N60" s="144">
        <f>COUNTA('Original-WebNLG'!H62,'WebNLG Combined OD + ZK'!H61,'WebNLG Combined AB + TCF'!H61)</f>
        <v>0</v>
      </c>
      <c r="O60" s="144">
        <f>COUNTA('Original-WebNLG'!I62,'WebNLG Combined OD + ZK'!I61,'WebNLG Combined AB + TCF'!I61)</f>
        <v>0</v>
      </c>
      <c r="P60" s="151">
        <f t="shared" si="4"/>
        <v>1</v>
      </c>
    </row>
    <row r="61">
      <c r="A61" s="99">
        <f>COUNTA('Original-WebNLG'!G63,'WebNLG Combined OD + ZK'!G62)</f>
        <v>0</v>
      </c>
      <c r="B61" s="144">
        <f>COUNTA('Original-WebNLG'!H63,'WebNLG Combined OD + ZK'!H62)</f>
        <v>2</v>
      </c>
      <c r="C61" s="144">
        <f>COUNTA('Original-WebNLG'!I63,'WebNLG Combined OD + ZK'!I62)</f>
        <v>0</v>
      </c>
      <c r="D61" s="151">
        <f t="shared" si="1"/>
        <v>1</v>
      </c>
      <c r="E61" s="144">
        <f>COUNTA('Original-WebNLG'!G63,'WebNLG Combined AB + TCF'!G62)</f>
        <v>0</v>
      </c>
      <c r="F61" s="144">
        <f>COUNTA('Original-WebNLG'!H63,'WebNLG Combined AB + TCF'!H62)</f>
        <v>2</v>
      </c>
      <c r="G61" s="144">
        <f>COUNTA('Original-WebNLG'!I63,'WebNLG Combined AB + TCF'!I62)</f>
        <v>0</v>
      </c>
      <c r="H61" s="151">
        <f t="shared" si="2"/>
        <v>1</v>
      </c>
      <c r="I61" s="99">
        <f>COUNTA('WebNLG Combined OD + ZK'!G62,'WebNLG Combined AB + TCF'!G62)</f>
        <v>0</v>
      </c>
      <c r="J61" s="144">
        <f>COUNTA('WebNLG Combined OD + ZK'!H62,'WebNLG Combined AB + TCF'!H62)</f>
        <v>2</v>
      </c>
      <c r="K61" s="144">
        <f>COUNTA('WebNLG Combined OD + ZK'!I62,'WebNLG Combined AB + TCF'!I62)</f>
        <v>0</v>
      </c>
      <c r="L61" s="151">
        <f t="shared" si="3"/>
        <v>1</v>
      </c>
      <c r="M61" s="99">
        <f>COUNTA('Original-WebNLG'!G63,'WebNLG Combined OD + ZK'!G62,'WebNLG Combined AB + TCF'!G62)</f>
        <v>0</v>
      </c>
      <c r="N61" s="144">
        <f>COUNTA('Original-WebNLG'!H63,'WebNLG Combined OD + ZK'!H62,'WebNLG Combined AB + TCF'!H62)</f>
        <v>3</v>
      </c>
      <c r="O61" s="144">
        <f>COUNTA('Original-WebNLG'!I63,'WebNLG Combined OD + ZK'!I62,'WebNLG Combined AB + TCF'!I62)</f>
        <v>0</v>
      </c>
      <c r="P61" s="151">
        <f t="shared" si="4"/>
        <v>1</v>
      </c>
    </row>
    <row r="62">
      <c r="A62" s="99">
        <f>COUNTA('Original-WebNLG'!G64,'WebNLG Combined OD + ZK'!G63)</f>
        <v>0</v>
      </c>
      <c r="B62" s="144">
        <f>COUNTA('Original-WebNLG'!H64,'WebNLG Combined OD + ZK'!H63)</f>
        <v>0</v>
      </c>
      <c r="C62" s="144">
        <f>COUNTA('Original-WebNLG'!I64,'WebNLG Combined OD + ZK'!I63)</f>
        <v>2</v>
      </c>
      <c r="D62" s="151">
        <f t="shared" si="1"/>
        <v>1</v>
      </c>
      <c r="E62" s="144">
        <f>COUNTA('Original-WebNLG'!G64,'WebNLG Combined AB + TCF'!G63)</f>
        <v>0</v>
      </c>
      <c r="F62" s="144">
        <f>COUNTA('Original-WebNLG'!H64,'WebNLG Combined AB + TCF'!H63)</f>
        <v>1</v>
      </c>
      <c r="G62" s="144">
        <f>COUNTA('Original-WebNLG'!I64,'WebNLG Combined AB + TCF'!I63)</f>
        <v>1</v>
      </c>
      <c r="H62" s="151">
        <f t="shared" si="2"/>
        <v>0</v>
      </c>
      <c r="I62" s="99">
        <f>COUNTA('WebNLG Combined OD + ZK'!G63,'WebNLG Combined AB + TCF'!G63)</f>
        <v>0</v>
      </c>
      <c r="J62" s="144">
        <f>COUNTA('WebNLG Combined OD + ZK'!H63,'WebNLG Combined AB + TCF'!H63)</f>
        <v>1</v>
      </c>
      <c r="K62" s="144">
        <f>COUNTA('WebNLG Combined OD + ZK'!I63,'WebNLG Combined AB + TCF'!I63)</f>
        <v>1</v>
      </c>
      <c r="L62" s="151">
        <f t="shared" si="3"/>
        <v>0</v>
      </c>
      <c r="M62" s="99">
        <f>COUNTA('Original-WebNLG'!G64,'WebNLG Combined OD + ZK'!G63,'WebNLG Combined AB + TCF'!G63)</f>
        <v>0</v>
      </c>
      <c r="N62" s="144">
        <f>COUNTA('Original-WebNLG'!H64,'WebNLG Combined OD + ZK'!H63,'WebNLG Combined AB + TCF'!H63)</f>
        <v>1</v>
      </c>
      <c r="O62" s="144">
        <f>COUNTA('Original-WebNLG'!I64,'WebNLG Combined OD + ZK'!I63,'WebNLG Combined AB + TCF'!I63)</f>
        <v>2</v>
      </c>
      <c r="P62" s="151">
        <f t="shared" si="4"/>
        <v>0.3333333333</v>
      </c>
    </row>
    <row r="63">
      <c r="A63" s="99">
        <f>COUNTA('Original-WebNLG'!G65,'WebNLG Combined OD + ZK'!G64)</f>
        <v>0</v>
      </c>
      <c r="B63" s="144">
        <f>COUNTA('Original-WebNLG'!H65,'WebNLG Combined OD + ZK'!H64)</f>
        <v>1</v>
      </c>
      <c r="C63" s="144">
        <f>COUNTA('Original-WebNLG'!I65,'WebNLG Combined OD + ZK'!I64)</f>
        <v>1</v>
      </c>
      <c r="D63" s="151">
        <f t="shared" si="1"/>
        <v>0</v>
      </c>
      <c r="E63" s="144">
        <f>COUNTA('Original-WebNLG'!G65,'WebNLG Combined AB + TCF'!G64)</f>
        <v>0</v>
      </c>
      <c r="F63" s="144">
        <f>COUNTA('Original-WebNLG'!H65,'WebNLG Combined AB + TCF'!H64)</f>
        <v>2</v>
      </c>
      <c r="G63" s="144">
        <f>COUNTA('Original-WebNLG'!I65,'WebNLG Combined AB + TCF'!I64)</f>
        <v>0</v>
      </c>
      <c r="H63" s="151">
        <f t="shared" si="2"/>
        <v>1</v>
      </c>
      <c r="I63" s="99">
        <f>COUNTA('WebNLG Combined OD + ZK'!G64,'WebNLG Combined AB + TCF'!G64)</f>
        <v>0</v>
      </c>
      <c r="J63" s="144">
        <f>COUNTA('WebNLG Combined OD + ZK'!H64,'WebNLG Combined AB + TCF'!H64)</f>
        <v>1</v>
      </c>
      <c r="K63" s="144">
        <f>COUNTA('WebNLG Combined OD + ZK'!I64,'WebNLG Combined AB + TCF'!I64)</f>
        <v>1</v>
      </c>
      <c r="L63" s="151">
        <f t="shared" si="3"/>
        <v>0</v>
      </c>
      <c r="M63" s="99">
        <f>COUNTA('Original-WebNLG'!G65,'WebNLG Combined OD + ZK'!G64,'WebNLG Combined AB + TCF'!G64)</f>
        <v>0</v>
      </c>
      <c r="N63" s="144">
        <f>COUNTA('Original-WebNLG'!H65,'WebNLG Combined OD + ZK'!H64,'WebNLG Combined AB + TCF'!H64)</f>
        <v>2</v>
      </c>
      <c r="O63" s="144">
        <f>COUNTA('Original-WebNLG'!I65,'WebNLG Combined OD + ZK'!I64,'WebNLG Combined AB + TCF'!I64)</f>
        <v>1</v>
      </c>
      <c r="P63" s="151">
        <f t="shared" si="4"/>
        <v>0.3333333333</v>
      </c>
    </row>
    <row r="64">
      <c r="A64" s="99">
        <f>COUNTA('Original-WebNLG'!G66,'WebNLG Combined OD + ZK'!G65)</f>
        <v>1</v>
      </c>
      <c r="B64" s="144">
        <f>COUNTA('Original-WebNLG'!H66,'WebNLG Combined OD + ZK'!H65)</f>
        <v>1</v>
      </c>
      <c r="C64" s="144">
        <f>COUNTA('Original-WebNLG'!I66,'WebNLG Combined OD + ZK'!I65)</f>
        <v>0</v>
      </c>
      <c r="D64" s="151">
        <f t="shared" si="1"/>
        <v>0</v>
      </c>
      <c r="E64" s="144">
        <f>COUNTA('Original-WebNLG'!G66,'WebNLG Combined AB + TCF'!G65)</f>
        <v>2</v>
      </c>
      <c r="F64" s="144">
        <f>COUNTA('Original-WebNLG'!H66,'WebNLG Combined AB + TCF'!H65)</f>
        <v>0</v>
      </c>
      <c r="G64" s="144">
        <f>COUNTA('Original-WebNLG'!I66,'WebNLG Combined AB + TCF'!I65)</f>
        <v>0</v>
      </c>
      <c r="H64" s="151">
        <f t="shared" si="2"/>
        <v>1</v>
      </c>
      <c r="I64" s="99">
        <f>COUNTA('WebNLG Combined OD + ZK'!G65,'WebNLG Combined AB + TCF'!G65)</f>
        <v>1</v>
      </c>
      <c r="J64" s="144">
        <f>COUNTA('WebNLG Combined OD + ZK'!H65,'WebNLG Combined AB + TCF'!H65)</f>
        <v>1</v>
      </c>
      <c r="K64" s="144">
        <f>COUNTA('WebNLG Combined OD + ZK'!I65,'WebNLG Combined AB + TCF'!I65)</f>
        <v>0</v>
      </c>
      <c r="L64" s="151">
        <f t="shared" si="3"/>
        <v>0</v>
      </c>
      <c r="M64" s="99">
        <f>COUNTA('Original-WebNLG'!G66,'WebNLG Combined OD + ZK'!G65,'WebNLG Combined AB + TCF'!G65)</f>
        <v>2</v>
      </c>
      <c r="N64" s="144">
        <f>COUNTA('Original-WebNLG'!H66,'WebNLG Combined OD + ZK'!H65,'WebNLG Combined AB + TCF'!H65)</f>
        <v>1</v>
      </c>
      <c r="O64" s="144">
        <f>COUNTA('Original-WebNLG'!I66,'WebNLG Combined OD + ZK'!I65,'WebNLG Combined AB + TCF'!I65)</f>
        <v>0</v>
      </c>
      <c r="P64" s="151">
        <f t="shared" si="4"/>
        <v>0.3333333333</v>
      </c>
    </row>
    <row r="65">
      <c r="A65" s="99">
        <f>COUNTA('Original-WebNLG'!G67,'WebNLG Combined OD + ZK'!G66)</f>
        <v>1</v>
      </c>
      <c r="B65" s="144">
        <f>COUNTA('Original-WebNLG'!H67,'WebNLG Combined OD + ZK'!H66)</f>
        <v>0</v>
      </c>
      <c r="C65" s="144">
        <f>COUNTA('Original-WebNLG'!I67,'WebNLG Combined OD + ZK'!I66)</f>
        <v>0</v>
      </c>
      <c r="D65" s="151">
        <f t="shared" si="1"/>
        <v>-0.5</v>
      </c>
      <c r="E65" s="144">
        <f>COUNTA('Original-WebNLG'!G67,'WebNLG Combined AB + TCF'!G66)</f>
        <v>2</v>
      </c>
      <c r="F65" s="144">
        <f>COUNTA('Original-WebNLG'!H67,'WebNLG Combined AB + TCF'!H66)</f>
        <v>0</v>
      </c>
      <c r="G65" s="144">
        <f>COUNTA('Original-WebNLG'!I67,'WebNLG Combined AB + TCF'!I66)</f>
        <v>0</v>
      </c>
      <c r="H65" s="151">
        <f t="shared" si="2"/>
        <v>1</v>
      </c>
      <c r="I65" s="99">
        <f>COUNTA('WebNLG Combined OD + ZK'!G66,'WebNLG Combined AB + TCF'!G66)</f>
        <v>1</v>
      </c>
      <c r="J65" s="144">
        <f>COUNTA('WebNLG Combined OD + ZK'!H66,'WebNLG Combined AB + TCF'!H66)</f>
        <v>0</v>
      </c>
      <c r="K65" s="144">
        <f>COUNTA('WebNLG Combined OD + ZK'!I66,'WebNLG Combined AB + TCF'!I66)</f>
        <v>0</v>
      </c>
      <c r="L65" s="151">
        <f t="shared" si="3"/>
        <v>-0.5</v>
      </c>
      <c r="M65" s="99">
        <f>COUNTA('Original-WebNLG'!G67,'WebNLG Combined OD + ZK'!G66,'WebNLG Combined AB + TCF'!G66)</f>
        <v>2</v>
      </c>
      <c r="N65" s="144">
        <f>COUNTA('Original-WebNLG'!H67,'WebNLG Combined OD + ZK'!H66,'WebNLG Combined AB + TCF'!H66)</f>
        <v>0</v>
      </c>
      <c r="O65" s="144">
        <f>COUNTA('Original-WebNLG'!I67,'WebNLG Combined OD + ZK'!I66,'WebNLG Combined AB + TCF'!I66)</f>
        <v>0</v>
      </c>
      <c r="P65" s="151">
        <f t="shared" si="4"/>
        <v>0.1666666667</v>
      </c>
    </row>
    <row r="66">
      <c r="A66" s="99">
        <f>COUNTA('Original-WebNLG'!G68,'WebNLG Combined OD + ZK'!G67)</f>
        <v>1</v>
      </c>
      <c r="B66" s="144">
        <f>COUNTA('Original-WebNLG'!H68,'WebNLG Combined OD + ZK'!H67)</f>
        <v>1</v>
      </c>
      <c r="C66" s="144">
        <f>COUNTA('Original-WebNLG'!I68,'WebNLG Combined OD + ZK'!I67)</f>
        <v>0</v>
      </c>
      <c r="D66" s="151">
        <f t="shared" si="1"/>
        <v>0</v>
      </c>
      <c r="E66" s="144">
        <f>COUNTA('Original-WebNLG'!G68,'WebNLG Combined AB + TCF'!G67)</f>
        <v>2</v>
      </c>
      <c r="F66" s="144">
        <f>COUNTA('Original-WebNLG'!H68,'WebNLG Combined AB + TCF'!H67)</f>
        <v>0</v>
      </c>
      <c r="G66" s="144">
        <f>COUNTA('Original-WebNLG'!I68,'WebNLG Combined AB + TCF'!I67)</f>
        <v>0</v>
      </c>
      <c r="H66" s="151">
        <f t="shared" si="2"/>
        <v>1</v>
      </c>
      <c r="I66" s="99">
        <f>COUNTA('WebNLG Combined OD + ZK'!G67,'WebNLG Combined AB + TCF'!G67)</f>
        <v>1</v>
      </c>
      <c r="J66" s="144">
        <f>COUNTA('WebNLG Combined OD + ZK'!H67,'WebNLG Combined AB + TCF'!H67)</f>
        <v>1</v>
      </c>
      <c r="K66" s="144">
        <f>COUNTA('WebNLG Combined OD + ZK'!I67,'WebNLG Combined AB + TCF'!I67)</f>
        <v>0</v>
      </c>
      <c r="L66" s="151">
        <f t="shared" si="3"/>
        <v>0</v>
      </c>
      <c r="M66" s="99">
        <f>COUNTA('Original-WebNLG'!G68,'WebNLG Combined OD + ZK'!G67,'WebNLG Combined AB + TCF'!G67)</f>
        <v>2</v>
      </c>
      <c r="N66" s="144">
        <f>COUNTA('Original-WebNLG'!H68,'WebNLG Combined OD + ZK'!H67,'WebNLG Combined AB + TCF'!H67)</f>
        <v>1</v>
      </c>
      <c r="O66" s="144">
        <f>COUNTA('Original-WebNLG'!I68,'WebNLG Combined OD + ZK'!I67,'WebNLG Combined AB + TCF'!I67)</f>
        <v>0</v>
      </c>
      <c r="P66" s="151">
        <f t="shared" si="4"/>
        <v>0.3333333333</v>
      </c>
    </row>
    <row r="67">
      <c r="A67" s="99">
        <f>COUNTA('Original-WebNLG'!G69,'WebNLG Combined OD + ZK'!G68)</f>
        <v>2</v>
      </c>
      <c r="B67" s="144">
        <f>COUNTA('Original-WebNLG'!H69,'WebNLG Combined OD + ZK'!H68)</f>
        <v>0</v>
      </c>
      <c r="C67" s="144">
        <f>COUNTA('Original-WebNLG'!I69,'WebNLG Combined OD + ZK'!I68)</f>
        <v>0</v>
      </c>
      <c r="D67" s="151">
        <f t="shared" si="1"/>
        <v>1</v>
      </c>
      <c r="E67" s="144">
        <f>COUNTA('Original-WebNLG'!G69,'WebNLG Combined AB + TCF'!G68)</f>
        <v>2</v>
      </c>
      <c r="F67" s="144">
        <f>COUNTA('Original-WebNLG'!H69,'WebNLG Combined AB + TCF'!H68)</f>
        <v>0</v>
      </c>
      <c r="G67" s="144">
        <f>COUNTA('Original-WebNLG'!I69,'WebNLG Combined AB + TCF'!I68)</f>
        <v>0</v>
      </c>
      <c r="H67" s="151">
        <f t="shared" si="2"/>
        <v>1</v>
      </c>
      <c r="I67" s="99">
        <f>COUNTA('WebNLG Combined OD + ZK'!G68,'WebNLG Combined AB + TCF'!G68)</f>
        <v>2</v>
      </c>
      <c r="J67" s="144">
        <f>COUNTA('WebNLG Combined OD + ZK'!H68,'WebNLG Combined AB + TCF'!H68)</f>
        <v>0</v>
      </c>
      <c r="K67" s="144">
        <f>COUNTA('WebNLG Combined OD + ZK'!I68,'WebNLG Combined AB + TCF'!I68)</f>
        <v>0</v>
      </c>
      <c r="L67" s="151">
        <f t="shared" si="3"/>
        <v>1</v>
      </c>
      <c r="M67" s="99">
        <f>COUNTA('Original-WebNLG'!G69,'WebNLG Combined OD + ZK'!G68,'WebNLG Combined AB + TCF'!G68)</f>
        <v>3</v>
      </c>
      <c r="N67" s="144">
        <f>COUNTA('Original-WebNLG'!H69,'WebNLG Combined OD + ZK'!H68,'WebNLG Combined AB + TCF'!H68)</f>
        <v>0</v>
      </c>
      <c r="O67" s="144">
        <f>COUNTA('Original-WebNLG'!I69,'WebNLG Combined OD + ZK'!I68,'WebNLG Combined AB + TCF'!I68)</f>
        <v>0</v>
      </c>
      <c r="P67" s="151">
        <f t="shared" si="4"/>
        <v>1</v>
      </c>
    </row>
    <row r="68">
      <c r="A68" s="99">
        <f>COUNTA('Original-WebNLG'!G70,'WebNLG Combined OD + ZK'!G69)</f>
        <v>0</v>
      </c>
      <c r="B68" s="144">
        <f>COUNTA('Original-WebNLG'!H70,'WebNLG Combined OD + ZK'!H69)</f>
        <v>2</v>
      </c>
      <c r="C68" s="144">
        <f>COUNTA('Original-WebNLG'!I70,'WebNLG Combined OD + ZK'!I69)</f>
        <v>0</v>
      </c>
      <c r="D68" s="151">
        <f t="shared" si="1"/>
        <v>1</v>
      </c>
      <c r="E68" s="144">
        <f>COUNTA('Original-WebNLG'!G70,'WebNLG Combined AB + TCF'!G69)</f>
        <v>0</v>
      </c>
      <c r="F68" s="144">
        <f>COUNTA('Original-WebNLG'!H70,'WebNLG Combined AB + TCF'!H69)</f>
        <v>2</v>
      </c>
      <c r="G68" s="144">
        <f>COUNTA('Original-WebNLG'!I70,'WebNLG Combined AB + TCF'!I69)</f>
        <v>0</v>
      </c>
      <c r="H68" s="151">
        <f t="shared" si="2"/>
        <v>1</v>
      </c>
      <c r="I68" s="99">
        <f>COUNTA('WebNLG Combined OD + ZK'!G69,'WebNLG Combined AB + TCF'!G69)</f>
        <v>0</v>
      </c>
      <c r="J68" s="144">
        <f>COUNTA('WebNLG Combined OD + ZK'!H69,'WebNLG Combined AB + TCF'!H69)</f>
        <v>2</v>
      </c>
      <c r="K68" s="144">
        <f>COUNTA('WebNLG Combined OD + ZK'!I69,'WebNLG Combined AB + TCF'!I69)</f>
        <v>0</v>
      </c>
      <c r="L68" s="151">
        <f t="shared" si="3"/>
        <v>1</v>
      </c>
      <c r="M68" s="99">
        <f>COUNTA('Original-WebNLG'!G70,'WebNLG Combined OD + ZK'!G69,'WebNLG Combined AB + TCF'!G69)</f>
        <v>0</v>
      </c>
      <c r="N68" s="144">
        <f>COUNTA('Original-WebNLG'!H70,'WebNLG Combined OD + ZK'!H69,'WebNLG Combined AB + TCF'!H69)</f>
        <v>3</v>
      </c>
      <c r="O68" s="144">
        <f>COUNTA('Original-WebNLG'!I70,'WebNLG Combined OD + ZK'!I69,'WebNLG Combined AB + TCF'!I69)</f>
        <v>0</v>
      </c>
      <c r="P68" s="151">
        <f t="shared" si="4"/>
        <v>1</v>
      </c>
    </row>
    <row r="69">
      <c r="A69" s="99">
        <f>COUNTA('Original-WebNLG'!G71,'WebNLG Combined OD + ZK'!G70)</f>
        <v>0</v>
      </c>
      <c r="B69" s="144">
        <f>COUNTA('Original-WebNLG'!H71,'WebNLG Combined OD + ZK'!H70)</f>
        <v>1</v>
      </c>
      <c r="C69" s="144">
        <f>COUNTA('Original-WebNLG'!I71,'WebNLG Combined OD + ZK'!I70)</f>
        <v>1</v>
      </c>
      <c r="D69" s="151">
        <f t="shared" si="1"/>
        <v>0</v>
      </c>
      <c r="E69" s="144">
        <f>COUNTA('Original-WebNLG'!G71,'WebNLG Combined AB + TCF'!G70)</f>
        <v>0</v>
      </c>
      <c r="F69" s="144">
        <f>COUNTA('Original-WebNLG'!H71,'WebNLG Combined AB + TCF'!H70)</f>
        <v>2</v>
      </c>
      <c r="G69" s="144">
        <f>COUNTA('Original-WebNLG'!I71,'WebNLG Combined AB + TCF'!I70)</f>
        <v>0</v>
      </c>
      <c r="H69" s="151">
        <f t="shared" si="2"/>
        <v>1</v>
      </c>
      <c r="I69" s="99">
        <f>COUNTA('WebNLG Combined OD + ZK'!G70,'WebNLG Combined AB + TCF'!G70)</f>
        <v>0</v>
      </c>
      <c r="J69" s="144">
        <f>COUNTA('WebNLG Combined OD + ZK'!H70,'WebNLG Combined AB + TCF'!H70)</f>
        <v>1</v>
      </c>
      <c r="K69" s="144">
        <f>COUNTA('WebNLG Combined OD + ZK'!I70,'WebNLG Combined AB + TCF'!I70)</f>
        <v>1</v>
      </c>
      <c r="L69" s="151">
        <f t="shared" si="3"/>
        <v>0</v>
      </c>
      <c r="M69" s="99">
        <f>COUNTA('Original-WebNLG'!G71,'WebNLG Combined OD + ZK'!G70,'WebNLG Combined AB + TCF'!G70)</f>
        <v>0</v>
      </c>
      <c r="N69" s="144">
        <f>COUNTA('Original-WebNLG'!H71,'WebNLG Combined OD + ZK'!H70,'WebNLG Combined AB + TCF'!H70)</f>
        <v>2</v>
      </c>
      <c r="O69" s="144">
        <f>COUNTA('Original-WebNLG'!I71,'WebNLG Combined OD + ZK'!I70,'WebNLG Combined AB + TCF'!I70)</f>
        <v>1</v>
      </c>
      <c r="P69" s="151">
        <f t="shared" si="4"/>
        <v>0.3333333333</v>
      </c>
    </row>
    <row r="70">
      <c r="A70" s="99">
        <f>COUNTA('Original-WebNLG'!G72,'WebNLG Combined OD + ZK'!G71)</f>
        <v>2</v>
      </c>
      <c r="B70" s="144">
        <f>COUNTA('Original-WebNLG'!H72,'WebNLG Combined OD + ZK'!H71)</f>
        <v>0</v>
      </c>
      <c r="C70" s="144">
        <f>COUNTA('Original-WebNLG'!I72,'WebNLG Combined OD + ZK'!I71)</f>
        <v>0</v>
      </c>
      <c r="D70" s="151">
        <f t="shared" si="1"/>
        <v>1</v>
      </c>
      <c r="E70" s="144">
        <f>COUNTA('Original-WebNLG'!G72,'WebNLG Combined AB + TCF'!G71)</f>
        <v>2</v>
      </c>
      <c r="F70" s="144">
        <f>COUNTA('Original-WebNLG'!H72,'WebNLG Combined AB + TCF'!H71)</f>
        <v>0</v>
      </c>
      <c r="G70" s="144">
        <f>COUNTA('Original-WebNLG'!I72,'WebNLG Combined AB + TCF'!I71)</f>
        <v>0</v>
      </c>
      <c r="H70" s="151">
        <f t="shared" si="2"/>
        <v>1</v>
      </c>
      <c r="I70" s="99">
        <f>COUNTA('WebNLG Combined OD + ZK'!G71,'WebNLG Combined AB + TCF'!G71)</f>
        <v>2</v>
      </c>
      <c r="J70" s="144">
        <f>COUNTA('WebNLG Combined OD + ZK'!H71,'WebNLG Combined AB + TCF'!H71)</f>
        <v>0</v>
      </c>
      <c r="K70" s="144">
        <f>COUNTA('WebNLG Combined OD + ZK'!I71,'WebNLG Combined AB + TCF'!I71)</f>
        <v>0</v>
      </c>
      <c r="L70" s="151">
        <f t="shared" si="3"/>
        <v>1</v>
      </c>
      <c r="M70" s="99">
        <f>COUNTA('Original-WebNLG'!G72,'WebNLG Combined OD + ZK'!G71,'WebNLG Combined AB + TCF'!G71)</f>
        <v>3</v>
      </c>
      <c r="N70" s="144">
        <f>COUNTA('Original-WebNLG'!H72,'WebNLG Combined OD + ZK'!H71,'WebNLG Combined AB + TCF'!H71)</f>
        <v>0</v>
      </c>
      <c r="O70" s="144">
        <f>COUNTA('Original-WebNLG'!I72,'WebNLG Combined OD + ZK'!I71,'WebNLG Combined AB + TCF'!I71)</f>
        <v>0</v>
      </c>
      <c r="P70" s="151">
        <f t="shared" si="4"/>
        <v>1</v>
      </c>
    </row>
    <row r="71">
      <c r="A71" s="99">
        <f>COUNTA('Original-WebNLG'!G73,'WebNLG Combined OD + ZK'!G72)</f>
        <v>1</v>
      </c>
      <c r="B71" s="144">
        <f>COUNTA('Original-WebNLG'!H73,'WebNLG Combined OD + ZK'!H72)</f>
        <v>0</v>
      </c>
      <c r="C71" s="144">
        <f>COUNTA('Original-WebNLG'!I73,'WebNLG Combined OD + ZK'!I72)</f>
        <v>1</v>
      </c>
      <c r="D71" s="151">
        <f t="shared" si="1"/>
        <v>0</v>
      </c>
      <c r="E71" s="144">
        <f>COUNTA('Original-WebNLG'!G73,'WebNLG Combined AB + TCF'!G72)</f>
        <v>2</v>
      </c>
      <c r="F71" s="144">
        <f>COUNTA('Original-WebNLG'!H73,'WebNLG Combined AB + TCF'!H72)</f>
        <v>0</v>
      </c>
      <c r="G71" s="144">
        <f>COUNTA('Original-WebNLG'!I73,'WebNLG Combined AB + TCF'!I72)</f>
        <v>0</v>
      </c>
      <c r="H71" s="151">
        <f t="shared" si="2"/>
        <v>1</v>
      </c>
      <c r="I71" s="99">
        <f>COUNTA('WebNLG Combined OD + ZK'!G72,'WebNLG Combined AB + TCF'!G72)</f>
        <v>1</v>
      </c>
      <c r="J71" s="144">
        <f>COUNTA('WebNLG Combined OD + ZK'!H72,'WebNLG Combined AB + TCF'!H72)</f>
        <v>0</v>
      </c>
      <c r="K71" s="144">
        <f>COUNTA('WebNLG Combined OD + ZK'!I72,'WebNLG Combined AB + TCF'!I72)</f>
        <v>1</v>
      </c>
      <c r="L71" s="151">
        <f t="shared" si="3"/>
        <v>0</v>
      </c>
      <c r="M71" s="99">
        <f>COUNTA('Original-WebNLG'!G73,'WebNLG Combined OD + ZK'!G72,'WebNLG Combined AB + TCF'!G72)</f>
        <v>2</v>
      </c>
      <c r="N71" s="144">
        <f>COUNTA('Original-WebNLG'!H73,'WebNLG Combined OD + ZK'!H72,'WebNLG Combined AB + TCF'!H72)</f>
        <v>0</v>
      </c>
      <c r="O71" s="144">
        <f>COUNTA('Original-WebNLG'!I73,'WebNLG Combined OD + ZK'!I72,'WebNLG Combined AB + TCF'!I72)</f>
        <v>1</v>
      </c>
      <c r="P71" s="151">
        <f t="shared" si="4"/>
        <v>0.3333333333</v>
      </c>
    </row>
    <row r="72">
      <c r="A72" s="99">
        <f>COUNTA('Original-WebNLG'!G74,'WebNLG Combined OD + ZK'!G73)</f>
        <v>1</v>
      </c>
      <c r="B72" s="144">
        <f>COUNTA('Original-WebNLG'!H74,'WebNLG Combined OD + ZK'!H73)</f>
        <v>1</v>
      </c>
      <c r="C72" s="144">
        <f>COUNTA('Original-WebNLG'!I74,'WebNLG Combined OD + ZK'!I73)</f>
        <v>0</v>
      </c>
      <c r="D72" s="151">
        <f t="shared" si="1"/>
        <v>0</v>
      </c>
      <c r="E72" s="144">
        <f>COUNTA('Original-WebNLG'!G74,'WebNLG Combined AB + TCF'!G73)</f>
        <v>2</v>
      </c>
      <c r="F72" s="144">
        <f>COUNTA('Original-WebNLG'!H74,'WebNLG Combined AB + TCF'!H73)</f>
        <v>0</v>
      </c>
      <c r="G72" s="144">
        <f>COUNTA('Original-WebNLG'!I74,'WebNLG Combined AB + TCF'!I73)</f>
        <v>0</v>
      </c>
      <c r="H72" s="151">
        <f t="shared" si="2"/>
        <v>1</v>
      </c>
      <c r="I72" s="99">
        <f>COUNTA('WebNLG Combined OD + ZK'!G73,'WebNLG Combined AB + TCF'!G73)</f>
        <v>1</v>
      </c>
      <c r="J72" s="144">
        <f>COUNTA('WebNLG Combined OD + ZK'!H73,'WebNLG Combined AB + TCF'!H73)</f>
        <v>1</v>
      </c>
      <c r="K72" s="144">
        <f>COUNTA('WebNLG Combined OD + ZK'!I73,'WebNLG Combined AB + TCF'!I73)</f>
        <v>0</v>
      </c>
      <c r="L72" s="151">
        <f t="shared" si="3"/>
        <v>0</v>
      </c>
      <c r="M72" s="99">
        <f>COUNTA('Original-WebNLG'!G74,'WebNLG Combined OD + ZK'!G73,'WebNLG Combined AB + TCF'!G73)</f>
        <v>2</v>
      </c>
      <c r="N72" s="144">
        <f>COUNTA('Original-WebNLG'!H74,'WebNLG Combined OD + ZK'!H73,'WebNLG Combined AB + TCF'!H73)</f>
        <v>1</v>
      </c>
      <c r="O72" s="144">
        <f>COUNTA('Original-WebNLG'!I74,'WebNLG Combined OD + ZK'!I73,'WebNLG Combined AB + TCF'!I73)</f>
        <v>0</v>
      </c>
      <c r="P72" s="151">
        <f t="shared" si="4"/>
        <v>0.3333333333</v>
      </c>
    </row>
    <row r="73">
      <c r="A73" s="99">
        <f>COUNTA('Original-WebNLG'!G75,'WebNLG Combined OD + ZK'!G74)</f>
        <v>1</v>
      </c>
      <c r="B73" s="144">
        <f>COUNTA('Original-WebNLG'!H75,'WebNLG Combined OD + ZK'!H74)</f>
        <v>1</v>
      </c>
      <c r="C73" s="144">
        <f>COUNTA('Original-WebNLG'!I75,'WebNLG Combined OD + ZK'!I74)</f>
        <v>0</v>
      </c>
      <c r="D73" s="151">
        <f t="shared" si="1"/>
        <v>0</v>
      </c>
      <c r="E73" s="144">
        <f>COUNTA('Original-WebNLG'!G75,'WebNLG Combined AB + TCF'!G74)</f>
        <v>2</v>
      </c>
      <c r="F73" s="144">
        <f>COUNTA('Original-WebNLG'!H75,'WebNLG Combined AB + TCF'!H74)</f>
        <v>0</v>
      </c>
      <c r="G73" s="144">
        <f>COUNTA('Original-WebNLG'!I75,'WebNLG Combined AB + TCF'!I74)</f>
        <v>0</v>
      </c>
      <c r="H73" s="151">
        <f t="shared" si="2"/>
        <v>1</v>
      </c>
      <c r="I73" s="99">
        <f>COUNTA('WebNLG Combined OD + ZK'!G74,'WebNLG Combined AB + TCF'!G74)</f>
        <v>1</v>
      </c>
      <c r="J73" s="144">
        <f>COUNTA('WebNLG Combined OD + ZK'!H74,'WebNLG Combined AB + TCF'!H74)</f>
        <v>1</v>
      </c>
      <c r="K73" s="144">
        <f>COUNTA('WebNLG Combined OD + ZK'!I74,'WebNLG Combined AB + TCF'!I74)</f>
        <v>0</v>
      </c>
      <c r="L73" s="151">
        <f t="shared" si="3"/>
        <v>0</v>
      </c>
      <c r="M73" s="99">
        <f>COUNTA('Original-WebNLG'!G75,'WebNLG Combined OD + ZK'!G74,'WebNLG Combined AB + TCF'!G74)</f>
        <v>2</v>
      </c>
      <c r="N73" s="144">
        <f>COUNTA('Original-WebNLG'!H75,'WebNLG Combined OD + ZK'!H74,'WebNLG Combined AB + TCF'!H74)</f>
        <v>1</v>
      </c>
      <c r="O73" s="144">
        <f>COUNTA('Original-WebNLG'!I75,'WebNLG Combined OD + ZK'!I74,'WebNLG Combined AB + TCF'!I74)</f>
        <v>0</v>
      </c>
      <c r="P73" s="151">
        <f t="shared" si="4"/>
        <v>0.3333333333</v>
      </c>
    </row>
    <row r="74">
      <c r="A74" s="99">
        <f>COUNTA('Original-WebNLG'!G76,'WebNLG Combined OD + ZK'!G75)</f>
        <v>0</v>
      </c>
      <c r="B74" s="144">
        <f>COUNTA('Original-WebNLG'!H76,'WebNLG Combined OD + ZK'!H75)</f>
        <v>2</v>
      </c>
      <c r="C74" s="144">
        <f>COUNTA('Original-WebNLG'!I76,'WebNLG Combined OD + ZK'!I75)</f>
        <v>0</v>
      </c>
      <c r="D74" s="151">
        <f t="shared" si="1"/>
        <v>1</v>
      </c>
      <c r="E74" s="144">
        <f>COUNTA('Original-WebNLG'!G76,'WebNLG Combined AB + TCF'!G75)</f>
        <v>0</v>
      </c>
      <c r="F74" s="144">
        <f>COUNTA('Original-WebNLG'!H76,'WebNLG Combined AB + TCF'!H75)</f>
        <v>2</v>
      </c>
      <c r="G74" s="144">
        <f>COUNTA('Original-WebNLG'!I76,'WebNLG Combined AB + TCF'!I75)</f>
        <v>0</v>
      </c>
      <c r="H74" s="151">
        <f t="shared" si="2"/>
        <v>1</v>
      </c>
      <c r="I74" s="99">
        <f>COUNTA('WebNLG Combined OD + ZK'!G75,'WebNLG Combined AB + TCF'!G75)</f>
        <v>0</v>
      </c>
      <c r="J74" s="144">
        <f>COUNTA('WebNLG Combined OD + ZK'!H75,'WebNLG Combined AB + TCF'!H75)</f>
        <v>2</v>
      </c>
      <c r="K74" s="144">
        <f>COUNTA('WebNLG Combined OD + ZK'!I75,'WebNLG Combined AB + TCF'!I75)</f>
        <v>0</v>
      </c>
      <c r="L74" s="151">
        <f t="shared" si="3"/>
        <v>1</v>
      </c>
      <c r="M74" s="99">
        <f>COUNTA('Original-WebNLG'!G76,'WebNLG Combined OD + ZK'!G75,'WebNLG Combined AB + TCF'!G75)</f>
        <v>0</v>
      </c>
      <c r="N74" s="144">
        <f>COUNTA('Original-WebNLG'!H76,'WebNLG Combined OD + ZK'!H75,'WebNLG Combined AB + TCF'!H75)</f>
        <v>3</v>
      </c>
      <c r="O74" s="144">
        <f>COUNTA('Original-WebNLG'!I76,'WebNLG Combined OD + ZK'!I75,'WebNLG Combined AB + TCF'!I75)</f>
        <v>0</v>
      </c>
      <c r="P74" s="151">
        <f t="shared" si="4"/>
        <v>1</v>
      </c>
    </row>
    <row r="75">
      <c r="A75" s="99">
        <f>COUNTA('Original-WebNLG'!G77,'WebNLG Combined OD + ZK'!G76)</f>
        <v>1</v>
      </c>
      <c r="B75" s="144">
        <f>COUNTA('Original-WebNLG'!H77,'WebNLG Combined OD + ZK'!H76)</f>
        <v>0</v>
      </c>
      <c r="C75" s="144">
        <f>COUNTA('Original-WebNLG'!I77,'WebNLG Combined OD + ZK'!I76)</f>
        <v>0</v>
      </c>
      <c r="D75" s="151">
        <f t="shared" si="1"/>
        <v>-0.5</v>
      </c>
      <c r="E75" s="144">
        <f>COUNTA('Original-WebNLG'!G77,'WebNLG Combined AB + TCF'!G76)</f>
        <v>2</v>
      </c>
      <c r="F75" s="144">
        <f>COUNTA('Original-WebNLG'!H77,'WebNLG Combined AB + TCF'!H76)</f>
        <v>0</v>
      </c>
      <c r="G75" s="144">
        <f>COUNTA('Original-WebNLG'!I77,'WebNLG Combined AB + TCF'!I76)</f>
        <v>0</v>
      </c>
      <c r="H75" s="151">
        <f t="shared" si="2"/>
        <v>1</v>
      </c>
      <c r="I75" s="99">
        <f>COUNTA('WebNLG Combined OD + ZK'!G76,'WebNLG Combined AB + TCF'!G76)</f>
        <v>1</v>
      </c>
      <c r="J75" s="144">
        <f>COUNTA('WebNLG Combined OD + ZK'!H76,'WebNLG Combined AB + TCF'!H76)</f>
        <v>0</v>
      </c>
      <c r="K75" s="144">
        <f>COUNTA('WebNLG Combined OD + ZK'!I76,'WebNLG Combined AB + TCF'!I76)</f>
        <v>0</v>
      </c>
      <c r="L75" s="151">
        <f t="shared" si="3"/>
        <v>-0.5</v>
      </c>
      <c r="M75" s="99">
        <f>COUNTA('Original-WebNLG'!G77,'WebNLG Combined OD + ZK'!G76,'WebNLG Combined AB + TCF'!G76)</f>
        <v>2</v>
      </c>
      <c r="N75" s="144">
        <f>COUNTA('Original-WebNLG'!H77,'WebNLG Combined OD + ZK'!H76,'WebNLG Combined AB + TCF'!H76)</f>
        <v>0</v>
      </c>
      <c r="O75" s="144">
        <f>COUNTA('Original-WebNLG'!I77,'WebNLG Combined OD + ZK'!I76,'WebNLG Combined AB + TCF'!I76)</f>
        <v>0</v>
      </c>
      <c r="P75" s="151">
        <f t="shared" si="4"/>
        <v>0.1666666667</v>
      </c>
    </row>
    <row r="76">
      <c r="A76" s="99">
        <f>COUNTA('Original-WebNLG'!G78,'WebNLG Combined OD + ZK'!G77)</f>
        <v>1</v>
      </c>
      <c r="B76" s="144">
        <f>COUNTA('Original-WebNLG'!H78,'WebNLG Combined OD + ZK'!H77)</f>
        <v>1</v>
      </c>
      <c r="C76" s="144">
        <f>COUNTA('Original-WebNLG'!I78,'WebNLG Combined OD + ZK'!I77)</f>
        <v>0</v>
      </c>
      <c r="D76" s="151">
        <f t="shared" si="1"/>
        <v>0</v>
      </c>
      <c r="E76" s="144">
        <f>COUNTA('Original-WebNLG'!G78,'WebNLG Combined AB + TCF'!G77)</f>
        <v>2</v>
      </c>
      <c r="F76" s="144">
        <f>COUNTA('Original-WebNLG'!H78,'WebNLG Combined AB + TCF'!H77)</f>
        <v>0</v>
      </c>
      <c r="G76" s="144">
        <f>COUNTA('Original-WebNLG'!I78,'WebNLG Combined AB + TCF'!I77)</f>
        <v>0</v>
      </c>
      <c r="H76" s="151">
        <f t="shared" si="2"/>
        <v>1</v>
      </c>
      <c r="I76" s="99">
        <f>COUNTA('WebNLG Combined OD + ZK'!G77,'WebNLG Combined AB + TCF'!G77)</f>
        <v>1</v>
      </c>
      <c r="J76" s="144">
        <f>COUNTA('WebNLG Combined OD + ZK'!H77,'WebNLG Combined AB + TCF'!H77)</f>
        <v>1</v>
      </c>
      <c r="K76" s="144">
        <f>COUNTA('WebNLG Combined OD + ZK'!I77,'WebNLG Combined AB + TCF'!I77)</f>
        <v>0</v>
      </c>
      <c r="L76" s="151">
        <f t="shared" si="3"/>
        <v>0</v>
      </c>
      <c r="M76" s="99">
        <f>COUNTA('Original-WebNLG'!G78,'WebNLG Combined OD + ZK'!G77,'WebNLG Combined AB + TCF'!G77)</f>
        <v>2</v>
      </c>
      <c r="N76" s="144">
        <f>COUNTA('Original-WebNLG'!H78,'WebNLG Combined OD + ZK'!H77,'WebNLG Combined AB + TCF'!H77)</f>
        <v>1</v>
      </c>
      <c r="O76" s="144">
        <f>COUNTA('Original-WebNLG'!I78,'WebNLG Combined OD + ZK'!I77,'WebNLG Combined AB + TCF'!I77)</f>
        <v>0</v>
      </c>
      <c r="P76" s="151">
        <f t="shared" si="4"/>
        <v>0.3333333333</v>
      </c>
    </row>
    <row r="77">
      <c r="A77" s="99">
        <f>COUNTA('Original-WebNLG'!G79,'WebNLG Combined OD + ZK'!G78)</f>
        <v>0</v>
      </c>
      <c r="B77" s="144">
        <f>COUNTA('Original-WebNLG'!H79,'WebNLG Combined OD + ZK'!H78)</f>
        <v>2</v>
      </c>
      <c r="C77" s="144">
        <f>COUNTA('Original-WebNLG'!I79,'WebNLG Combined OD + ZK'!I78)</f>
        <v>0</v>
      </c>
      <c r="D77" s="151">
        <f t="shared" si="1"/>
        <v>1</v>
      </c>
      <c r="E77" s="144">
        <f>COUNTA('Original-WebNLG'!G79,'WebNLG Combined AB + TCF'!G78)</f>
        <v>0</v>
      </c>
      <c r="F77" s="144">
        <f>COUNTA('Original-WebNLG'!H79,'WebNLG Combined AB + TCF'!H78)</f>
        <v>1</v>
      </c>
      <c r="G77" s="144">
        <f>COUNTA('Original-WebNLG'!I79,'WebNLG Combined AB + TCF'!I78)</f>
        <v>1</v>
      </c>
      <c r="H77" s="151">
        <f t="shared" si="2"/>
        <v>0</v>
      </c>
      <c r="I77" s="99">
        <f>COUNTA('WebNLG Combined OD + ZK'!G78,'WebNLG Combined AB + TCF'!G78)</f>
        <v>0</v>
      </c>
      <c r="J77" s="144">
        <f>COUNTA('WebNLG Combined OD + ZK'!H78,'WebNLG Combined AB + TCF'!H78)</f>
        <v>1</v>
      </c>
      <c r="K77" s="144">
        <f>COUNTA('WebNLG Combined OD + ZK'!I78,'WebNLG Combined AB + TCF'!I78)</f>
        <v>1</v>
      </c>
      <c r="L77" s="151">
        <f t="shared" si="3"/>
        <v>0</v>
      </c>
      <c r="M77" s="99">
        <f>COUNTA('Original-WebNLG'!G79,'WebNLG Combined OD + ZK'!G78,'WebNLG Combined AB + TCF'!G78)</f>
        <v>0</v>
      </c>
      <c r="N77" s="144">
        <f>COUNTA('Original-WebNLG'!H79,'WebNLG Combined OD + ZK'!H78,'WebNLG Combined AB + TCF'!H78)</f>
        <v>2</v>
      </c>
      <c r="O77" s="144">
        <f>COUNTA('Original-WebNLG'!I79,'WebNLG Combined OD + ZK'!I78,'WebNLG Combined AB + TCF'!I78)</f>
        <v>1</v>
      </c>
      <c r="P77" s="151">
        <f t="shared" si="4"/>
        <v>0.3333333333</v>
      </c>
    </row>
    <row r="78">
      <c r="A78" s="99">
        <f>COUNTA('Original-WebNLG'!G80,'WebNLG Combined OD + ZK'!G79)</f>
        <v>1</v>
      </c>
      <c r="B78" s="144">
        <f>COUNTA('Original-WebNLG'!H80,'WebNLG Combined OD + ZK'!H79)</f>
        <v>0</v>
      </c>
      <c r="C78" s="144">
        <f>COUNTA('Original-WebNLG'!I80,'WebNLG Combined OD + ZK'!I79)</f>
        <v>0</v>
      </c>
      <c r="D78" s="151">
        <f t="shared" si="1"/>
        <v>-0.5</v>
      </c>
      <c r="E78" s="144">
        <f>COUNTA('Original-WebNLG'!G80,'WebNLG Combined AB + TCF'!G79)</f>
        <v>2</v>
      </c>
      <c r="F78" s="144">
        <f>COUNTA('Original-WebNLG'!H80,'WebNLG Combined AB + TCF'!H79)</f>
        <v>0</v>
      </c>
      <c r="G78" s="144">
        <f>COUNTA('Original-WebNLG'!I80,'WebNLG Combined AB + TCF'!I79)</f>
        <v>0</v>
      </c>
      <c r="H78" s="151">
        <f t="shared" si="2"/>
        <v>1</v>
      </c>
      <c r="I78" s="99">
        <f>COUNTA('WebNLG Combined OD + ZK'!G79,'WebNLG Combined AB + TCF'!G79)</f>
        <v>1</v>
      </c>
      <c r="J78" s="144">
        <f>COUNTA('WebNLG Combined OD + ZK'!H79,'WebNLG Combined AB + TCF'!H79)</f>
        <v>0</v>
      </c>
      <c r="K78" s="144">
        <f>COUNTA('WebNLG Combined OD + ZK'!I79,'WebNLG Combined AB + TCF'!I79)</f>
        <v>0</v>
      </c>
      <c r="L78" s="151">
        <f t="shared" si="3"/>
        <v>-0.5</v>
      </c>
      <c r="M78" s="99">
        <f>COUNTA('Original-WebNLG'!G80,'WebNLG Combined OD + ZK'!G79,'WebNLG Combined AB + TCF'!G79)</f>
        <v>2</v>
      </c>
      <c r="N78" s="144">
        <f>COUNTA('Original-WebNLG'!H80,'WebNLG Combined OD + ZK'!H79,'WebNLG Combined AB + TCF'!H79)</f>
        <v>0</v>
      </c>
      <c r="O78" s="144">
        <f>COUNTA('Original-WebNLG'!I80,'WebNLG Combined OD + ZK'!I79,'WebNLG Combined AB + TCF'!I79)</f>
        <v>0</v>
      </c>
      <c r="P78" s="151">
        <f t="shared" si="4"/>
        <v>0.1666666667</v>
      </c>
    </row>
    <row r="79">
      <c r="A79" s="99">
        <f>COUNTA('Original-WebNLG'!G81,'WebNLG Combined OD + ZK'!G80)</f>
        <v>1</v>
      </c>
      <c r="B79" s="144">
        <f>COUNTA('Original-WebNLG'!H81,'WebNLG Combined OD + ZK'!H80)</f>
        <v>0</v>
      </c>
      <c r="C79" s="144">
        <f>COUNTA('Original-WebNLG'!I81,'WebNLG Combined OD + ZK'!I80)</f>
        <v>1</v>
      </c>
      <c r="D79" s="151">
        <f t="shared" si="1"/>
        <v>0</v>
      </c>
      <c r="E79" s="144">
        <f>COUNTA('Original-WebNLG'!G81,'WebNLG Combined AB + TCF'!G80)</f>
        <v>2</v>
      </c>
      <c r="F79" s="144">
        <f>COUNTA('Original-WebNLG'!H81,'WebNLG Combined AB + TCF'!H80)</f>
        <v>0</v>
      </c>
      <c r="G79" s="144">
        <f>COUNTA('Original-WebNLG'!I81,'WebNLG Combined AB + TCF'!I80)</f>
        <v>0</v>
      </c>
      <c r="H79" s="151">
        <f t="shared" si="2"/>
        <v>1</v>
      </c>
      <c r="I79" s="99">
        <f>COUNTA('WebNLG Combined OD + ZK'!G80,'WebNLG Combined AB + TCF'!G80)</f>
        <v>1</v>
      </c>
      <c r="J79" s="144">
        <f>COUNTA('WebNLG Combined OD + ZK'!H80,'WebNLG Combined AB + TCF'!H80)</f>
        <v>0</v>
      </c>
      <c r="K79" s="144">
        <f>COUNTA('WebNLG Combined OD + ZK'!I80,'WebNLG Combined AB + TCF'!I80)</f>
        <v>1</v>
      </c>
      <c r="L79" s="151">
        <f t="shared" si="3"/>
        <v>0</v>
      </c>
      <c r="M79" s="99">
        <f>COUNTA('Original-WebNLG'!G81,'WebNLG Combined OD + ZK'!G80,'WebNLG Combined AB + TCF'!G80)</f>
        <v>2</v>
      </c>
      <c r="N79" s="144">
        <f>COUNTA('Original-WebNLG'!H81,'WebNLG Combined OD + ZK'!H80,'WebNLG Combined AB + TCF'!H80)</f>
        <v>0</v>
      </c>
      <c r="O79" s="144">
        <f>COUNTA('Original-WebNLG'!I81,'WebNLG Combined OD + ZK'!I80,'WebNLG Combined AB + TCF'!I80)</f>
        <v>1</v>
      </c>
      <c r="P79" s="151">
        <f t="shared" si="4"/>
        <v>0.3333333333</v>
      </c>
    </row>
    <row r="80">
      <c r="A80" s="99">
        <f>COUNTA('Original-WebNLG'!G82,'WebNLG Combined OD + ZK'!G81)</f>
        <v>2</v>
      </c>
      <c r="B80" s="144">
        <f>COUNTA('Original-WebNLG'!H82,'WebNLG Combined OD + ZK'!H81)</f>
        <v>0</v>
      </c>
      <c r="C80" s="144">
        <f>COUNTA('Original-WebNLG'!I82,'WebNLG Combined OD + ZK'!I81)</f>
        <v>0</v>
      </c>
      <c r="D80" s="151">
        <f t="shared" si="1"/>
        <v>1</v>
      </c>
      <c r="E80" s="144">
        <f>COUNTA('Original-WebNLG'!G82,'WebNLG Combined AB + TCF'!G81)</f>
        <v>2</v>
      </c>
      <c r="F80" s="144">
        <f>COUNTA('Original-WebNLG'!H82,'WebNLG Combined AB + TCF'!H81)</f>
        <v>0</v>
      </c>
      <c r="G80" s="144">
        <f>COUNTA('Original-WebNLG'!I82,'WebNLG Combined AB + TCF'!I81)</f>
        <v>0</v>
      </c>
      <c r="H80" s="151">
        <f t="shared" si="2"/>
        <v>1</v>
      </c>
      <c r="I80" s="99">
        <f>COUNTA('WebNLG Combined OD + ZK'!G81,'WebNLG Combined AB + TCF'!G81)</f>
        <v>2</v>
      </c>
      <c r="J80" s="144">
        <f>COUNTA('WebNLG Combined OD + ZK'!H81,'WebNLG Combined AB + TCF'!H81)</f>
        <v>0</v>
      </c>
      <c r="K80" s="144">
        <f>COUNTA('WebNLG Combined OD + ZK'!I81,'WebNLG Combined AB + TCF'!I81)</f>
        <v>0</v>
      </c>
      <c r="L80" s="151">
        <f t="shared" si="3"/>
        <v>1</v>
      </c>
      <c r="M80" s="99">
        <f>COUNTA('Original-WebNLG'!G82,'WebNLG Combined OD + ZK'!G81,'WebNLG Combined AB + TCF'!G81)</f>
        <v>3</v>
      </c>
      <c r="N80" s="144">
        <f>COUNTA('Original-WebNLG'!H82,'WebNLG Combined OD + ZK'!H81,'WebNLG Combined AB + TCF'!H81)</f>
        <v>0</v>
      </c>
      <c r="O80" s="144">
        <f>COUNTA('Original-WebNLG'!I82,'WebNLG Combined OD + ZK'!I81,'WebNLG Combined AB + TCF'!I81)</f>
        <v>0</v>
      </c>
      <c r="P80" s="151">
        <f t="shared" si="4"/>
        <v>1</v>
      </c>
    </row>
    <row r="81">
      <c r="A81" s="99">
        <f>COUNTA('Original-WebNLG'!G83,'WebNLG Combined OD + ZK'!G82)</f>
        <v>1</v>
      </c>
      <c r="B81" s="144">
        <f>COUNTA('Original-WebNLG'!H83,'WebNLG Combined OD + ZK'!H82)</f>
        <v>1</v>
      </c>
      <c r="C81" s="144">
        <f>COUNTA('Original-WebNLG'!I83,'WebNLG Combined OD + ZK'!I82)</f>
        <v>0</v>
      </c>
      <c r="D81" s="151">
        <f t="shared" si="1"/>
        <v>0</v>
      </c>
      <c r="E81" s="144">
        <f>COUNTA('Original-WebNLG'!G83,'WebNLG Combined AB + TCF'!G82)</f>
        <v>0</v>
      </c>
      <c r="F81" s="144">
        <f>COUNTA('Original-WebNLG'!H83,'WebNLG Combined AB + TCF'!H82)</f>
        <v>2</v>
      </c>
      <c r="G81" s="144">
        <f>COUNTA('Original-WebNLG'!I83,'WebNLG Combined AB + TCF'!I82)</f>
        <v>0</v>
      </c>
      <c r="H81" s="151">
        <f t="shared" si="2"/>
        <v>1</v>
      </c>
      <c r="I81" s="99">
        <f>COUNTA('WebNLG Combined OD + ZK'!G82,'WebNLG Combined AB + TCF'!G82)</f>
        <v>1</v>
      </c>
      <c r="J81" s="144">
        <f>COUNTA('WebNLG Combined OD + ZK'!H82,'WebNLG Combined AB + TCF'!H82)</f>
        <v>1</v>
      </c>
      <c r="K81" s="144">
        <f>COUNTA('WebNLG Combined OD + ZK'!I82,'WebNLG Combined AB + TCF'!I82)</f>
        <v>0</v>
      </c>
      <c r="L81" s="151">
        <f t="shared" si="3"/>
        <v>0</v>
      </c>
      <c r="M81" s="99">
        <f>COUNTA('Original-WebNLG'!G83,'WebNLG Combined OD + ZK'!G82,'WebNLG Combined AB + TCF'!G82)</f>
        <v>1</v>
      </c>
      <c r="N81" s="144">
        <f>COUNTA('Original-WebNLG'!H83,'WebNLG Combined OD + ZK'!H82,'WebNLG Combined AB + TCF'!H82)</f>
        <v>2</v>
      </c>
      <c r="O81" s="144">
        <f>COUNTA('Original-WebNLG'!I83,'WebNLG Combined OD + ZK'!I82,'WebNLG Combined AB + TCF'!I82)</f>
        <v>0</v>
      </c>
      <c r="P81" s="151">
        <f t="shared" si="4"/>
        <v>0.3333333333</v>
      </c>
    </row>
    <row r="82">
      <c r="A82" s="99">
        <f>COUNTA('Original-WebNLG'!G84,'WebNLG Combined OD + ZK'!G83)</f>
        <v>0</v>
      </c>
      <c r="B82" s="144">
        <f>COUNTA('Original-WebNLG'!H84,'WebNLG Combined OD + ZK'!H83)</f>
        <v>2</v>
      </c>
      <c r="C82" s="144">
        <f>COUNTA('Original-WebNLG'!I84,'WebNLG Combined OD + ZK'!I83)</f>
        <v>0</v>
      </c>
      <c r="D82" s="151">
        <f t="shared" si="1"/>
        <v>1</v>
      </c>
      <c r="E82" s="144">
        <f>COUNTA('Original-WebNLG'!G84,'WebNLG Combined AB + TCF'!G83)</f>
        <v>0</v>
      </c>
      <c r="F82" s="144">
        <f>COUNTA('Original-WebNLG'!H84,'WebNLG Combined AB + TCF'!H83)</f>
        <v>2</v>
      </c>
      <c r="G82" s="144">
        <f>COUNTA('Original-WebNLG'!I84,'WebNLG Combined AB + TCF'!I83)</f>
        <v>0</v>
      </c>
      <c r="H82" s="151">
        <f t="shared" si="2"/>
        <v>1</v>
      </c>
      <c r="I82" s="99">
        <f>COUNTA('WebNLG Combined OD + ZK'!G83,'WebNLG Combined AB + TCF'!G83)</f>
        <v>0</v>
      </c>
      <c r="J82" s="144">
        <f>COUNTA('WebNLG Combined OD + ZK'!H83,'WebNLG Combined AB + TCF'!H83)</f>
        <v>2</v>
      </c>
      <c r="K82" s="144">
        <f>COUNTA('WebNLG Combined OD + ZK'!I83,'WebNLG Combined AB + TCF'!I83)</f>
        <v>0</v>
      </c>
      <c r="L82" s="151">
        <f t="shared" si="3"/>
        <v>1</v>
      </c>
      <c r="M82" s="99">
        <f>COUNTA('Original-WebNLG'!G84,'WebNLG Combined OD + ZK'!G83,'WebNLG Combined AB + TCF'!G83)</f>
        <v>0</v>
      </c>
      <c r="N82" s="144">
        <f>COUNTA('Original-WebNLG'!H84,'WebNLG Combined OD + ZK'!H83,'WebNLG Combined AB + TCF'!H83)</f>
        <v>3</v>
      </c>
      <c r="O82" s="144">
        <f>COUNTA('Original-WebNLG'!I84,'WebNLG Combined OD + ZK'!I83,'WebNLG Combined AB + TCF'!I83)</f>
        <v>0</v>
      </c>
      <c r="P82" s="151">
        <f t="shared" si="4"/>
        <v>1</v>
      </c>
    </row>
    <row r="83">
      <c r="A83" s="99">
        <f>COUNTA('Original-WebNLG'!G85,'WebNLG Combined OD + ZK'!G84)</f>
        <v>1</v>
      </c>
      <c r="B83" s="144">
        <f>COUNTA('Original-WebNLG'!H85,'WebNLG Combined OD + ZK'!H84)</f>
        <v>0</v>
      </c>
      <c r="C83" s="144">
        <f>COUNTA('Original-WebNLG'!I85,'WebNLG Combined OD + ZK'!I84)</f>
        <v>1</v>
      </c>
      <c r="D83" s="151">
        <f t="shared" si="1"/>
        <v>0</v>
      </c>
      <c r="E83" s="144">
        <f>COUNTA('Original-WebNLG'!G85,'WebNLG Combined AB + TCF'!G84)</f>
        <v>1</v>
      </c>
      <c r="F83" s="144">
        <f>COUNTA('Original-WebNLG'!H85,'WebNLG Combined AB + TCF'!H84)</f>
        <v>0</v>
      </c>
      <c r="G83" s="144">
        <f>COUNTA('Original-WebNLG'!I85,'WebNLG Combined AB + TCF'!I84)</f>
        <v>1</v>
      </c>
      <c r="H83" s="151">
        <f t="shared" si="2"/>
        <v>0</v>
      </c>
      <c r="I83" s="99">
        <f>COUNTA('WebNLG Combined OD + ZK'!G84,'WebNLG Combined AB + TCF'!G84)</f>
        <v>0</v>
      </c>
      <c r="J83" s="144">
        <f>COUNTA('WebNLG Combined OD + ZK'!H84,'WebNLG Combined AB + TCF'!H84)</f>
        <v>0</v>
      </c>
      <c r="K83" s="144">
        <f>COUNTA('WebNLG Combined OD + ZK'!I84,'WebNLG Combined AB + TCF'!I84)</f>
        <v>2</v>
      </c>
      <c r="L83" s="151">
        <f t="shared" si="3"/>
        <v>1</v>
      </c>
      <c r="M83" s="99">
        <f>COUNTA('Original-WebNLG'!G85,'WebNLG Combined OD + ZK'!G84,'WebNLG Combined AB + TCF'!G84)</f>
        <v>1</v>
      </c>
      <c r="N83" s="144">
        <f>COUNTA('Original-WebNLG'!H85,'WebNLG Combined OD + ZK'!H84,'WebNLG Combined AB + TCF'!H84)</f>
        <v>0</v>
      </c>
      <c r="O83" s="144">
        <f>COUNTA('Original-WebNLG'!I85,'WebNLG Combined OD + ZK'!I84,'WebNLG Combined AB + TCF'!I84)</f>
        <v>2</v>
      </c>
      <c r="P83" s="151">
        <f t="shared" si="4"/>
        <v>0.3333333333</v>
      </c>
    </row>
    <row r="84">
      <c r="A84" s="99">
        <f>COUNTA('Original-WebNLG'!G86,'WebNLG Combined OD + ZK'!G85)</f>
        <v>2</v>
      </c>
      <c r="B84" s="144">
        <f>COUNTA('Original-WebNLG'!H86,'WebNLG Combined OD + ZK'!H85)</f>
        <v>0</v>
      </c>
      <c r="C84" s="144">
        <f>COUNTA('Original-WebNLG'!I86,'WebNLG Combined OD + ZK'!I85)</f>
        <v>0</v>
      </c>
      <c r="D84" s="151">
        <f t="shared" si="1"/>
        <v>1</v>
      </c>
      <c r="E84" s="144">
        <f>COUNTA('Original-WebNLG'!G86,'WebNLG Combined AB + TCF'!G85)</f>
        <v>1</v>
      </c>
      <c r="F84" s="144">
        <f>COUNTA('Original-WebNLG'!H86,'WebNLG Combined AB + TCF'!H85)</f>
        <v>0</v>
      </c>
      <c r="G84" s="144">
        <f>COUNTA('Original-WebNLG'!I86,'WebNLG Combined AB + TCF'!I85)</f>
        <v>1</v>
      </c>
      <c r="H84" s="151">
        <f t="shared" si="2"/>
        <v>0</v>
      </c>
      <c r="I84" s="99">
        <f>COUNTA('WebNLG Combined OD + ZK'!G85,'WebNLG Combined AB + TCF'!G85)</f>
        <v>1</v>
      </c>
      <c r="J84" s="144">
        <f>COUNTA('WebNLG Combined OD + ZK'!H85,'WebNLG Combined AB + TCF'!H85)</f>
        <v>0</v>
      </c>
      <c r="K84" s="144">
        <f>COUNTA('WebNLG Combined OD + ZK'!I85,'WebNLG Combined AB + TCF'!I85)</f>
        <v>1</v>
      </c>
      <c r="L84" s="151">
        <f t="shared" si="3"/>
        <v>0</v>
      </c>
      <c r="M84" s="99">
        <f>COUNTA('Original-WebNLG'!G86,'WebNLG Combined OD + ZK'!G85,'WebNLG Combined AB + TCF'!G85)</f>
        <v>2</v>
      </c>
      <c r="N84" s="144">
        <f>COUNTA('Original-WebNLG'!H86,'WebNLG Combined OD + ZK'!H85,'WebNLG Combined AB + TCF'!H85)</f>
        <v>0</v>
      </c>
      <c r="O84" s="144">
        <f>COUNTA('Original-WebNLG'!I86,'WebNLG Combined OD + ZK'!I85,'WebNLG Combined AB + TCF'!I85)</f>
        <v>1</v>
      </c>
      <c r="P84" s="151">
        <f t="shared" si="4"/>
        <v>0.3333333333</v>
      </c>
    </row>
    <row r="85">
      <c r="A85" s="99">
        <f>COUNTA('Original-WebNLG'!G87,'WebNLG Combined OD + ZK'!G86)</f>
        <v>1</v>
      </c>
      <c r="B85" s="144">
        <f>COUNTA('Original-WebNLG'!H87,'WebNLG Combined OD + ZK'!H86)</f>
        <v>1</v>
      </c>
      <c r="C85" s="144">
        <f>COUNTA('Original-WebNLG'!I87,'WebNLG Combined OD + ZK'!I86)</f>
        <v>0</v>
      </c>
      <c r="D85" s="151">
        <f t="shared" si="1"/>
        <v>0</v>
      </c>
      <c r="E85" s="144">
        <f>COUNTA('Original-WebNLG'!G87,'WebNLG Combined AB + TCF'!G86)</f>
        <v>0</v>
      </c>
      <c r="F85" s="144">
        <f>COUNTA('Original-WebNLG'!H87,'WebNLG Combined AB + TCF'!H86)</f>
        <v>2</v>
      </c>
      <c r="G85" s="144">
        <f>COUNTA('Original-WebNLG'!I87,'WebNLG Combined AB + TCF'!I86)</f>
        <v>0</v>
      </c>
      <c r="H85" s="151">
        <f t="shared" si="2"/>
        <v>1</v>
      </c>
      <c r="I85" s="99">
        <f>COUNTA('WebNLG Combined OD + ZK'!G86,'WebNLG Combined AB + TCF'!G86)</f>
        <v>1</v>
      </c>
      <c r="J85" s="144">
        <f>COUNTA('WebNLG Combined OD + ZK'!H86,'WebNLG Combined AB + TCF'!H86)</f>
        <v>1</v>
      </c>
      <c r="K85" s="144">
        <f>COUNTA('WebNLG Combined OD + ZK'!I86,'WebNLG Combined AB + TCF'!I86)</f>
        <v>0</v>
      </c>
      <c r="L85" s="151">
        <f t="shared" si="3"/>
        <v>0</v>
      </c>
      <c r="M85" s="99">
        <f>COUNTA('Original-WebNLG'!G87,'WebNLG Combined OD + ZK'!G86,'WebNLG Combined AB + TCF'!G86)</f>
        <v>1</v>
      </c>
      <c r="N85" s="144">
        <f>COUNTA('Original-WebNLG'!H87,'WebNLG Combined OD + ZK'!H86,'WebNLG Combined AB + TCF'!H86)</f>
        <v>2</v>
      </c>
      <c r="O85" s="144">
        <f>COUNTA('Original-WebNLG'!I87,'WebNLG Combined OD + ZK'!I86,'WebNLG Combined AB + TCF'!I86)</f>
        <v>0</v>
      </c>
      <c r="P85" s="151">
        <f t="shared" si="4"/>
        <v>0.3333333333</v>
      </c>
    </row>
    <row r="86">
      <c r="A86" s="99">
        <f>COUNTA('Original-WebNLG'!G88,'WebNLG Combined OD + ZK'!G87)</f>
        <v>0</v>
      </c>
      <c r="B86" s="144">
        <f>COUNTA('Original-WebNLG'!H88,'WebNLG Combined OD + ZK'!H87)</f>
        <v>2</v>
      </c>
      <c r="C86" s="144">
        <f>COUNTA('Original-WebNLG'!I88,'WebNLG Combined OD + ZK'!I87)</f>
        <v>0</v>
      </c>
      <c r="D86" s="151">
        <f t="shared" si="1"/>
        <v>1</v>
      </c>
      <c r="E86" s="144">
        <f>COUNTA('Original-WebNLG'!G88,'WebNLG Combined AB + TCF'!G87)</f>
        <v>1</v>
      </c>
      <c r="F86" s="144">
        <f>COUNTA('Original-WebNLG'!H88,'WebNLG Combined AB + TCF'!H87)</f>
        <v>1</v>
      </c>
      <c r="G86" s="144">
        <f>COUNTA('Original-WebNLG'!I88,'WebNLG Combined AB + TCF'!I87)</f>
        <v>0</v>
      </c>
      <c r="H86" s="151">
        <f t="shared" si="2"/>
        <v>0</v>
      </c>
      <c r="I86" s="99">
        <f>COUNTA('WebNLG Combined OD + ZK'!G87,'WebNLG Combined AB + TCF'!G87)</f>
        <v>1</v>
      </c>
      <c r="J86" s="144">
        <f>COUNTA('WebNLG Combined OD + ZK'!H87,'WebNLG Combined AB + TCF'!H87)</f>
        <v>1</v>
      </c>
      <c r="K86" s="144">
        <f>COUNTA('WebNLG Combined OD + ZK'!I87,'WebNLG Combined AB + TCF'!I87)</f>
        <v>0</v>
      </c>
      <c r="L86" s="151">
        <f t="shared" si="3"/>
        <v>0</v>
      </c>
      <c r="M86" s="99">
        <f>COUNTA('Original-WebNLG'!G88,'WebNLG Combined OD + ZK'!G87,'WebNLG Combined AB + TCF'!G87)</f>
        <v>1</v>
      </c>
      <c r="N86" s="144">
        <f>COUNTA('Original-WebNLG'!H88,'WebNLG Combined OD + ZK'!H87,'WebNLG Combined AB + TCF'!H87)</f>
        <v>2</v>
      </c>
      <c r="O86" s="144">
        <f>COUNTA('Original-WebNLG'!I88,'WebNLG Combined OD + ZK'!I87,'WebNLG Combined AB + TCF'!I87)</f>
        <v>0</v>
      </c>
      <c r="P86" s="151">
        <f t="shared" si="4"/>
        <v>0.3333333333</v>
      </c>
    </row>
    <row r="87">
      <c r="A87" s="99">
        <f>COUNTA('Original-WebNLG'!G89,'WebNLG Combined OD + ZK'!G88)</f>
        <v>1</v>
      </c>
      <c r="B87" s="144">
        <f>COUNTA('Original-WebNLG'!H89,'WebNLG Combined OD + ZK'!H88)</f>
        <v>0</v>
      </c>
      <c r="C87" s="144">
        <f>COUNTA('Original-WebNLG'!I89,'WebNLG Combined OD + ZK'!I88)</f>
        <v>1</v>
      </c>
      <c r="D87" s="151">
        <f t="shared" si="1"/>
        <v>0</v>
      </c>
      <c r="E87" s="144">
        <f>COUNTA('Original-WebNLG'!G89,'WebNLG Combined AB + TCF'!G88)</f>
        <v>2</v>
      </c>
      <c r="F87" s="144">
        <f>COUNTA('Original-WebNLG'!H89,'WebNLG Combined AB + TCF'!H88)</f>
        <v>0</v>
      </c>
      <c r="G87" s="144">
        <f>COUNTA('Original-WebNLG'!I89,'WebNLG Combined AB + TCF'!I88)</f>
        <v>0</v>
      </c>
      <c r="H87" s="151">
        <f t="shared" si="2"/>
        <v>1</v>
      </c>
      <c r="I87" s="99">
        <f>COUNTA('WebNLG Combined OD + ZK'!G88,'WebNLG Combined AB + TCF'!G88)</f>
        <v>1</v>
      </c>
      <c r="J87" s="144">
        <f>COUNTA('WebNLG Combined OD + ZK'!H88,'WebNLG Combined AB + TCF'!H88)</f>
        <v>0</v>
      </c>
      <c r="K87" s="144">
        <f>COUNTA('WebNLG Combined OD + ZK'!I88,'WebNLG Combined AB + TCF'!I88)</f>
        <v>1</v>
      </c>
      <c r="L87" s="151">
        <f t="shared" si="3"/>
        <v>0</v>
      </c>
      <c r="M87" s="99">
        <f>COUNTA('Original-WebNLG'!G89,'WebNLG Combined OD + ZK'!G88,'WebNLG Combined AB + TCF'!G88)</f>
        <v>2</v>
      </c>
      <c r="N87" s="144">
        <f>COUNTA('Original-WebNLG'!H89,'WebNLG Combined OD + ZK'!H88,'WebNLG Combined AB + TCF'!H88)</f>
        <v>0</v>
      </c>
      <c r="O87" s="144">
        <f>COUNTA('Original-WebNLG'!I89,'WebNLG Combined OD + ZK'!I88,'WebNLG Combined AB + TCF'!I88)</f>
        <v>1</v>
      </c>
      <c r="P87" s="151">
        <f t="shared" si="4"/>
        <v>0.3333333333</v>
      </c>
    </row>
    <row r="88">
      <c r="A88" s="99">
        <f>COUNTA('Original-WebNLG'!G90,'WebNLG Combined OD + ZK'!G89)</f>
        <v>2</v>
      </c>
      <c r="B88" s="144">
        <f>COUNTA('Original-WebNLG'!H90,'WebNLG Combined OD + ZK'!H89)</f>
        <v>0</v>
      </c>
      <c r="C88" s="144">
        <f>COUNTA('Original-WebNLG'!I90,'WebNLG Combined OD + ZK'!I89)</f>
        <v>0</v>
      </c>
      <c r="D88" s="151">
        <f t="shared" si="1"/>
        <v>1</v>
      </c>
      <c r="E88" s="144">
        <f>COUNTA('Original-WebNLG'!G90,'WebNLG Combined AB + TCF'!G89)</f>
        <v>2</v>
      </c>
      <c r="F88" s="144">
        <f>COUNTA('Original-WebNLG'!H90,'WebNLG Combined AB + TCF'!H89)</f>
        <v>0</v>
      </c>
      <c r="G88" s="144">
        <f>COUNTA('Original-WebNLG'!I90,'WebNLG Combined AB + TCF'!I89)</f>
        <v>0</v>
      </c>
      <c r="H88" s="151">
        <f t="shared" si="2"/>
        <v>1</v>
      </c>
      <c r="I88" s="99">
        <f>COUNTA('WebNLG Combined OD + ZK'!G89,'WebNLG Combined AB + TCF'!G89)</f>
        <v>2</v>
      </c>
      <c r="J88" s="144">
        <f>COUNTA('WebNLG Combined OD + ZK'!H89,'WebNLG Combined AB + TCF'!H89)</f>
        <v>0</v>
      </c>
      <c r="K88" s="144">
        <f>COUNTA('WebNLG Combined OD + ZK'!I89,'WebNLG Combined AB + TCF'!I89)</f>
        <v>0</v>
      </c>
      <c r="L88" s="151">
        <f t="shared" si="3"/>
        <v>1</v>
      </c>
      <c r="M88" s="99">
        <f>COUNTA('Original-WebNLG'!G90,'WebNLG Combined OD + ZK'!G89,'WebNLG Combined AB + TCF'!G89)</f>
        <v>3</v>
      </c>
      <c r="N88" s="144">
        <f>COUNTA('Original-WebNLG'!H90,'WebNLG Combined OD + ZK'!H89,'WebNLG Combined AB + TCF'!H89)</f>
        <v>0</v>
      </c>
      <c r="O88" s="144">
        <f>COUNTA('Original-WebNLG'!I90,'WebNLG Combined OD + ZK'!I89,'WebNLG Combined AB + TCF'!I89)</f>
        <v>0</v>
      </c>
      <c r="P88" s="151">
        <f t="shared" si="4"/>
        <v>1</v>
      </c>
    </row>
    <row r="89">
      <c r="A89" s="99">
        <f>COUNTA('Original-WebNLG'!G91,'WebNLG Combined OD + ZK'!G90)</f>
        <v>1</v>
      </c>
      <c r="B89" s="144">
        <f>COUNTA('Original-WebNLG'!H91,'WebNLG Combined OD + ZK'!H90)</f>
        <v>1</v>
      </c>
      <c r="C89" s="144">
        <f>COUNTA('Original-WebNLG'!I91,'WebNLG Combined OD + ZK'!I90)</f>
        <v>0</v>
      </c>
      <c r="D89" s="151">
        <f t="shared" si="1"/>
        <v>0</v>
      </c>
      <c r="E89" s="144">
        <f>COUNTA('Original-WebNLG'!G91,'WebNLG Combined AB + TCF'!G90)</f>
        <v>2</v>
      </c>
      <c r="F89" s="144">
        <f>COUNTA('Original-WebNLG'!H91,'WebNLG Combined AB + TCF'!H90)</f>
        <v>0</v>
      </c>
      <c r="G89" s="144">
        <f>COUNTA('Original-WebNLG'!I91,'WebNLG Combined AB + TCF'!I90)</f>
        <v>0</v>
      </c>
      <c r="H89" s="151">
        <f t="shared" si="2"/>
        <v>1</v>
      </c>
      <c r="I89" s="99">
        <f>COUNTA('WebNLG Combined OD + ZK'!G90,'WebNLG Combined AB + TCF'!G90)</f>
        <v>1</v>
      </c>
      <c r="J89" s="144">
        <f>COUNTA('WebNLG Combined OD + ZK'!H90,'WebNLG Combined AB + TCF'!H90)</f>
        <v>1</v>
      </c>
      <c r="K89" s="144">
        <f>COUNTA('WebNLG Combined OD + ZK'!I90,'WebNLG Combined AB + TCF'!I90)</f>
        <v>0</v>
      </c>
      <c r="L89" s="151">
        <f t="shared" si="3"/>
        <v>0</v>
      </c>
      <c r="M89" s="99">
        <f>COUNTA('Original-WebNLG'!G91,'WebNLG Combined OD + ZK'!G90,'WebNLG Combined AB + TCF'!G90)</f>
        <v>2</v>
      </c>
      <c r="N89" s="144">
        <f>COUNTA('Original-WebNLG'!H91,'WebNLG Combined OD + ZK'!H90,'WebNLG Combined AB + TCF'!H90)</f>
        <v>1</v>
      </c>
      <c r="O89" s="144">
        <f>COUNTA('Original-WebNLG'!I91,'WebNLG Combined OD + ZK'!I90,'WebNLG Combined AB + TCF'!I90)</f>
        <v>0</v>
      </c>
      <c r="P89" s="151">
        <f t="shared" si="4"/>
        <v>0.3333333333</v>
      </c>
    </row>
    <row r="90">
      <c r="A90" s="99">
        <f>COUNTA('Original-WebNLG'!G92,'WebNLG Combined OD + ZK'!G91)</f>
        <v>1</v>
      </c>
      <c r="B90" s="144">
        <f>COUNTA('Original-WebNLG'!H92,'WebNLG Combined OD + ZK'!H91)</f>
        <v>0</v>
      </c>
      <c r="C90" s="144">
        <f>COUNTA('Original-WebNLG'!I92,'WebNLG Combined OD + ZK'!I91)</f>
        <v>0</v>
      </c>
      <c r="D90" s="151">
        <f t="shared" si="1"/>
        <v>-0.5</v>
      </c>
      <c r="E90" s="144">
        <f>COUNTA('Original-WebNLG'!G92,'WebNLG Combined AB + TCF'!G91)</f>
        <v>1</v>
      </c>
      <c r="F90" s="144">
        <f>COUNTA('Original-WebNLG'!H92,'WebNLG Combined AB + TCF'!H91)</f>
        <v>1</v>
      </c>
      <c r="G90" s="144">
        <f>COUNTA('Original-WebNLG'!I92,'WebNLG Combined AB + TCF'!I91)</f>
        <v>0</v>
      </c>
      <c r="H90" s="151">
        <f t="shared" si="2"/>
        <v>0</v>
      </c>
      <c r="I90" s="99">
        <f>COUNTA('WebNLG Combined OD + ZK'!G91,'WebNLG Combined AB + TCF'!G91)</f>
        <v>0</v>
      </c>
      <c r="J90" s="144">
        <f>COUNTA('WebNLG Combined OD + ZK'!H91,'WebNLG Combined AB + TCF'!H91)</f>
        <v>1</v>
      </c>
      <c r="K90" s="144">
        <f>COUNTA('WebNLG Combined OD + ZK'!I91,'WebNLG Combined AB + TCF'!I91)</f>
        <v>0</v>
      </c>
      <c r="L90" s="151">
        <f t="shared" si="3"/>
        <v>-0.5</v>
      </c>
      <c r="M90" s="99">
        <f>COUNTA('Original-WebNLG'!G92,'WebNLG Combined OD + ZK'!G91,'WebNLG Combined AB + TCF'!G91)</f>
        <v>1</v>
      </c>
      <c r="N90" s="144">
        <f>COUNTA('Original-WebNLG'!H92,'WebNLG Combined OD + ZK'!H91,'WebNLG Combined AB + TCF'!H91)</f>
        <v>1</v>
      </c>
      <c r="O90" s="144">
        <f>COUNTA('Original-WebNLG'!I92,'WebNLG Combined OD + ZK'!I91,'WebNLG Combined AB + TCF'!I91)</f>
        <v>0</v>
      </c>
      <c r="P90" s="151">
        <f t="shared" si="4"/>
        <v>-0.1666666667</v>
      </c>
    </row>
    <row r="91">
      <c r="A91" s="99">
        <f>COUNTA('Original-WebNLG'!G93,'WebNLG Combined OD + ZK'!G92)</f>
        <v>1</v>
      </c>
      <c r="B91" s="144">
        <f>COUNTA('Original-WebNLG'!H93,'WebNLG Combined OD + ZK'!H92)</f>
        <v>0</v>
      </c>
      <c r="C91" s="144">
        <f>COUNTA('Original-WebNLG'!I93,'WebNLG Combined OD + ZK'!I92)</f>
        <v>1</v>
      </c>
      <c r="D91" s="151">
        <f t="shared" si="1"/>
        <v>0</v>
      </c>
      <c r="E91" s="144">
        <f>COUNTA('Original-WebNLG'!G93,'WebNLG Combined AB + TCF'!G92)</f>
        <v>0</v>
      </c>
      <c r="F91" s="144">
        <f>COUNTA('Original-WebNLG'!H93,'WebNLG Combined AB + TCF'!H92)</f>
        <v>1</v>
      </c>
      <c r="G91" s="144">
        <f>COUNTA('Original-WebNLG'!I93,'WebNLG Combined AB + TCF'!I92)</f>
        <v>1</v>
      </c>
      <c r="H91" s="151">
        <f t="shared" si="2"/>
        <v>0</v>
      </c>
      <c r="I91" s="99">
        <f>COUNTA('WebNLG Combined OD + ZK'!G92,'WebNLG Combined AB + TCF'!G92)</f>
        <v>1</v>
      </c>
      <c r="J91" s="144">
        <f>COUNTA('WebNLG Combined OD + ZK'!H92,'WebNLG Combined AB + TCF'!H92)</f>
        <v>1</v>
      </c>
      <c r="K91" s="144">
        <f>COUNTA('WebNLG Combined OD + ZK'!I92,'WebNLG Combined AB + TCF'!I92)</f>
        <v>0</v>
      </c>
      <c r="L91" s="151">
        <f t="shared" si="3"/>
        <v>0</v>
      </c>
      <c r="M91" s="99">
        <f>COUNTA('Original-WebNLG'!G93,'WebNLG Combined OD + ZK'!G92,'WebNLG Combined AB + TCF'!G92)</f>
        <v>1</v>
      </c>
      <c r="N91" s="144">
        <f>COUNTA('Original-WebNLG'!H93,'WebNLG Combined OD + ZK'!H92,'WebNLG Combined AB + TCF'!H92)</f>
        <v>1</v>
      </c>
      <c r="O91" s="144">
        <f>COUNTA('Original-WebNLG'!I93,'WebNLG Combined OD + ZK'!I92,'WebNLG Combined AB + TCF'!I92)</f>
        <v>1</v>
      </c>
      <c r="P91" s="151">
        <f t="shared" si="4"/>
        <v>0</v>
      </c>
    </row>
    <row r="92">
      <c r="A92" s="99">
        <f>COUNTA('Original-WebNLG'!G94,'WebNLG Combined OD + ZK'!G93)</f>
        <v>2</v>
      </c>
      <c r="B92" s="144">
        <f>COUNTA('Original-WebNLG'!H94,'WebNLG Combined OD + ZK'!H93)</f>
        <v>0</v>
      </c>
      <c r="C92" s="144">
        <f>COUNTA('Original-WebNLG'!I94,'WebNLG Combined OD + ZK'!I93)</f>
        <v>0</v>
      </c>
      <c r="D92" s="151">
        <f t="shared" si="1"/>
        <v>1</v>
      </c>
      <c r="E92" s="144">
        <f>COUNTA('Original-WebNLG'!G94,'WebNLG Combined AB + TCF'!G93)</f>
        <v>2</v>
      </c>
      <c r="F92" s="144">
        <f>COUNTA('Original-WebNLG'!H94,'WebNLG Combined AB + TCF'!H93)</f>
        <v>0</v>
      </c>
      <c r="G92" s="144">
        <f>COUNTA('Original-WebNLG'!I94,'WebNLG Combined AB + TCF'!I93)</f>
        <v>0</v>
      </c>
      <c r="H92" s="151">
        <f t="shared" si="2"/>
        <v>1</v>
      </c>
      <c r="I92" s="99">
        <f>COUNTA('WebNLG Combined OD + ZK'!G93,'WebNLG Combined AB + TCF'!G93)</f>
        <v>2</v>
      </c>
      <c r="J92" s="144">
        <f>COUNTA('WebNLG Combined OD + ZK'!H93,'WebNLG Combined AB + TCF'!H93)</f>
        <v>0</v>
      </c>
      <c r="K92" s="144">
        <f>COUNTA('WebNLG Combined OD + ZK'!I93,'WebNLG Combined AB + TCF'!I93)</f>
        <v>0</v>
      </c>
      <c r="L92" s="151">
        <f t="shared" si="3"/>
        <v>1</v>
      </c>
      <c r="M92" s="99">
        <f>COUNTA('Original-WebNLG'!G94,'WebNLG Combined OD + ZK'!G93,'WebNLG Combined AB + TCF'!G93)</f>
        <v>3</v>
      </c>
      <c r="N92" s="144">
        <f>COUNTA('Original-WebNLG'!H94,'WebNLG Combined OD + ZK'!H93,'WebNLG Combined AB + TCF'!H93)</f>
        <v>0</v>
      </c>
      <c r="O92" s="144">
        <f>COUNTA('Original-WebNLG'!I94,'WebNLG Combined OD + ZK'!I93,'WebNLG Combined AB + TCF'!I93)</f>
        <v>0</v>
      </c>
      <c r="P92" s="151">
        <f t="shared" si="4"/>
        <v>1</v>
      </c>
    </row>
    <row r="93">
      <c r="A93" s="99">
        <f>COUNTA('Original-WebNLG'!G95,'WebNLG Combined OD + ZK'!G94)</f>
        <v>0</v>
      </c>
      <c r="B93" s="144">
        <f>COUNTA('Original-WebNLG'!H95,'WebNLG Combined OD + ZK'!H94)</f>
        <v>2</v>
      </c>
      <c r="C93" s="144">
        <f>COUNTA('Original-WebNLG'!I95,'WebNLG Combined OD + ZK'!I94)</f>
        <v>0</v>
      </c>
      <c r="D93" s="151">
        <f t="shared" si="1"/>
        <v>1</v>
      </c>
      <c r="E93" s="144">
        <f>COUNTA('Original-WebNLG'!G95,'WebNLG Combined AB + TCF'!G94)</f>
        <v>0</v>
      </c>
      <c r="F93" s="144">
        <f>COUNTA('Original-WebNLG'!H95,'WebNLG Combined AB + TCF'!H94)</f>
        <v>2</v>
      </c>
      <c r="G93" s="144">
        <f>COUNTA('Original-WebNLG'!I95,'WebNLG Combined AB + TCF'!I94)</f>
        <v>0</v>
      </c>
      <c r="H93" s="151">
        <f t="shared" si="2"/>
        <v>1</v>
      </c>
      <c r="I93" s="99">
        <f>COUNTA('WebNLG Combined OD + ZK'!G94,'WebNLG Combined AB + TCF'!G94)</f>
        <v>0</v>
      </c>
      <c r="J93" s="144">
        <f>COUNTA('WebNLG Combined OD + ZK'!H94,'WebNLG Combined AB + TCF'!H94)</f>
        <v>2</v>
      </c>
      <c r="K93" s="144">
        <f>COUNTA('WebNLG Combined OD + ZK'!I94,'WebNLG Combined AB + TCF'!I94)</f>
        <v>0</v>
      </c>
      <c r="L93" s="151">
        <f t="shared" si="3"/>
        <v>1</v>
      </c>
      <c r="M93" s="99">
        <f>COUNTA('Original-WebNLG'!G95,'WebNLG Combined OD + ZK'!G94,'WebNLG Combined AB + TCF'!G94)</f>
        <v>0</v>
      </c>
      <c r="N93" s="144">
        <f>COUNTA('Original-WebNLG'!H95,'WebNLG Combined OD + ZK'!H94,'WebNLG Combined AB + TCF'!H94)</f>
        <v>3</v>
      </c>
      <c r="O93" s="144">
        <f>COUNTA('Original-WebNLG'!I95,'WebNLG Combined OD + ZK'!I94,'WebNLG Combined AB + TCF'!I94)</f>
        <v>0</v>
      </c>
      <c r="P93" s="151">
        <f t="shared" si="4"/>
        <v>1</v>
      </c>
    </row>
    <row r="94">
      <c r="A94" s="99">
        <f>COUNTA('Original-WebNLG'!G96,'WebNLG Combined OD + ZK'!G95)</f>
        <v>0</v>
      </c>
      <c r="B94" s="144">
        <f>COUNTA('Original-WebNLG'!H96,'WebNLG Combined OD + ZK'!H95)</f>
        <v>2</v>
      </c>
      <c r="C94" s="144">
        <f>COUNTA('Original-WebNLG'!I96,'WebNLG Combined OD + ZK'!I95)</f>
        <v>0</v>
      </c>
      <c r="D94" s="151">
        <f t="shared" si="1"/>
        <v>1</v>
      </c>
      <c r="E94" s="144">
        <f>COUNTA('Original-WebNLG'!G96,'WebNLG Combined AB + TCF'!G95)</f>
        <v>0</v>
      </c>
      <c r="F94" s="144">
        <f>COUNTA('Original-WebNLG'!H96,'WebNLG Combined AB + TCF'!H95)</f>
        <v>2</v>
      </c>
      <c r="G94" s="144">
        <f>COUNTA('Original-WebNLG'!I96,'WebNLG Combined AB + TCF'!I95)</f>
        <v>0</v>
      </c>
      <c r="H94" s="151">
        <f t="shared" si="2"/>
        <v>1</v>
      </c>
      <c r="I94" s="99">
        <f>COUNTA('WebNLG Combined OD + ZK'!G95,'WebNLG Combined AB + TCF'!G95)</f>
        <v>0</v>
      </c>
      <c r="J94" s="144">
        <f>COUNTA('WebNLG Combined OD + ZK'!H95,'WebNLG Combined AB + TCF'!H95)</f>
        <v>2</v>
      </c>
      <c r="K94" s="144">
        <f>COUNTA('WebNLG Combined OD + ZK'!I95,'WebNLG Combined AB + TCF'!I95)</f>
        <v>0</v>
      </c>
      <c r="L94" s="151">
        <f t="shared" si="3"/>
        <v>1</v>
      </c>
      <c r="M94" s="99">
        <f>COUNTA('Original-WebNLG'!G96,'WebNLG Combined OD + ZK'!G95,'WebNLG Combined AB + TCF'!G95)</f>
        <v>0</v>
      </c>
      <c r="N94" s="144">
        <f>COUNTA('Original-WebNLG'!H96,'WebNLG Combined OD + ZK'!H95,'WebNLG Combined AB + TCF'!H95)</f>
        <v>3</v>
      </c>
      <c r="O94" s="144">
        <f>COUNTA('Original-WebNLG'!I96,'WebNLG Combined OD + ZK'!I95,'WebNLG Combined AB + TCF'!I95)</f>
        <v>0</v>
      </c>
      <c r="P94" s="151">
        <f t="shared" si="4"/>
        <v>1</v>
      </c>
    </row>
    <row r="95">
      <c r="A95" s="99">
        <f>COUNTA('Original-WebNLG'!G97,'WebNLG Combined OD + ZK'!G96)</f>
        <v>0</v>
      </c>
      <c r="B95" s="144">
        <f>COUNTA('Original-WebNLG'!H97,'WebNLG Combined OD + ZK'!H96)</f>
        <v>1</v>
      </c>
      <c r="C95" s="144">
        <f>COUNTA('Original-WebNLG'!I97,'WebNLG Combined OD + ZK'!I96)</f>
        <v>1</v>
      </c>
      <c r="D95" s="151">
        <f t="shared" si="1"/>
        <v>0</v>
      </c>
      <c r="E95" s="144">
        <f>COUNTA('Original-WebNLG'!G97,'WebNLG Combined AB + TCF'!G96)</f>
        <v>1</v>
      </c>
      <c r="F95" s="144">
        <f>COUNTA('Original-WebNLG'!H97,'WebNLG Combined AB + TCF'!H96)</f>
        <v>1</v>
      </c>
      <c r="G95" s="144">
        <f>COUNTA('Original-WebNLG'!I97,'WebNLG Combined AB + TCF'!I96)</f>
        <v>0</v>
      </c>
      <c r="H95" s="151">
        <f t="shared" si="2"/>
        <v>0</v>
      </c>
      <c r="I95" s="99">
        <f>COUNTA('WebNLG Combined OD + ZK'!G96,'WebNLG Combined AB + TCF'!G96)</f>
        <v>1</v>
      </c>
      <c r="J95" s="144">
        <f>COUNTA('WebNLG Combined OD + ZK'!H96,'WebNLG Combined AB + TCF'!H96)</f>
        <v>0</v>
      </c>
      <c r="K95" s="144">
        <f>COUNTA('WebNLG Combined OD + ZK'!I96,'WebNLG Combined AB + TCF'!I96)</f>
        <v>1</v>
      </c>
      <c r="L95" s="151">
        <f t="shared" si="3"/>
        <v>0</v>
      </c>
      <c r="M95" s="99">
        <f>COUNTA('Original-WebNLG'!G97,'WebNLG Combined OD + ZK'!G96,'WebNLG Combined AB + TCF'!G96)</f>
        <v>1</v>
      </c>
      <c r="N95" s="144">
        <f>COUNTA('Original-WebNLG'!H97,'WebNLG Combined OD + ZK'!H96,'WebNLG Combined AB + TCF'!H96)</f>
        <v>1</v>
      </c>
      <c r="O95" s="144">
        <f>COUNTA('Original-WebNLG'!I97,'WebNLG Combined OD + ZK'!I96,'WebNLG Combined AB + TCF'!I96)</f>
        <v>1</v>
      </c>
      <c r="P95" s="151">
        <f t="shared" si="4"/>
        <v>0</v>
      </c>
    </row>
    <row r="96">
      <c r="A96" s="99">
        <f>COUNTA('Original-WebNLG'!G98,'WebNLG Combined OD + ZK'!G97)</f>
        <v>2</v>
      </c>
      <c r="B96" s="144">
        <f>COUNTA('Original-WebNLG'!H98,'WebNLG Combined OD + ZK'!H97)</f>
        <v>0</v>
      </c>
      <c r="C96" s="144">
        <f>COUNTA('Original-WebNLG'!I98,'WebNLG Combined OD + ZK'!I97)</f>
        <v>0</v>
      </c>
      <c r="D96" s="151">
        <f t="shared" si="1"/>
        <v>1</v>
      </c>
      <c r="E96" s="144">
        <f>COUNTA('Original-WebNLG'!G98,'WebNLG Combined AB + TCF'!G97)</f>
        <v>2</v>
      </c>
      <c r="F96" s="144">
        <f>COUNTA('Original-WebNLG'!H98,'WebNLG Combined AB + TCF'!H97)</f>
        <v>0</v>
      </c>
      <c r="G96" s="144">
        <f>COUNTA('Original-WebNLG'!I98,'WebNLG Combined AB + TCF'!I97)</f>
        <v>0</v>
      </c>
      <c r="H96" s="151">
        <f t="shared" si="2"/>
        <v>1</v>
      </c>
      <c r="I96" s="99">
        <f>COUNTA('WebNLG Combined OD + ZK'!G97,'WebNLG Combined AB + TCF'!G97)</f>
        <v>2</v>
      </c>
      <c r="J96" s="144">
        <f>COUNTA('WebNLG Combined OD + ZK'!H97,'WebNLG Combined AB + TCF'!H97)</f>
        <v>0</v>
      </c>
      <c r="K96" s="144">
        <f>COUNTA('WebNLG Combined OD + ZK'!I97,'WebNLG Combined AB + TCF'!I97)</f>
        <v>0</v>
      </c>
      <c r="L96" s="151">
        <f t="shared" si="3"/>
        <v>1</v>
      </c>
      <c r="M96" s="99">
        <f>COUNTA('Original-WebNLG'!G98,'WebNLG Combined OD + ZK'!G97,'WebNLG Combined AB + TCF'!G97)</f>
        <v>3</v>
      </c>
      <c r="N96" s="144">
        <f>COUNTA('Original-WebNLG'!H98,'WebNLG Combined OD + ZK'!H97,'WebNLG Combined AB + TCF'!H97)</f>
        <v>0</v>
      </c>
      <c r="O96" s="144">
        <f>COUNTA('Original-WebNLG'!I98,'WebNLG Combined OD + ZK'!I97,'WebNLG Combined AB + TCF'!I97)</f>
        <v>0</v>
      </c>
      <c r="P96" s="151">
        <f t="shared" si="4"/>
        <v>1</v>
      </c>
    </row>
    <row r="97">
      <c r="A97" s="99">
        <f>COUNTA('Original-WebNLG'!G99,'WebNLG Combined OD + ZK'!G98)</f>
        <v>1</v>
      </c>
      <c r="B97" s="144">
        <f>COUNTA('Original-WebNLG'!H99,'WebNLG Combined OD + ZK'!H98)</f>
        <v>1</v>
      </c>
      <c r="C97" s="144">
        <f>COUNTA('Original-WebNLG'!I99,'WebNLG Combined OD + ZK'!I98)</f>
        <v>0</v>
      </c>
      <c r="D97" s="151">
        <f t="shared" si="1"/>
        <v>0</v>
      </c>
      <c r="E97" s="144">
        <f>COUNTA('Original-WebNLG'!G99,'WebNLG Combined AB + TCF'!G98)</f>
        <v>2</v>
      </c>
      <c r="F97" s="144">
        <f>COUNTA('Original-WebNLG'!H99,'WebNLG Combined AB + TCF'!H98)</f>
        <v>0</v>
      </c>
      <c r="G97" s="144">
        <f>COUNTA('Original-WebNLG'!I99,'WebNLG Combined AB + TCF'!I98)</f>
        <v>0</v>
      </c>
      <c r="H97" s="151">
        <f t="shared" si="2"/>
        <v>1</v>
      </c>
      <c r="I97" s="99">
        <f>COUNTA('WebNLG Combined OD + ZK'!G98,'WebNLG Combined AB + TCF'!G98)</f>
        <v>1</v>
      </c>
      <c r="J97" s="144">
        <f>COUNTA('WebNLG Combined OD + ZK'!H98,'WebNLG Combined AB + TCF'!H98)</f>
        <v>1</v>
      </c>
      <c r="K97" s="144">
        <f>COUNTA('WebNLG Combined OD + ZK'!I98,'WebNLG Combined AB + TCF'!I98)</f>
        <v>0</v>
      </c>
      <c r="L97" s="151">
        <f t="shared" si="3"/>
        <v>0</v>
      </c>
      <c r="M97" s="99">
        <f>COUNTA('Original-WebNLG'!G99,'WebNLG Combined OD + ZK'!G98,'WebNLG Combined AB + TCF'!G98)</f>
        <v>2</v>
      </c>
      <c r="N97" s="144">
        <f>COUNTA('Original-WebNLG'!H99,'WebNLG Combined OD + ZK'!H98,'WebNLG Combined AB + TCF'!H98)</f>
        <v>1</v>
      </c>
      <c r="O97" s="144">
        <f>COUNTA('Original-WebNLG'!I99,'WebNLG Combined OD + ZK'!I98,'WebNLG Combined AB + TCF'!I98)</f>
        <v>0</v>
      </c>
      <c r="P97" s="151">
        <f t="shared" si="4"/>
        <v>0.3333333333</v>
      </c>
    </row>
    <row r="98">
      <c r="A98" s="99">
        <f>COUNTA('Original-WebNLG'!G100,'WebNLG Combined OD + ZK'!G99)</f>
        <v>1</v>
      </c>
      <c r="B98" s="144">
        <f>COUNTA('Original-WebNLG'!H100,'WebNLG Combined OD + ZK'!H99)</f>
        <v>1</v>
      </c>
      <c r="C98" s="144">
        <f>COUNTA('Original-WebNLG'!I100,'WebNLG Combined OD + ZK'!I99)</f>
        <v>0</v>
      </c>
      <c r="D98" s="151">
        <f t="shared" si="1"/>
        <v>0</v>
      </c>
      <c r="E98" s="144">
        <f>COUNTA('Original-WebNLG'!G100,'WebNLG Combined AB + TCF'!G99)</f>
        <v>0</v>
      </c>
      <c r="F98" s="144">
        <f>COUNTA('Original-WebNLG'!H100,'WebNLG Combined AB + TCF'!H99)</f>
        <v>2</v>
      </c>
      <c r="G98" s="144">
        <f>COUNTA('Original-WebNLG'!I100,'WebNLG Combined AB + TCF'!I99)</f>
        <v>0</v>
      </c>
      <c r="H98" s="151">
        <f t="shared" si="2"/>
        <v>1</v>
      </c>
      <c r="I98" s="99">
        <f>COUNTA('WebNLG Combined OD + ZK'!G99,'WebNLG Combined AB + TCF'!G99)</f>
        <v>1</v>
      </c>
      <c r="J98" s="144">
        <f>COUNTA('WebNLG Combined OD + ZK'!H99,'WebNLG Combined AB + TCF'!H99)</f>
        <v>1</v>
      </c>
      <c r="K98" s="144">
        <f>COUNTA('WebNLG Combined OD + ZK'!I99,'WebNLG Combined AB + TCF'!I99)</f>
        <v>0</v>
      </c>
      <c r="L98" s="151">
        <f t="shared" si="3"/>
        <v>0</v>
      </c>
      <c r="M98" s="99">
        <f>COUNTA('Original-WebNLG'!G100,'WebNLG Combined OD + ZK'!G99,'WebNLG Combined AB + TCF'!G99)</f>
        <v>1</v>
      </c>
      <c r="N98" s="144">
        <f>COUNTA('Original-WebNLG'!H100,'WebNLG Combined OD + ZK'!H99,'WebNLG Combined AB + TCF'!H99)</f>
        <v>2</v>
      </c>
      <c r="O98" s="144">
        <f>COUNTA('Original-WebNLG'!I100,'WebNLG Combined OD + ZK'!I99,'WebNLG Combined AB + TCF'!I99)</f>
        <v>0</v>
      </c>
      <c r="P98" s="151">
        <f t="shared" si="4"/>
        <v>0.3333333333</v>
      </c>
    </row>
    <row r="99">
      <c r="A99" s="99">
        <f>COUNTA('Original-WebNLG'!G101,'WebNLG Combined OD + ZK'!G100)</f>
        <v>0</v>
      </c>
      <c r="B99" s="144">
        <f>COUNTA('Original-WebNLG'!H101,'WebNLG Combined OD + ZK'!H100)</f>
        <v>1</v>
      </c>
      <c r="C99" s="144">
        <f>COUNTA('Original-WebNLG'!I101,'WebNLG Combined OD + ZK'!I100)</f>
        <v>1</v>
      </c>
      <c r="D99" s="151">
        <f t="shared" si="1"/>
        <v>0</v>
      </c>
      <c r="E99" s="144">
        <f>COUNTA('Original-WebNLG'!G101,'WebNLG Combined AB + TCF'!G100)</f>
        <v>1</v>
      </c>
      <c r="F99" s="144">
        <f>COUNTA('Original-WebNLG'!H101,'WebNLG Combined AB + TCF'!H100)</f>
        <v>1</v>
      </c>
      <c r="G99" s="144">
        <f>COUNTA('Original-WebNLG'!I101,'WebNLG Combined AB + TCF'!I100)</f>
        <v>0</v>
      </c>
      <c r="H99" s="151">
        <f t="shared" si="2"/>
        <v>0</v>
      </c>
      <c r="I99" s="99">
        <f>COUNTA('WebNLG Combined OD + ZK'!G100,'WebNLG Combined AB + TCF'!G100)</f>
        <v>1</v>
      </c>
      <c r="J99" s="144">
        <f>COUNTA('WebNLG Combined OD + ZK'!H100,'WebNLG Combined AB + TCF'!H100)</f>
        <v>0</v>
      </c>
      <c r="K99" s="144">
        <f>COUNTA('WebNLG Combined OD + ZK'!I100,'WebNLG Combined AB + TCF'!I100)</f>
        <v>1</v>
      </c>
      <c r="L99" s="151">
        <f t="shared" si="3"/>
        <v>0</v>
      </c>
      <c r="M99" s="99">
        <f>COUNTA('Original-WebNLG'!G101,'WebNLG Combined OD + ZK'!G100,'WebNLG Combined AB + TCF'!G100)</f>
        <v>1</v>
      </c>
      <c r="N99" s="144">
        <f>COUNTA('Original-WebNLG'!H101,'WebNLG Combined OD + ZK'!H100,'WebNLG Combined AB + TCF'!H100)</f>
        <v>1</v>
      </c>
      <c r="O99" s="144">
        <f>COUNTA('Original-WebNLG'!I101,'WebNLG Combined OD + ZK'!I100,'WebNLG Combined AB + TCF'!I100)</f>
        <v>1</v>
      </c>
      <c r="P99" s="151">
        <f t="shared" si="4"/>
        <v>0</v>
      </c>
    </row>
    <row r="100">
      <c r="A100" s="99">
        <f>COUNTA('Original-WebNLG'!G102,'WebNLG Combined OD + ZK'!G101)</f>
        <v>1</v>
      </c>
      <c r="B100" s="144">
        <f>COUNTA('Original-WebNLG'!H102,'WebNLG Combined OD + ZK'!H101)</f>
        <v>1</v>
      </c>
      <c r="C100" s="144">
        <f>COUNTA('Original-WebNLG'!I102,'WebNLG Combined OD + ZK'!I101)</f>
        <v>0</v>
      </c>
      <c r="D100" s="151">
        <f t="shared" si="1"/>
        <v>0</v>
      </c>
      <c r="E100" s="144">
        <f>COUNTA('Original-WebNLG'!G102,'WebNLG Combined AB + TCF'!G101)</f>
        <v>1</v>
      </c>
      <c r="F100" s="144">
        <f>COUNTA('Original-WebNLG'!H102,'WebNLG Combined AB + TCF'!H101)</f>
        <v>1</v>
      </c>
      <c r="G100" s="144">
        <f>COUNTA('Original-WebNLG'!I102,'WebNLG Combined AB + TCF'!I101)</f>
        <v>0</v>
      </c>
      <c r="H100" s="151">
        <f t="shared" si="2"/>
        <v>0</v>
      </c>
      <c r="I100" s="99">
        <f>COUNTA('WebNLG Combined OD + ZK'!G101,'WebNLG Combined AB + TCF'!G101)</f>
        <v>2</v>
      </c>
      <c r="J100" s="144">
        <f>COUNTA('WebNLG Combined OD + ZK'!H101,'WebNLG Combined AB + TCF'!H101)</f>
        <v>0</v>
      </c>
      <c r="K100" s="144">
        <f>COUNTA('WebNLG Combined OD + ZK'!I101,'WebNLG Combined AB + TCF'!I101)</f>
        <v>0</v>
      </c>
      <c r="L100" s="151">
        <f t="shared" si="3"/>
        <v>1</v>
      </c>
      <c r="M100" s="99">
        <f>COUNTA('Original-WebNLG'!G102,'WebNLG Combined OD + ZK'!G101,'WebNLG Combined AB + TCF'!G101)</f>
        <v>2</v>
      </c>
      <c r="N100" s="144">
        <f>COUNTA('Original-WebNLG'!H102,'WebNLG Combined OD + ZK'!H101,'WebNLG Combined AB + TCF'!H101)</f>
        <v>1</v>
      </c>
      <c r="O100" s="144">
        <f>COUNTA('Original-WebNLG'!I102,'WebNLG Combined OD + ZK'!I101,'WebNLG Combined AB + TCF'!I101)</f>
        <v>0</v>
      </c>
      <c r="P100" s="151">
        <f t="shared" si="4"/>
        <v>0.3333333333</v>
      </c>
    </row>
    <row r="101">
      <c r="A101" s="99">
        <f>COUNTA('Original-WebNLG'!G103,'WebNLG Combined OD + ZK'!G102)</f>
        <v>2</v>
      </c>
      <c r="B101" s="144">
        <f>COUNTA('Original-WebNLG'!H103,'WebNLG Combined OD + ZK'!H102)</f>
        <v>0</v>
      </c>
      <c r="C101" s="144">
        <f>COUNTA('Original-WebNLG'!I103,'WebNLG Combined OD + ZK'!I102)</f>
        <v>0</v>
      </c>
      <c r="D101" s="151">
        <f t="shared" si="1"/>
        <v>1</v>
      </c>
      <c r="E101" s="144">
        <f>COUNTA('Original-WebNLG'!G103,'WebNLG Combined AB + TCF'!G102)</f>
        <v>1</v>
      </c>
      <c r="F101" s="144">
        <f>COUNTA('Original-WebNLG'!H103,'WebNLG Combined AB + TCF'!H102)</f>
        <v>1</v>
      </c>
      <c r="G101" s="144">
        <f>COUNTA('Original-WebNLG'!I103,'WebNLG Combined AB + TCF'!I102)</f>
        <v>0</v>
      </c>
      <c r="H101" s="151">
        <f t="shared" si="2"/>
        <v>0</v>
      </c>
      <c r="I101" s="99">
        <f>COUNTA('WebNLG Combined OD + ZK'!G102,'WebNLG Combined AB + TCF'!G102)</f>
        <v>1</v>
      </c>
      <c r="J101" s="144">
        <f>COUNTA('WebNLG Combined OD + ZK'!H102,'WebNLG Combined AB + TCF'!H102)</f>
        <v>1</v>
      </c>
      <c r="K101" s="144">
        <f>COUNTA('WebNLG Combined OD + ZK'!I102,'WebNLG Combined AB + TCF'!I102)</f>
        <v>0</v>
      </c>
      <c r="L101" s="151">
        <f t="shared" si="3"/>
        <v>0</v>
      </c>
      <c r="M101" s="99">
        <f>COUNTA('Original-WebNLG'!G103,'WebNLG Combined OD + ZK'!G102,'WebNLG Combined AB + TCF'!G102)</f>
        <v>2</v>
      </c>
      <c r="N101" s="144">
        <f>COUNTA('Original-WebNLG'!H103,'WebNLG Combined OD + ZK'!H102,'WebNLG Combined AB + TCF'!H102)</f>
        <v>1</v>
      </c>
      <c r="O101" s="144">
        <f>COUNTA('Original-WebNLG'!I103,'WebNLG Combined OD + ZK'!I102,'WebNLG Combined AB + TCF'!I102)</f>
        <v>0</v>
      </c>
      <c r="P101" s="151">
        <f t="shared" si="4"/>
        <v>0.3333333333</v>
      </c>
    </row>
    <row r="102">
      <c r="D102" s="151"/>
      <c r="H102" s="151"/>
      <c r="L102" s="151"/>
      <c r="P102" s="151"/>
    </row>
    <row r="103">
      <c r="A103" s="99">
        <f t="shared" ref="A103:C103" si="5">SUM(A2:A101)</f>
        <v>89</v>
      </c>
      <c r="B103" s="99">
        <f t="shared" si="5"/>
        <v>82</v>
      </c>
      <c r="C103" s="99">
        <f t="shared" si="5"/>
        <v>22</v>
      </c>
      <c r="D103" s="151"/>
      <c r="E103" s="99">
        <f t="shared" ref="E103:G103" si="6">SUM(E2:E101)</f>
        <v>111</v>
      </c>
      <c r="F103" s="99">
        <f t="shared" si="6"/>
        <v>77</v>
      </c>
      <c r="G103" s="99">
        <f t="shared" si="6"/>
        <v>13</v>
      </c>
      <c r="H103" s="151"/>
      <c r="I103" s="99">
        <f t="shared" ref="I103:K103" si="7">SUM(I2:I101)</f>
        <v>98</v>
      </c>
      <c r="J103" s="99">
        <f t="shared" si="7"/>
        <v>75</v>
      </c>
      <c r="K103" s="99">
        <f t="shared" si="7"/>
        <v>21</v>
      </c>
      <c r="L103" s="151"/>
      <c r="M103" s="99">
        <f t="shared" ref="M103:O103" si="8">SUM(M2:M101)</f>
        <v>149</v>
      </c>
      <c r="N103" s="99">
        <f t="shared" si="8"/>
        <v>117</v>
      </c>
      <c r="O103" s="99">
        <f t="shared" si="8"/>
        <v>28</v>
      </c>
      <c r="P103" s="151"/>
    </row>
    <row r="104">
      <c r="A104" s="99">
        <f t="shared" ref="A104:C104" si="9">A103/(100*2)</f>
        <v>0.445</v>
      </c>
      <c r="B104" s="99">
        <f t="shared" si="9"/>
        <v>0.41</v>
      </c>
      <c r="C104" s="99">
        <f t="shared" si="9"/>
        <v>0.11</v>
      </c>
      <c r="D104" s="151"/>
      <c r="E104" s="99">
        <f t="shared" ref="E104:G104" si="10">E103/(100*2)</f>
        <v>0.555</v>
      </c>
      <c r="F104" s="99">
        <f t="shared" si="10"/>
        <v>0.385</v>
      </c>
      <c r="G104" s="99">
        <f t="shared" si="10"/>
        <v>0.065</v>
      </c>
      <c r="H104" s="151"/>
      <c r="I104" s="99">
        <f t="shared" ref="I104:K104" si="11">I103/(100*2)</f>
        <v>0.49</v>
      </c>
      <c r="J104" s="99">
        <f t="shared" si="11"/>
        <v>0.375</v>
      </c>
      <c r="K104" s="99">
        <f t="shared" si="11"/>
        <v>0.105</v>
      </c>
      <c r="L104" s="151"/>
      <c r="M104" s="99">
        <f t="shared" ref="M104:O104" si="12">M103/(100*3)</f>
        <v>0.4966666667</v>
      </c>
      <c r="N104" s="99">
        <f t="shared" si="12"/>
        <v>0.39</v>
      </c>
      <c r="O104" s="99">
        <f t="shared" si="12"/>
        <v>0.09333333333</v>
      </c>
      <c r="P104" s="151"/>
    </row>
    <row r="105">
      <c r="D105" s="151"/>
      <c r="H105" s="151"/>
      <c r="L105" s="151"/>
      <c r="P105" s="151"/>
    </row>
    <row r="106">
      <c r="A106" s="98" t="s">
        <v>1037</v>
      </c>
      <c r="B106" s="99">
        <f>SUM(D2:D101)/COUNT(D2:D101)</f>
        <v>0.465</v>
      </c>
      <c r="D106" s="151"/>
      <c r="E106" s="98" t="s">
        <v>1037</v>
      </c>
      <c r="F106" s="99">
        <f>SUM(H2:H101)/COUNT(H2:H101)</f>
        <v>0.745</v>
      </c>
      <c r="H106" s="151"/>
      <c r="I106" s="98" t="s">
        <v>1037</v>
      </c>
      <c r="J106" s="99">
        <f>SUM(L2:L101)/COUNT(L2:L101)</f>
        <v>0.46</v>
      </c>
      <c r="L106" s="151"/>
      <c r="M106" s="98" t="s">
        <v>1037</v>
      </c>
      <c r="N106" s="99">
        <f>SUM(P2:P101)/COUNT(P2:P101)</f>
        <v>0.5666666667</v>
      </c>
      <c r="P106" s="151"/>
    </row>
    <row r="107">
      <c r="A107" s="98" t="s">
        <v>1038</v>
      </c>
      <c r="B107" s="99">
        <f>(A104^2+B104^2+C104^2)</f>
        <v>0.378225</v>
      </c>
      <c r="D107" s="151"/>
      <c r="E107" s="98" t="s">
        <v>1038</v>
      </c>
      <c r="F107" s="99">
        <f>(E104^2+F104^2+G104^2)</f>
        <v>0.460475</v>
      </c>
      <c r="H107" s="151"/>
      <c r="I107" s="98" t="s">
        <v>1038</v>
      </c>
      <c r="J107" s="99">
        <f>(I104^2+J104^2+K104^2)</f>
        <v>0.39175</v>
      </c>
      <c r="L107" s="151"/>
      <c r="M107" s="98" t="s">
        <v>1038</v>
      </c>
      <c r="N107" s="99">
        <f>(M104^2+N104^2+O104^2)</f>
        <v>0.4074888889</v>
      </c>
      <c r="P107" s="151"/>
    </row>
    <row r="108">
      <c r="A108" s="98" t="s">
        <v>1039</v>
      </c>
      <c r="B108" s="99">
        <f>(B106-B107)/(1-B107)</f>
        <v>0.1395601303</v>
      </c>
      <c r="D108" s="151"/>
      <c r="E108" s="98" t="s">
        <v>1039</v>
      </c>
      <c r="F108" s="99">
        <f>(F106-F107)/(1-F107)</f>
        <v>0.5273620314</v>
      </c>
      <c r="H108" s="151"/>
      <c r="I108" s="98" t="s">
        <v>1039</v>
      </c>
      <c r="J108" s="99">
        <f>(J106-J107)/(1-J107)</f>
        <v>0.1122071517</v>
      </c>
      <c r="L108" s="151"/>
      <c r="M108" s="98" t="s">
        <v>1039</v>
      </c>
      <c r="N108" s="99">
        <f>(N106-N107)/(1-N107)</f>
        <v>0.2686494393</v>
      </c>
      <c r="P108" s="151"/>
    </row>
    <row r="110">
      <c r="A110" s="98" t="s">
        <v>1040</v>
      </c>
      <c r="B110" s="99">
        <f>COUNTIF(D2:D101,"1")</f>
        <v>50</v>
      </c>
      <c r="E110" s="98" t="s">
        <v>1040</v>
      </c>
      <c r="F110" s="144">
        <f>COUNTIF(H2:H101,"1")</f>
        <v>73</v>
      </c>
      <c r="I110" s="98" t="s">
        <v>1040</v>
      </c>
      <c r="J110" s="144">
        <f>COUNTIF(L2:L101,"1")</f>
        <v>48</v>
      </c>
      <c r="M110" s="98" t="s">
        <v>1040</v>
      </c>
      <c r="N110" s="144">
        <f>COUNTIF(P2:P101,"1")</f>
        <v>40</v>
      </c>
    </row>
  </sheetData>
  <mergeCells count="4">
    <mergeCell ref="A1:C1"/>
    <mergeCell ref="E1:G1"/>
    <mergeCell ref="I1:K1"/>
    <mergeCell ref="M1:O1"/>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8" t="s">
        <v>1041</v>
      </c>
      <c r="B1" s="98" t="s">
        <v>1042</v>
      </c>
      <c r="C1" s="98" t="s">
        <v>1015</v>
      </c>
      <c r="D1" s="98" t="s">
        <v>1016</v>
      </c>
      <c r="E1" s="98" t="s">
        <v>1017</v>
      </c>
    </row>
    <row r="2">
      <c r="B2" s="99">
        <f>'Original-E2E'!A4</f>
        <v>2</v>
      </c>
      <c r="C2" s="99">
        <f>IF('Original-E2E'!J4="x",1,0)</f>
        <v>0</v>
      </c>
      <c r="D2" s="99">
        <f>IF('E2E Combined OD + ZK'!J3="x",1,0)</f>
        <v>0</v>
      </c>
      <c r="E2" s="99">
        <f>IF('E2E Combined AB + TCF'!J3="x",1,0)</f>
        <v>0</v>
      </c>
    </row>
    <row r="3">
      <c r="B3" s="99">
        <f>'Original-E2E'!A5</f>
        <v>3</v>
      </c>
      <c r="C3" s="99">
        <f>IF('Original-E2E'!J5="x",1,0)</f>
        <v>0</v>
      </c>
      <c r="D3" s="99">
        <f>IF('E2E Combined OD + ZK'!J4="x",1,0)</f>
        <v>0</v>
      </c>
      <c r="E3" s="99">
        <f>IF('E2E Combined AB + TCF'!J4="x",1,0)</f>
        <v>0</v>
      </c>
    </row>
    <row r="4">
      <c r="B4" s="99">
        <f>'Original-E2E'!A6</f>
        <v>4</v>
      </c>
      <c r="C4" s="99">
        <f>IF('Original-E2E'!J6="x",1,0)</f>
        <v>0</v>
      </c>
      <c r="D4" s="99">
        <f>IF('E2E Combined OD + ZK'!J5="x",1,0)</f>
        <v>0</v>
      </c>
      <c r="E4" s="99">
        <f>IF('E2E Combined AB + TCF'!J5="x",1,0)</f>
        <v>0</v>
      </c>
    </row>
    <row r="5">
      <c r="B5" s="99">
        <f>'Original-E2E'!A7</f>
        <v>5</v>
      </c>
      <c r="C5" s="99">
        <f>IF('Original-E2E'!J7="x",1,0)</f>
        <v>0</v>
      </c>
      <c r="D5" s="99">
        <f>IF('E2E Combined OD + ZK'!J6="x",1,0)</f>
        <v>0</v>
      </c>
      <c r="E5" s="99">
        <f>IF('E2E Combined AB + TCF'!J6="x",1,0)</f>
        <v>0</v>
      </c>
    </row>
    <row r="6">
      <c r="B6" s="99">
        <f>'Original-E2E'!A8</f>
        <v>6</v>
      </c>
      <c r="C6" s="99">
        <f>IF('Original-E2E'!J8="x",1,0)</f>
        <v>0</v>
      </c>
      <c r="D6" s="99">
        <f>IF('E2E Combined OD + ZK'!J7="x",1,0)</f>
        <v>0</v>
      </c>
      <c r="E6" s="99">
        <f>IF('E2E Combined AB + TCF'!J7="x",1,0)</f>
        <v>0</v>
      </c>
    </row>
    <row r="7">
      <c r="B7" s="99">
        <f>'Original-E2E'!A9</f>
        <v>7</v>
      </c>
      <c r="C7" s="99">
        <f>IF('Original-E2E'!J9="x",1,0)</f>
        <v>0</v>
      </c>
      <c r="D7" s="99">
        <f>IF('E2E Combined OD + ZK'!J8="x",1,0)</f>
        <v>0</v>
      </c>
      <c r="E7" s="99">
        <f>IF('E2E Combined AB + TCF'!J8="x",1,0)</f>
        <v>0</v>
      </c>
    </row>
    <row r="8">
      <c r="B8" s="99">
        <f>'Original-E2E'!A10</f>
        <v>8</v>
      </c>
      <c r="C8" s="99">
        <f>IF('Original-E2E'!J10="x",1,0)</f>
        <v>0</v>
      </c>
      <c r="D8" s="99">
        <f>IF('E2E Combined OD + ZK'!J9="x",1,0)</f>
        <v>0</v>
      </c>
      <c r="E8" s="99">
        <f>IF('E2E Combined AB + TCF'!J9="x",1,0)</f>
        <v>0</v>
      </c>
    </row>
    <row r="9">
      <c r="B9" s="99">
        <f>'Original-E2E'!A11</f>
        <v>9</v>
      </c>
      <c r="C9" s="99">
        <f>IF('Original-E2E'!J11="x",1,0)</f>
        <v>1</v>
      </c>
      <c r="D9" s="99">
        <f>IF('E2E Combined OD + ZK'!J10="x",1,0)</f>
        <v>1</v>
      </c>
      <c r="E9" s="99">
        <f>IF('E2E Combined AB + TCF'!J10="x",1,0)</f>
        <v>0</v>
      </c>
    </row>
    <row r="10">
      <c r="B10" s="99">
        <f>'Original-E2E'!A12</f>
        <v>10</v>
      </c>
      <c r="C10" s="99">
        <f>IF('Original-E2E'!J12="x",1,0)</f>
        <v>0</v>
      </c>
      <c r="D10" s="99">
        <f>IF('E2E Combined OD + ZK'!J11="x",1,0)</f>
        <v>0</v>
      </c>
      <c r="E10" s="99">
        <f>IF('E2E Combined AB + TCF'!J11="x",1,0)</f>
        <v>0</v>
      </c>
    </row>
    <row r="11">
      <c r="B11" s="99">
        <f>'Original-E2E'!A13</f>
        <v>11</v>
      </c>
      <c r="C11" s="99">
        <f>IF('Original-E2E'!J13="x",1,0)</f>
        <v>0</v>
      </c>
      <c r="D11" s="99">
        <f>IF('E2E Combined OD + ZK'!J12="x",1,0)</f>
        <v>0</v>
      </c>
      <c r="E11" s="99">
        <f>IF('E2E Combined AB + TCF'!J12="x",1,0)</f>
        <v>0</v>
      </c>
    </row>
    <row r="12">
      <c r="B12" s="99">
        <f>'Original-E2E'!A14</f>
        <v>12</v>
      </c>
      <c r="C12" s="99">
        <f>IF('Original-E2E'!J14="x",1,0)</f>
        <v>0</v>
      </c>
      <c r="D12" s="99">
        <f>IF('E2E Combined OD + ZK'!J13="x",1,0)</f>
        <v>0</v>
      </c>
      <c r="E12" s="99">
        <f>IF('E2E Combined AB + TCF'!J13="x",1,0)</f>
        <v>0</v>
      </c>
    </row>
    <row r="13">
      <c r="B13" s="99">
        <f>'Original-E2E'!A15</f>
        <v>13</v>
      </c>
      <c r="C13" s="99">
        <f>IF('Original-E2E'!J15="x",1,0)</f>
        <v>0</v>
      </c>
      <c r="D13" s="99">
        <f>IF('E2E Combined OD + ZK'!J14="x",1,0)</f>
        <v>0</v>
      </c>
      <c r="E13" s="99">
        <f>IF('E2E Combined AB + TCF'!J14="x",1,0)</f>
        <v>0</v>
      </c>
    </row>
    <row r="14">
      <c r="B14" s="99">
        <f>'Original-E2E'!A16</f>
        <v>14</v>
      </c>
      <c r="C14" s="99">
        <f>IF('Original-E2E'!J16="x",1,0)</f>
        <v>0</v>
      </c>
      <c r="D14" s="99">
        <f>IF('E2E Combined OD + ZK'!J15="x",1,0)</f>
        <v>0</v>
      </c>
      <c r="E14" s="99">
        <f>IF('E2E Combined AB + TCF'!J15="x",1,0)</f>
        <v>0</v>
      </c>
    </row>
    <row r="15">
      <c r="B15" s="99">
        <f>'Original-E2E'!A17</f>
        <v>15</v>
      </c>
      <c r="C15" s="99">
        <f>IF('Original-E2E'!J17="x",1,0)</f>
        <v>0</v>
      </c>
      <c r="D15" s="99">
        <f>IF('E2E Combined OD + ZK'!J16="x",1,0)</f>
        <v>0</v>
      </c>
      <c r="E15" s="99">
        <f>IF('E2E Combined AB + TCF'!J16="x",1,0)</f>
        <v>0</v>
      </c>
    </row>
    <row r="16">
      <c r="B16" s="99">
        <f>'Original-E2E'!A18</f>
        <v>16</v>
      </c>
      <c r="C16" s="99">
        <f>IF('Original-E2E'!J18="x",1,0)</f>
        <v>0</v>
      </c>
      <c r="D16" s="99">
        <f>IF('E2E Combined OD + ZK'!J17="x",1,0)</f>
        <v>0</v>
      </c>
      <c r="E16" s="99">
        <f>IF('E2E Combined AB + TCF'!J17="x",1,0)</f>
        <v>0</v>
      </c>
    </row>
    <row r="17">
      <c r="B17" s="99">
        <f>'Original-E2E'!A19</f>
        <v>17</v>
      </c>
      <c r="C17" s="99">
        <f>IF('Original-E2E'!J19="x",1,0)</f>
        <v>0</v>
      </c>
      <c r="D17" s="99">
        <f>IF('E2E Combined OD + ZK'!J18="x",1,0)</f>
        <v>0</v>
      </c>
      <c r="E17" s="99">
        <f>IF('E2E Combined AB + TCF'!J18="x",1,0)</f>
        <v>0</v>
      </c>
    </row>
    <row r="18">
      <c r="B18" s="99">
        <f>'Original-E2E'!A20</f>
        <v>18</v>
      </c>
      <c r="C18" s="99">
        <f>IF('Original-E2E'!J20="x",1,0)</f>
        <v>0</v>
      </c>
      <c r="D18" s="99">
        <f>IF('E2E Combined OD + ZK'!J19="x",1,0)</f>
        <v>0</v>
      </c>
      <c r="E18" s="99">
        <f>IF('E2E Combined AB + TCF'!J19="x",1,0)</f>
        <v>0</v>
      </c>
    </row>
    <row r="19">
      <c r="B19" s="99">
        <f>'Original-E2E'!A21</f>
        <v>19</v>
      </c>
      <c r="C19" s="99">
        <f>IF('Original-E2E'!J21="x",1,0)</f>
        <v>0</v>
      </c>
      <c r="D19" s="99">
        <f>IF('E2E Combined OD + ZK'!J20="x",1,0)</f>
        <v>0</v>
      </c>
      <c r="E19" s="99">
        <f>IF('E2E Combined AB + TCF'!J20="x",1,0)</f>
        <v>0</v>
      </c>
    </row>
    <row r="20">
      <c r="B20" s="99">
        <f>'Original-E2E'!A22</f>
        <v>20</v>
      </c>
      <c r="C20" s="99">
        <f>IF('Original-E2E'!J22="x",1,0)</f>
        <v>0</v>
      </c>
      <c r="D20" s="99">
        <f>IF('E2E Combined OD + ZK'!J21="x",1,0)</f>
        <v>0</v>
      </c>
      <c r="E20" s="99">
        <f>IF('E2E Combined AB + TCF'!J21="x",1,0)</f>
        <v>0</v>
      </c>
    </row>
    <row r="21">
      <c r="B21" s="99">
        <f>'Original-E2E'!A23</f>
        <v>21</v>
      </c>
      <c r="C21" s="99">
        <f>IF('Original-E2E'!J23="x",1,0)</f>
        <v>0</v>
      </c>
      <c r="D21" s="99">
        <f>IF('E2E Combined OD + ZK'!J22="x",1,0)</f>
        <v>0</v>
      </c>
      <c r="E21" s="99">
        <f>IF('E2E Combined AB + TCF'!J22="x",1,0)</f>
        <v>0</v>
      </c>
    </row>
    <row r="22">
      <c r="B22" s="99">
        <f>'Original-E2E'!A24</f>
        <v>22</v>
      </c>
      <c r="C22" s="99">
        <f>IF('Original-E2E'!J24="x",1,0)</f>
        <v>0</v>
      </c>
      <c r="D22" s="99">
        <f>IF('E2E Combined OD + ZK'!J23="x",1,0)</f>
        <v>0</v>
      </c>
      <c r="E22" s="99">
        <f>IF('E2E Combined AB + TCF'!J23="x",1,0)</f>
        <v>0</v>
      </c>
    </row>
    <row r="23">
      <c r="B23" s="99">
        <f>'Original-E2E'!A25</f>
        <v>23</v>
      </c>
      <c r="C23" s="99">
        <f>IF('Original-E2E'!J25="x",1,0)</f>
        <v>0</v>
      </c>
      <c r="D23" s="99">
        <f>IF('E2E Combined OD + ZK'!J24="x",1,0)</f>
        <v>0</v>
      </c>
      <c r="E23" s="99">
        <f>IF('E2E Combined AB + TCF'!J24="x",1,0)</f>
        <v>0</v>
      </c>
    </row>
    <row r="24">
      <c r="B24" s="99">
        <f>'Original-E2E'!A26</f>
        <v>24</v>
      </c>
      <c r="C24" s="99">
        <f>IF('Original-E2E'!J26="x",1,0)</f>
        <v>0</v>
      </c>
      <c r="D24" s="99">
        <f>IF('E2E Combined OD + ZK'!J25="x",1,0)</f>
        <v>1</v>
      </c>
      <c r="E24" s="99">
        <f>IF('E2E Combined AB + TCF'!J25="x",1,0)</f>
        <v>1</v>
      </c>
    </row>
    <row r="25">
      <c r="B25" s="99">
        <f>'Original-E2E'!A27</f>
        <v>25</v>
      </c>
      <c r="C25" s="99">
        <f>IF('Original-E2E'!J27="x",1,0)</f>
        <v>0</v>
      </c>
      <c r="D25" s="99">
        <f>IF('E2E Combined OD + ZK'!J26="x",1,0)</f>
        <v>0</v>
      </c>
      <c r="E25" s="99">
        <f>IF('E2E Combined AB + TCF'!J26="x",1,0)</f>
        <v>0</v>
      </c>
    </row>
    <row r="26">
      <c r="B26" s="99">
        <f>'Original-E2E'!A28</f>
        <v>27</v>
      </c>
      <c r="C26" s="99">
        <f>IF('Original-E2E'!J28="x",1,0)</f>
        <v>0</v>
      </c>
      <c r="D26" s="99">
        <f>IF('E2E Combined OD + ZK'!J27="x",1,0)</f>
        <v>0</v>
      </c>
      <c r="E26" s="99">
        <f>IF('E2E Combined AB + TCF'!J27="x",1,0)</f>
        <v>0</v>
      </c>
    </row>
    <row r="27">
      <c r="B27" s="99">
        <f>'Original-E2E'!A29</f>
        <v>28</v>
      </c>
      <c r="C27" s="99">
        <f>IF('Original-E2E'!J29="x",1,0)</f>
        <v>0</v>
      </c>
      <c r="D27" s="99">
        <f>IF('E2E Combined OD + ZK'!J28="x",1,0)</f>
        <v>0</v>
      </c>
      <c r="E27" s="99">
        <f>IF('E2E Combined AB + TCF'!J28="x",1,0)</f>
        <v>0</v>
      </c>
    </row>
    <row r="28">
      <c r="B28" s="99">
        <f>'Original-E2E'!A30</f>
        <v>29</v>
      </c>
      <c r="C28" s="99">
        <f>IF('Original-E2E'!J30="x",1,0)</f>
        <v>0</v>
      </c>
      <c r="D28" s="99">
        <f>IF('E2E Combined OD + ZK'!J29="x",1,0)</f>
        <v>0</v>
      </c>
      <c r="E28" s="99">
        <f>IF('E2E Combined AB + TCF'!J29="x",1,0)</f>
        <v>0</v>
      </c>
    </row>
    <row r="29">
      <c r="B29" s="99">
        <f>'Original-E2E'!A31</f>
        <v>30</v>
      </c>
      <c r="C29" s="99">
        <f>IF('Original-E2E'!J31="x",1,0)</f>
        <v>0</v>
      </c>
      <c r="D29" s="99">
        <f>IF('E2E Combined OD + ZK'!J30="x",1,0)</f>
        <v>0</v>
      </c>
      <c r="E29" s="99">
        <f>IF('E2E Combined AB + TCF'!J30="x",1,0)</f>
        <v>0</v>
      </c>
    </row>
    <row r="30">
      <c r="B30" s="99">
        <f>'Original-E2E'!A32</f>
        <v>31</v>
      </c>
      <c r="C30" s="99">
        <f>IF('Original-E2E'!J32="x",1,0)</f>
        <v>0</v>
      </c>
      <c r="D30" s="99">
        <f>IF('E2E Combined OD + ZK'!J31="x",1,0)</f>
        <v>0</v>
      </c>
      <c r="E30" s="99">
        <f>IF('E2E Combined AB + TCF'!J31="x",1,0)</f>
        <v>0</v>
      </c>
    </row>
    <row r="31">
      <c r="B31" s="99">
        <f>'Original-E2E'!A33</f>
        <v>33</v>
      </c>
      <c r="C31" s="99">
        <f>IF('Original-E2E'!J33="x",1,0)</f>
        <v>0</v>
      </c>
      <c r="D31" s="99">
        <f>IF('E2E Combined OD + ZK'!J32="x",1,0)</f>
        <v>0</v>
      </c>
      <c r="E31" s="99">
        <f>IF('E2E Combined AB + TCF'!J32="x",1,0)</f>
        <v>0</v>
      </c>
    </row>
    <row r="32">
      <c r="B32" s="99">
        <f>'Original-E2E'!A34</f>
        <v>34</v>
      </c>
      <c r="C32" s="99">
        <f>IF('Original-E2E'!J34="x",1,0)</f>
        <v>0</v>
      </c>
      <c r="D32" s="99">
        <f>IF('E2E Combined OD + ZK'!J33="x",1,0)</f>
        <v>0</v>
      </c>
      <c r="E32" s="99">
        <f>IF('E2E Combined AB + TCF'!J33="x",1,0)</f>
        <v>0</v>
      </c>
    </row>
    <row r="33">
      <c r="B33" s="99">
        <f>'Original-E2E'!A35</f>
        <v>36</v>
      </c>
      <c r="C33" s="99">
        <f>IF('Original-E2E'!J35="x",1,0)</f>
        <v>0</v>
      </c>
      <c r="D33" s="99">
        <f>IF('E2E Combined OD + ZK'!J34="x",1,0)</f>
        <v>0</v>
      </c>
      <c r="E33" s="99">
        <f>IF('E2E Combined AB + TCF'!J34="x",1,0)</f>
        <v>0</v>
      </c>
    </row>
    <row r="34">
      <c r="B34" s="99">
        <f>'Original-E2E'!A36</f>
        <v>37</v>
      </c>
      <c r="C34" s="99">
        <f>IF('Original-E2E'!J36="x",1,0)</f>
        <v>0</v>
      </c>
      <c r="D34" s="99">
        <f>IF('E2E Combined OD + ZK'!J35="x",1,0)</f>
        <v>0</v>
      </c>
      <c r="E34" s="99">
        <f>IF('E2E Combined AB + TCF'!J35="x",1,0)</f>
        <v>0</v>
      </c>
    </row>
    <row r="35">
      <c r="B35" s="99">
        <f>'Original-E2E'!A37</f>
        <v>38</v>
      </c>
      <c r="C35" s="99">
        <f>IF('Original-E2E'!J37="x",1,0)</f>
        <v>0</v>
      </c>
      <c r="D35" s="99">
        <f>IF('E2E Combined OD + ZK'!J36="x",1,0)</f>
        <v>0</v>
      </c>
      <c r="E35" s="99">
        <f>IF('E2E Combined AB + TCF'!J36="x",1,0)</f>
        <v>0</v>
      </c>
    </row>
    <row r="36">
      <c r="B36" s="99">
        <f>'Original-E2E'!A38</f>
        <v>40</v>
      </c>
      <c r="C36" s="99">
        <f>IF('Original-E2E'!J38="x",1,0)</f>
        <v>0</v>
      </c>
      <c r="D36" s="99">
        <f>IF('E2E Combined OD + ZK'!J37="x",1,0)</f>
        <v>0</v>
      </c>
      <c r="E36" s="99">
        <f>IF('E2E Combined AB + TCF'!J37="x",1,0)</f>
        <v>0</v>
      </c>
    </row>
    <row r="37">
      <c r="B37" s="99">
        <f>'Original-E2E'!A39</f>
        <v>41</v>
      </c>
      <c r="C37" s="99">
        <f>IF('Original-E2E'!J39="x",1,0)</f>
        <v>0</v>
      </c>
      <c r="D37" s="99">
        <f>IF('E2E Combined OD + ZK'!J38="x",1,0)</f>
        <v>0</v>
      </c>
      <c r="E37" s="99">
        <f>IF('E2E Combined AB + TCF'!J38="x",1,0)</f>
        <v>0</v>
      </c>
    </row>
    <row r="38">
      <c r="B38" s="99">
        <f>'Original-E2E'!A40</f>
        <v>42</v>
      </c>
      <c r="C38" s="99">
        <f>IF('Original-E2E'!J40="x",1,0)</f>
        <v>0</v>
      </c>
      <c r="D38" s="99">
        <f>IF('E2E Combined OD + ZK'!J39="x",1,0)</f>
        <v>0</v>
      </c>
      <c r="E38" s="99">
        <f>IF('E2E Combined AB + TCF'!J39="x",1,0)</f>
        <v>0</v>
      </c>
    </row>
    <row r="39">
      <c r="B39" s="99">
        <f>'Original-E2E'!A41</f>
        <v>43</v>
      </c>
      <c r="C39" s="99">
        <f>IF('Original-E2E'!J41="x",1,0)</f>
        <v>1</v>
      </c>
      <c r="D39" s="99">
        <f>IF('E2E Combined OD + ZK'!J40="x",1,0)</f>
        <v>1</v>
      </c>
      <c r="E39" s="99">
        <f>IF('E2E Combined AB + TCF'!J40="x",1,0)</f>
        <v>0</v>
      </c>
    </row>
    <row r="40">
      <c r="B40" s="99">
        <f>'Original-E2E'!A42</f>
        <v>44</v>
      </c>
      <c r="C40" s="99">
        <f>IF('Original-E2E'!J42="x",1,0)</f>
        <v>0</v>
      </c>
      <c r="D40" s="99">
        <f>IF('E2E Combined OD + ZK'!J41="x",1,0)</f>
        <v>0</v>
      </c>
      <c r="E40" s="99">
        <f>IF('E2E Combined AB + TCF'!J41="x",1,0)</f>
        <v>0</v>
      </c>
    </row>
    <row r="41">
      <c r="B41" s="99">
        <f>'Original-E2E'!A43</f>
        <v>45</v>
      </c>
      <c r="C41" s="99">
        <f>IF('Original-E2E'!J43="x",1,0)</f>
        <v>0</v>
      </c>
      <c r="D41" s="99">
        <f>IF('E2E Combined OD + ZK'!J42="x",1,0)</f>
        <v>0</v>
      </c>
      <c r="E41" s="99">
        <f>IF('E2E Combined AB + TCF'!J42="x",1,0)</f>
        <v>0</v>
      </c>
    </row>
    <row r="42">
      <c r="B42" s="99">
        <f>'Original-E2E'!A44</f>
        <v>46</v>
      </c>
      <c r="C42" s="99">
        <f>IF('Original-E2E'!J44="x",1,0)</f>
        <v>0</v>
      </c>
      <c r="D42" s="99">
        <f>IF('E2E Combined OD + ZK'!J43="x",1,0)</f>
        <v>0</v>
      </c>
      <c r="E42" s="99">
        <f>IF('E2E Combined AB + TCF'!J43="x",1,0)</f>
        <v>0</v>
      </c>
    </row>
    <row r="43">
      <c r="B43" s="99">
        <f>'Original-E2E'!A45</f>
        <v>47</v>
      </c>
      <c r="C43" s="99">
        <f>IF('Original-E2E'!J45="x",1,0)</f>
        <v>0</v>
      </c>
      <c r="D43" s="99">
        <f>IF('E2E Combined OD + ZK'!J44="x",1,0)</f>
        <v>0</v>
      </c>
      <c r="E43" s="99">
        <f>IF('E2E Combined AB + TCF'!J44="x",1,0)</f>
        <v>0</v>
      </c>
    </row>
    <row r="44">
      <c r="B44" s="99">
        <f>'Original-E2E'!A46</f>
        <v>48</v>
      </c>
      <c r="C44" s="99">
        <f>IF('Original-E2E'!J46="x",1,0)</f>
        <v>1</v>
      </c>
      <c r="D44" s="99">
        <f>IF('E2E Combined OD + ZK'!J45="x",1,0)</f>
        <v>1</v>
      </c>
      <c r="E44" s="99">
        <f>IF('E2E Combined AB + TCF'!J45="x",1,0)</f>
        <v>1</v>
      </c>
    </row>
    <row r="45">
      <c r="B45" s="99">
        <f>'Original-E2E'!A47</f>
        <v>49</v>
      </c>
      <c r="C45" s="99">
        <f>IF('Original-E2E'!J47="x",1,0)</f>
        <v>0</v>
      </c>
      <c r="D45" s="99">
        <f>IF('E2E Combined OD + ZK'!J46="x",1,0)</f>
        <v>0</v>
      </c>
      <c r="E45" s="99">
        <f>IF('E2E Combined AB + TCF'!J46="x",1,0)</f>
        <v>0</v>
      </c>
    </row>
    <row r="46">
      <c r="B46" s="99">
        <f>'Original-E2E'!A48</f>
        <v>51</v>
      </c>
      <c r="C46" s="99">
        <f>IF('Original-E2E'!J48="x",1,0)</f>
        <v>0</v>
      </c>
      <c r="D46" s="99">
        <f>IF('E2E Combined OD + ZK'!J47="x",1,0)</f>
        <v>0</v>
      </c>
      <c r="E46" s="99">
        <f>IF('E2E Combined AB + TCF'!J47="x",1,0)</f>
        <v>0</v>
      </c>
    </row>
    <row r="47">
      <c r="B47" s="99">
        <f>'Original-E2E'!A49</f>
        <v>52</v>
      </c>
      <c r="C47" s="99">
        <f>IF('Original-E2E'!J49="x",1,0)</f>
        <v>0</v>
      </c>
      <c r="D47" s="99">
        <f>IF('E2E Combined OD + ZK'!J48="x",1,0)</f>
        <v>0</v>
      </c>
      <c r="E47" s="99">
        <f>IF('E2E Combined AB + TCF'!J48="x",1,0)</f>
        <v>0</v>
      </c>
    </row>
    <row r="48">
      <c r="B48" s="99">
        <f>'Original-E2E'!A50</f>
        <v>54</v>
      </c>
      <c r="C48" s="99">
        <f>IF('Original-E2E'!J50="x",1,0)</f>
        <v>0</v>
      </c>
      <c r="D48" s="99">
        <f>IF('E2E Combined OD + ZK'!J49="x",1,0)</f>
        <v>0</v>
      </c>
      <c r="E48" s="99">
        <f>IF('E2E Combined AB + TCF'!J49="x",1,0)</f>
        <v>0</v>
      </c>
    </row>
    <row r="49">
      <c r="B49" s="99">
        <f>'Original-E2E'!A51</f>
        <v>55</v>
      </c>
      <c r="C49" s="99">
        <f>IF('Original-E2E'!J51="x",1,0)</f>
        <v>0</v>
      </c>
      <c r="D49" s="99">
        <f>IF('E2E Combined OD + ZK'!J50="x",1,0)</f>
        <v>0</v>
      </c>
      <c r="E49" s="99">
        <f>IF('E2E Combined AB + TCF'!J50="x",1,0)</f>
        <v>0</v>
      </c>
    </row>
    <row r="50">
      <c r="B50" s="99">
        <f>'Original-E2E'!A52</f>
        <v>56</v>
      </c>
      <c r="C50" s="99">
        <f>IF('Original-E2E'!J52="x",1,0)</f>
        <v>0</v>
      </c>
      <c r="D50" s="99">
        <f>IF('E2E Combined OD + ZK'!J51="x",1,0)</f>
        <v>0</v>
      </c>
      <c r="E50" s="99">
        <f>IF('E2E Combined AB + TCF'!J51="x",1,0)</f>
        <v>0</v>
      </c>
    </row>
    <row r="51">
      <c r="B51" s="99">
        <f>'Original-E2E'!A53</f>
        <v>57</v>
      </c>
      <c r="C51" s="99">
        <f>IF('Original-E2E'!J53="x",1,0)</f>
        <v>0</v>
      </c>
      <c r="D51" s="99">
        <f>IF('E2E Combined OD + ZK'!J52="x",1,0)</f>
        <v>0</v>
      </c>
      <c r="E51" s="99">
        <f>IF('E2E Combined AB + TCF'!J52="x",1,0)</f>
        <v>0</v>
      </c>
    </row>
    <row r="52">
      <c r="B52" s="99">
        <f>'Original-E2E'!A54</f>
        <v>58</v>
      </c>
      <c r="C52" s="99">
        <f>IF('Original-E2E'!J54="x",1,0)</f>
        <v>0</v>
      </c>
      <c r="D52" s="99">
        <f>IF('E2E Combined OD + ZK'!J53="x",1,0)</f>
        <v>0</v>
      </c>
      <c r="E52" s="99">
        <f>IF('E2E Combined AB + TCF'!J53="x",1,0)</f>
        <v>0</v>
      </c>
    </row>
    <row r="53">
      <c r="B53" s="99">
        <f>'Original-E2E'!A55</f>
        <v>59</v>
      </c>
      <c r="C53" s="99">
        <f>IF('Original-E2E'!J55="x",1,0)</f>
        <v>0</v>
      </c>
      <c r="D53" s="99">
        <f>IF('E2E Combined OD + ZK'!J54="x",1,0)</f>
        <v>0</v>
      </c>
      <c r="E53" s="99">
        <f>IF('E2E Combined AB + TCF'!J54="x",1,0)</f>
        <v>0</v>
      </c>
    </row>
    <row r="54">
      <c r="B54" s="99">
        <f>'Original-E2E'!A56</f>
        <v>61</v>
      </c>
      <c r="C54" s="99">
        <f>IF('Original-E2E'!J56="x",1,0)</f>
        <v>0</v>
      </c>
      <c r="D54" s="99">
        <f>IF('E2E Combined OD + ZK'!J55="x",1,0)</f>
        <v>0</v>
      </c>
      <c r="E54" s="99">
        <f>IF('E2E Combined AB + TCF'!J55="x",1,0)</f>
        <v>1</v>
      </c>
    </row>
    <row r="55">
      <c r="B55" s="99">
        <f>'Original-E2E'!A57</f>
        <v>62</v>
      </c>
      <c r="C55" s="99">
        <f>IF('Original-E2E'!J57="x",1,0)</f>
        <v>0</v>
      </c>
      <c r="D55" s="99">
        <f>IF('E2E Combined OD + ZK'!J56="x",1,0)</f>
        <v>0</v>
      </c>
      <c r="E55" s="99">
        <f>IF('E2E Combined AB + TCF'!J56="x",1,0)</f>
        <v>0</v>
      </c>
    </row>
    <row r="56">
      <c r="B56" s="99">
        <f>'Original-E2E'!A58</f>
        <v>63</v>
      </c>
      <c r="C56" s="99">
        <f>IF('Original-E2E'!J58="x",1,0)</f>
        <v>0</v>
      </c>
      <c r="D56" s="99">
        <f>IF('E2E Combined OD + ZK'!J57="x",1,0)</f>
        <v>0</v>
      </c>
      <c r="E56" s="99">
        <f>IF('E2E Combined AB + TCF'!J57="x",1,0)</f>
        <v>0</v>
      </c>
    </row>
    <row r="57">
      <c r="B57" s="99">
        <f>'Original-E2E'!A59</f>
        <v>64</v>
      </c>
      <c r="C57" s="99">
        <f>IF('Original-E2E'!J59="x",1,0)</f>
        <v>0</v>
      </c>
      <c r="D57" s="99">
        <f>IF('E2E Combined OD + ZK'!J58="x",1,0)</f>
        <v>0</v>
      </c>
      <c r="E57" s="99">
        <f>IF('E2E Combined AB + TCF'!J58="x",1,0)</f>
        <v>0</v>
      </c>
    </row>
    <row r="58">
      <c r="B58" s="99">
        <f>'Original-E2E'!A60</f>
        <v>66</v>
      </c>
      <c r="C58" s="99">
        <f>IF('Original-E2E'!J60="x",1,0)</f>
        <v>0</v>
      </c>
      <c r="D58" s="99">
        <f>IF('E2E Combined OD + ZK'!J59="x",1,0)</f>
        <v>0</v>
      </c>
      <c r="E58" s="99">
        <f>IF('E2E Combined AB + TCF'!J59="x",1,0)</f>
        <v>0</v>
      </c>
    </row>
    <row r="59">
      <c r="B59" s="99">
        <f>'Original-E2E'!A61</f>
        <v>67</v>
      </c>
      <c r="C59" s="99">
        <f>IF('Original-E2E'!J61="x",1,0)</f>
        <v>0</v>
      </c>
      <c r="D59" s="99">
        <f>IF('E2E Combined OD + ZK'!J60="x",1,0)</f>
        <v>0</v>
      </c>
      <c r="E59" s="99">
        <f>IF('E2E Combined AB + TCF'!J60="x",1,0)</f>
        <v>0</v>
      </c>
    </row>
    <row r="60">
      <c r="B60" s="99">
        <f>'Original-E2E'!A62</f>
        <v>69</v>
      </c>
      <c r="C60" s="99">
        <f>IF('Original-E2E'!J62="x",1,0)</f>
        <v>0</v>
      </c>
      <c r="D60" s="99">
        <f>IF('E2E Combined OD + ZK'!J61="x",1,0)</f>
        <v>0</v>
      </c>
      <c r="E60" s="99">
        <f>IF('E2E Combined AB + TCF'!J61="x",1,0)</f>
        <v>0</v>
      </c>
    </row>
    <row r="61">
      <c r="B61" s="99">
        <f>'Original-E2E'!A63</f>
        <v>70</v>
      </c>
      <c r="C61" s="99">
        <f>IF('Original-E2E'!J63="x",1,0)</f>
        <v>0</v>
      </c>
      <c r="D61" s="99">
        <f>IF('E2E Combined OD + ZK'!J62="x",1,0)</f>
        <v>0</v>
      </c>
      <c r="E61" s="99">
        <f>IF('E2E Combined AB + TCF'!J62="x",1,0)</f>
        <v>0</v>
      </c>
    </row>
    <row r="62">
      <c r="B62" s="99">
        <f>'Original-E2E'!A64</f>
        <v>71</v>
      </c>
      <c r="C62" s="99">
        <f>IF('Original-E2E'!J64="x",1,0)</f>
        <v>0</v>
      </c>
      <c r="D62" s="99">
        <f>IF('E2E Combined OD + ZK'!J63="x",1,0)</f>
        <v>0</v>
      </c>
      <c r="E62" s="99">
        <f>IF('E2E Combined AB + TCF'!J63="x",1,0)</f>
        <v>0</v>
      </c>
    </row>
    <row r="63">
      <c r="B63" s="99">
        <f>'Original-E2E'!A65</f>
        <v>72</v>
      </c>
      <c r="C63" s="99">
        <f>IF('Original-E2E'!J65="x",1,0)</f>
        <v>0</v>
      </c>
      <c r="D63" s="99">
        <f>IF('E2E Combined OD + ZK'!J64="x",1,0)</f>
        <v>0</v>
      </c>
      <c r="E63" s="99">
        <f>IF('E2E Combined AB + TCF'!J64="x",1,0)</f>
        <v>0</v>
      </c>
    </row>
    <row r="64">
      <c r="B64" s="99">
        <f>'Original-E2E'!A66</f>
        <v>73</v>
      </c>
      <c r="C64" s="99">
        <f>IF('Original-E2E'!J66="x",1,0)</f>
        <v>0</v>
      </c>
      <c r="D64" s="99">
        <f>IF('E2E Combined OD + ZK'!J65="x",1,0)</f>
        <v>0</v>
      </c>
      <c r="E64" s="99">
        <f>IF('E2E Combined AB + TCF'!J65="x",1,0)</f>
        <v>0</v>
      </c>
    </row>
    <row r="65">
      <c r="B65" s="99">
        <f>'Original-E2E'!A67</f>
        <v>74</v>
      </c>
      <c r="C65" s="99">
        <f>IF('Original-E2E'!J67="x",1,0)</f>
        <v>0</v>
      </c>
      <c r="D65" s="99">
        <f>IF('E2E Combined OD + ZK'!J66="x",1,0)</f>
        <v>0</v>
      </c>
      <c r="E65" s="99">
        <f>IF('E2E Combined AB + TCF'!J66="x",1,0)</f>
        <v>0</v>
      </c>
    </row>
    <row r="66">
      <c r="B66" s="99">
        <f>'Original-E2E'!A68</f>
        <v>75</v>
      </c>
      <c r="C66" s="99">
        <f>IF('Original-E2E'!J68="x",1,0)</f>
        <v>0</v>
      </c>
      <c r="D66" s="99">
        <f>IF('E2E Combined OD + ZK'!J67="x",1,0)</f>
        <v>0</v>
      </c>
      <c r="E66" s="99">
        <f>IF('E2E Combined AB + TCF'!J67="x",1,0)</f>
        <v>0</v>
      </c>
    </row>
    <row r="67">
      <c r="B67" s="99">
        <f>'Original-E2E'!A69</f>
        <v>76</v>
      </c>
      <c r="C67" s="99">
        <f>IF('Original-E2E'!J69="x",1,0)</f>
        <v>0</v>
      </c>
      <c r="D67" s="99">
        <f>IF('E2E Combined OD + ZK'!J68="x",1,0)</f>
        <v>0</v>
      </c>
      <c r="E67" s="99">
        <f>IF('E2E Combined AB + TCF'!J68="x",1,0)</f>
        <v>0</v>
      </c>
    </row>
    <row r="68">
      <c r="B68" s="99">
        <f>'Original-E2E'!A70</f>
        <v>77</v>
      </c>
      <c r="C68" s="99">
        <f>IF('Original-E2E'!J70="x",1,0)</f>
        <v>0</v>
      </c>
      <c r="D68" s="99">
        <f>IF('E2E Combined OD + ZK'!J69="x",1,0)</f>
        <v>0</v>
      </c>
      <c r="E68" s="99">
        <f>IF('E2E Combined AB + TCF'!J69="x",1,0)</f>
        <v>0</v>
      </c>
    </row>
    <row r="69">
      <c r="B69" s="99">
        <f>'Original-E2E'!A71</f>
        <v>78</v>
      </c>
      <c r="C69" s="99">
        <f>IF('Original-E2E'!J71="x",1,0)</f>
        <v>0</v>
      </c>
      <c r="D69" s="99">
        <f>IF('E2E Combined OD + ZK'!J70="x",1,0)</f>
        <v>0</v>
      </c>
      <c r="E69" s="99">
        <f>IF('E2E Combined AB + TCF'!J70="x",1,0)</f>
        <v>0</v>
      </c>
    </row>
    <row r="70">
      <c r="B70" s="99">
        <f>'Original-E2E'!A72</f>
        <v>79</v>
      </c>
      <c r="C70" s="99">
        <f>IF('Original-E2E'!J72="x",1,0)</f>
        <v>0</v>
      </c>
      <c r="D70" s="99">
        <f>IF('E2E Combined OD + ZK'!J71="x",1,0)</f>
        <v>0</v>
      </c>
      <c r="E70" s="99">
        <f>IF('E2E Combined AB + TCF'!J71="x",1,0)</f>
        <v>0</v>
      </c>
    </row>
    <row r="71">
      <c r="B71" s="99">
        <f>'Original-E2E'!A73</f>
        <v>80</v>
      </c>
      <c r="C71" s="99">
        <f>IF('Original-E2E'!J73="x",1,0)</f>
        <v>0</v>
      </c>
      <c r="D71" s="99">
        <f>IF('E2E Combined OD + ZK'!J72="x",1,0)</f>
        <v>0</v>
      </c>
      <c r="E71" s="99">
        <f>IF('E2E Combined AB + TCF'!J72="x",1,0)</f>
        <v>0</v>
      </c>
    </row>
    <row r="72">
      <c r="B72" s="99">
        <f>'Original-E2E'!A74</f>
        <v>81</v>
      </c>
      <c r="C72" s="99">
        <f>IF('Original-E2E'!J74="x",1,0)</f>
        <v>0</v>
      </c>
      <c r="D72" s="99">
        <f>IF('E2E Combined OD + ZK'!J73="x",1,0)</f>
        <v>0</v>
      </c>
      <c r="E72" s="99">
        <f>IF('E2E Combined AB + TCF'!J73="x",1,0)</f>
        <v>0</v>
      </c>
    </row>
    <row r="73">
      <c r="B73" s="99">
        <f>'Original-E2E'!A75</f>
        <v>82</v>
      </c>
      <c r="C73" s="99">
        <f>IF('Original-E2E'!J75="x",1,0)</f>
        <v>0</v>
      </c>
      <c r="D73" s="99">
        <f>IF('E2E Combined OD + ZK'!J74="x",1,0)</f>
        <v>0</v>
      </c>
      <c r="E73" s="99">
        <f>IF('E2E Combined AB + TCF'!J74="x",1,0)</f>
        <v>0</v>
      </c>
    </row>
    <row r="74">
      <c r="B74" s="99">
        <f>'Original-E2E'!A76</f>
        <v>83</v>
      </c>
      <c r="C74" s="99">
        <f>IF('Original-E2E'!J76="x",1,0)</f>
        <v>0</v>
      </c>
      <c r="D74" s="99">
        <f>IF('E2E Combined OD + ZK'!J75="x",1,0)</f>
        <v>0</v>
      </c>
      <c r="E74" s="99">
        <f>IF('E2E Combined AB + TCF'!J75="x",1,0)</f>
        <v>0</v>
      </c>
    </row>
    <row r="75">
      <c r="B75" s="99">
        <f>'Original-E2E'!A77</f>
        <v>86</v>
      </c>
      <c r="C75" s="99">
        <f>IF('Original-E2E'!J77="x",1,0)</f>
        <v>0</v>
      </c>
      <c r="D75" s="99">
        <f>IF('E2E Combined OD + ZK'!J76="x",1,0)</f>
        <v>0</v>
      </c>
      <c r="E75" s="99">
        <f>IF('E2E Combined AB + TCF'!J76="x",1,0)</f>
        <v>0</v>
      </c>
    </row>
    <row r="76">
      <c r="B76" s="99">
        <f>'Original-E2E'!A78</f>
        <v>89</v>
      </c>
      <c r="C76" s="99">
        <f>IF('Original-E2E'!J78="x",1,0)</f>
        <v>0</v>
      </c>
      <c r="D76" s="99">
        <f>IF('E2E Combined OD + ZK'!J77="x",1,0)</f>
        <v>0</v>
      </c>
      <c r="E76" s="99">
        <f>IF('E2E Combined AB + TCF'!J77="x",1,0)</f>
        <v>0</v>
      </c>
    </row>
    <row r="77">
      <c r="B77" s="99">
        <f>'Original-E2E'!A79</f>
        <v>90</v>
      </c>
      <c r="C77" s="99">
        <f>IF('Original-E2E'!J79="x",1,0)</f>
        <v>0</v>
      </c>
      <c r="D77" s="99">
        <f>IF('E2E Combined OD + ZK'!J78="x",1,0)</f>
        <v>0</v>
      </c>
      <c r="E77" s="99">
        <f>IF('E2E Combined AB + TCF'!J78="x",1,0)</f>
        <v>0</v>
      </c>
    </row>
    <row r="78">
      <c r="B78" s="99">
        <f>'Original-E2E'!A80</f>
        <v>91</v>
      </c>
      <c r="C78" s="99">
        <f>IF('Original-E2E'!J80="x",1,0)</f>
        <v>0</v>
      </c>
      <c r="D78" s="99">
        <f>IF('E2E Combined OD + ZK'!J79="x",1,0)</f>
        <v>0</v>
      </c>
      <c r="E78" s="99">
        <f>IF('E2E Combined AB + TCF'!J79="x",1,0)</f>
        <v>0</v>
      </c>
    </row>
    <row r="79">
      <c r="B79" s="99">
        <f>'Original-E2E'!A81</f>
        <v>92</v>
      </c>
      <c r="C79" s="99">
        <f>IF('Original-E2E'!J81="x",1,0)</f>
        <v>0</v>
      </c>
      <c r="D79" s="99">
        <f>IF('E2E Combined OD + ZK'!J80="x",1,0)</f>
        <v>0</v>
      </c>
      <c r="E79" s="99">
        <f>IF('E2E Combined AB + TCF'!J80="x",1,0)</f>
        <v>0</v>
      </c>
    </row>
    <row r="80">
      <c r="B80" s="99">
        <f>'Original-E2E'!A82</f>
        <v>94</v>
      </c>
      <c r="C80" s="99">
        <f>IF('Original-E2E'!J82="x",1,0)</f>
        <v>0</v>
      </c>
      <c r="D80" s="99">
        <f>IF('E2E Combined OD + ZK'!J81="x",1,0)</f>
        <v>0</v>
      </c>
      <c r="E80" s="99">
        <f>IF('E2E Combined AB + TCF'!J81="x",1,0)</f>
        <v>0</v>
      </c>
    </row>
    <row r="81">
      <c r="B81" s="99">
        <f>'Original-E2E'!A83</f>
        <v>95</v>
      </c>
      <c r="C81" s="99">
        <f>IF('Original-E2E'!J83="x",1,0)</f>
        <v>0</v>
      </c>
      <c r="D81" s="99">
        <f>IF('E2E Combined OD + ZK'!J82="x",1,0)</f>
        <v>0</v>
      </c>
      <c r="E81" s="99">
        <f>IF('E2E Combined AB + TCF'!J82="x",1,0)</f>
        <v>0</v>
      </c>
    </row>
    <row r="82">
      <c r="B82" s="99">
        <f>'Original-E2E'!A84</f>
        <v>96</v>
      </c>
      <c r="C82" s="99">
        <f>IF('Original-E2E'!J84="x",1,0)</f>
        <v>0</v>
      </c>
      <c r="D82" s="99">
        <f>IF('E2E Combined OD + ZK'!J83="x",1,0)</f>
        <v>0</v>
      </c>
      <c r="E82" s="99">
        <f>IF('E2E Combined AB + TCF'!J83="x",1,0)</f>
        <v>0</v>
      </c>
    </row>
    <row r="83">
      <c r="B83" s="99">
        <f>'Original-E2E'!A85</f>
        <v>98</v>
      </c>
      <c r="C83" s="99">
        <f>IF('Original-E2E'!J85="x",1,0)</f>
        <v>0</v>
      </c>
      <c r="D83" s="99">
        <f>IF('E2E Combined OD + ZK'!J84="x",1,0)</f>
        <v>0</v>
      </c>
      <c r="E83" s="99">
        <f>IF('E2E Combined AB + TCF'!J84="x",1,0)</f>
        <v>0</v>
      </c>
    </row>
    <row r="84">
      <c r="B84" s="99">
        <f>'Original-E2E'!A86</f>
        <v>99</v>
      </c>
      <c r="C84" s="99">
        <f>IF('Original-E2E'!J86="x",1,0)</f>
        <v>0</v>
      </c>
      <c r="D84" s="99">
        <f>IF('E2E Combined OD + ZK'!J85="x",1,0)</f>
        <v>0</v>
      </c>
      <c r="E84" s="99">
        <f>IF('E2E Combined AB + TCF'!J85="x",1,0)</f>
        <v>0</v>
      </c>
    </row>
    <row r="85">
      <c r="B85" s="99">
        <f>'Original-E2E'!A87</f>
        <v>100</v>
      </c>
      <c r="C85" s="99">
        <f>IF('Original-E2E'!J87="x",1,0)</f>
        <v>0</v>
      </c>
      <c r="D85" s="99">
        <f>IF('E2E Combined OD + ZK'!J86="x",1,0)</f>
        <v>0</v>
      </c>
      <c r="E85" s="99">
        <f>IF('E2E Combined AB + TCF'!J86="x",1,0)</f>
        <v>0</v>
      </c>
    </row>
    <row r="86">
      <c r="B86" s="99">
        <f>'Original-E2E'!A88</f>
        <v>101</v>
      </c>
      <c r="C86" s="99">
        <f>IF('Original-E2E'!J88="x",1,0)</f>
        <v>0</v>
      </c>
      <c r="D86" s="99">
        <f>IF('E2E Combined OD + ZK'!J87="x",1,0)</f>
        <v>0</v>
      </c>
      <c r="E86" s="99">
        <f>IF('E2E Combined AB + TCF'!J87="x",1,0)</f>
        <v>0</v>
      </c>
    </row>
    <row r="87">
      <c r="B87" s="99">
        <f>'Original-E2E'!A89</f>
        <v>102</v>
      </c>
      <c r="C87" s="99">
        <f>IF('Original-E2E'!J89="x",1,0)</f>
        <v>0</v>
      </c>
      <c r="D87" s="99">
        <f>IF('E2E Combined OD + ZK'!J88="x",1,0)</f>
        <v>0</v>
      </c>
      <c r="E87" s="99">
        <f>IF('E2E Combined AB + TCF'!J88="x",1,0)</f>
        <v>0</v>
      </c>
    </row>
    <row r="88">
      <c r="B88" s="99">
        <f>'Original-E2E'!A90</f>
        <v>103</v>
      </c>
      <c r="C88" s="99">
        <f>IF('Original-E2E'!J90="x",1,0)</f>
        <v>0</v>
      </c>
      <c r="D88" s="99">
        <f>IF('E2E Combined OD + ZK'!J89="x",1,0)</f>
        <v>0</v>
      </c>
      <c r="E88" s="99">
        <f>IF('E2E Combined AB + TCF'!J89="x",1,0)</f>
        <v>0</v>
      </c>
    </row>
    <row r="89">
      <c r="B89" s="99">
        <f>'Original-E2E'!A91</f>
        <v>104</v>
      </c>
      <c r="C89" s="99">
        <f>IF('Original-E2E'!J91="x",1,0)</f>
        <v>1</v>
      </c>
      <c r="D89" s="99">
        <f>IF('E2E Combined OD + ZK'!J90="x",1,0)</f>
        <v>1</v>
      </c>
      <c r="E89" s="99">
        <f>IF('E2E Combined AB + TCF'!J90="x",1,0)</f>
        <v>0</v>
      </c>
    </row>
    <row r="90">
      <c r="B90" s="99">
        <f>'Original-E2E'!A92</f>
        <v>105</v>
      </c>
      <c r="C90" s="99">
        <f>IF('Original-E2E'!J92="x",1,0)</f>
        <v>0</v>
      </c>
      <c r="D90" s="99">
        <f>IF('E2E Combined OD + ZK'!J91="x",1,0)</f>
        <v>0</v>
      </c>
      <c r="E90" s="99">
        <f>IF('E2E Combined AB + TCF'!J91="x",1,0)</f>
        <v>0</v>
      </c>
    </row>
    <row r="91">
      <c r="B91" s="99">
        <f>'Original-E2E'!A93</f>
        <v>106</v>
      </c>
      <c r="C91" s="99">
        <f>IF('Original-E2E'!J93="x",1,0)</f>
        <v>0</v>
      </c>
      <c r="D91" s="99">
        <f>IF('E2E Combined OD + ZK'!J92="x",1,0)</f>
        <v>0</v>
      </c>
      <c r="E91" s="99">
        <f>IF('E2E Combined AB + TCF'!J92="x",1,0)</f>
        <v>1</v>
      </c>
    </row>
    <row r="92">
      <c r="B92" s="99">
        <f>'Original-E2E'!A94</f>
        <v>107</v>
      </c>
      <c r="C92" s="99">
        <f>IF('Original-E2E'!J94="x",1,0)</f>
        <v>0</v>
      </c>
      <c r="D92" s="99">
        <f>IF('E2E Combined OD + ZK'!J93="x",1,0)</f>
        <v>0</v>
      </c>
      <c r="E92" s="99">
        <f>IF('E2E Combined AB + TCF'!J93="x",1,0)</f>
        <v>0</v>
      </c>
    </row>
    <row r="93">
      <c r="B93" s="99">
        <f>'Original-E2E'!A95</f>
        <v>110</v>
      </c>
      <c r="C93" s="99">
        <f>IF('Original-E2E'!J95="x",1,0)</f>
        <v>0</v>
      </c>
      <c r="D93" s="99">
        <f>IF('E2E Combined OD + ZK'!J94="x",1,0)</f>
        <v>0</v>
      </c>
      <c r="E93" s="99">
        <f>IF('E2E Combined AB + TCF'!J94="x",1,0)</f>
        <v>0</v>
      </c>
    </row>
    <row r="94">
      <c r="B94" s="99">
        <f>'Original-E2E'!A96</f>
        <v>111</v>
      </c>
      <c r="C94" s="99">
        <f>IF('Original-E2E'!J96="x",1,0)</f>
        <v>1</v>
      </c>
      <c r="D94" s="99">
        <f>IF('E2E Combined OD + ZK'!J95="x",1,0)</f>
        <v>0</v>
      </c>
      <c r="E94" s="99">
        <f>IF('E2E Combined AB + TCF'!J95="x",1,0)</f>
        <v>1</v>
      </c>
    </row>
    <row r="95">
      <c r="B95" s="99">
        <f>'Original-E2E'!A97</f>
        <v>112</v>
      </c>
      <c r="C95" s="99">
        <f>IF('Original-E2E'!J97="x",1,0)</f>
        <v>0</v>
      </c>
      <c r="D95" s="99">
        <f>IF('E2E Combined OD + ZK'!J96="x",1,0)</f>
        <v>1</v>
      </c>
      <c r="E95" s="99">
        <f>IF('E2E Combined AB + TCF'!J96="x",1,0)</f>
        <v>1</v>
      </c>
    </row>
    <row r="96">
      <c r="B96" s="99">
        <f>'Original-E2E'!A98</f>
        <v>113</v>
      </c>
      <c r="C96" s="99">
        <f>IF('Original-E2E'!J98="x",1,0)</f>
        <v>0</v>
      </c>
      <c r="D96" s="99">
        <f>IF('E2E Combined OD + ZK'!J97="x",1,0)</f>
        <v>0</v>
      </c>
      <c r="E96" s="99">
        <f>IF('E2E Combined AB + TCF'!J97="x",1,0)</f>
        <v>0</v>
      </c>
    </row>
    <row r="97">
      <c r="B97" s="99">
        <f>'Original-E2E'!A99</f>
        <v>114</v>
      </c>
      <c r="C97" s="99">
        <f>IF('Original-E2E'!J99="x",1,0)</f>
        <v>0</v>
      </c>
      <c r="D97" s="99">
        <f>IF('E2E Combined OD + ZK'!J98="x",1,0)</f>
        <v>0</v>
      </c>
      <c r="E97" s="99">
        <f>IF('E2E Combined AB + TCF'!J98="x",1,0)</f>
        <v>0</v>
      </c>
    </row>
    <row r="98">
      <c r="B98" s="99">
        <f>'Original-E2E'!A100</f>
        <v>115</v>
      </c>
      <c r="C98" s="99">
        <f>IF('Original-E2E'!J100="x",1,0)</f>
        <v>0</v>
      </c>
      <c r="D98" s="99">
        <f>IF('E2E Combined OD + ZK'!J99="x",1,0)</f>
        <v>0</v>
      </c>
      <c r="E98" s="99">
        <f>IF('E2E Combined AB + TCF'!J99="x",1,0)</f>
        <v>0</v>
      </c>
    </row>
    <row r="99">
      <c r="B99" s="99">
        <f>'Original-E2E'!A101</f>
        <v>116</v>
      </c>
      <c r="C99" s="99">
        <f>IF('Original-E2E'!J101="x",1,0)</f>
        <v>0</v>
      </c>
      <c r="D99" s="99">
        <f>IF('E2E Combined OD + ZK'!J100="x",1,0)</f>
        <v>0</v>
      </c>
      <c r="E99" s="99">
        <f>IF('E2E Combined AB + TCF'!J100="x",1,0)</f>
        <v>0</v>
      </c>
    </row>
    <row r="100">
      <c r="B100" s="99">
        <f>'Original-E2E'!A102</f>
        <v>117</v>
      </c>
      <c r="C100" s="99">
        <f>IF('Original-E2E'!J102="x",1,0)</f>
        <v>0</v>
      </c>
      <c r="D100" s="99">
        <f>IF('E2E Combined OD + ZK'!J101="x",1,0)</f>
        <v>0</v>
      </c>
      <c r="E100" s="99">
        <f>IF('E2E Combined AB + TCF'!J101="x",1,0)</f>
        <v>0</v>
      </c>
    </row>
    <row r="101">
      <c r="B101" s="99">
        <f>'Original-E2E'!A103</f>
        <v>118</v>
      </c>
      <c r="C101" s="99">
        <f>IF('Original-E2E'!J103="x",1,0)</f>
        <v>0</v>
      </c>
      <c r="D101" s="99">
        <f>IF('E2E Combined OD + ZK'!J102="x",1,0)</f>
        <v>0</v>
      </c>
      <c r="E101" s="99">
        <f>IF('E2E Combined AB + TCF'!J102="x",1,0)</f>
        <v>0</v>
      </c>
    </row>
    <row r="102">
      <c r="A102" s="98" t="s">
        <v>1043</v>
      </c>
      <c r="B102" s="99">
        <f>'Original-E2E'!A4</f>
        <v>2</v>
      </c>
      <c r="C102" s="144">
        <f>IF('Original-E2E'!K4="x",2,0)</f>
        <v>0</v>
      </c>
      <c r="D102" s="144">
        <f>IF('E2E Combined OD + ZK'!K3="x",2,0)</f>
        <v>2</v>
      </c>
      <c r="E102" s="144">
        <f>IF('E2E Combined AB + TCF'!K3="x",2,0)</f>
        <v>0</v>
      </c>
    </row>
    <row r="103">
      <c r="B103" s="99">
        <f>'Original-E2E'!A5</f>
        <v>3</v>
      </c>
      <c r="C103" s="144">
        <f>IF('Original-E2E'!K5="x",2,0)</f>
        <v>0</v>
      </c>
      <c r="D103" s="144">
        <f>IF('E2E Combined OD + ZK'!K4="x",2,0)</f>
        <v>0</v>
      </c>
      <c r="E103" s="144">
        <f>IF('E2E Combined AB + TCF'!K4="x",2,0)</f>
        <v>0</v>
      </c>
    </row>
    <row r="104">
      <c r="B104" s="99">
        <f>'Original-E2E'!A6</f>
        <v>4</v>
      </c>
      <c r="C104" s="144">
        <f>IF('Original-E2E'!K6="x",2,0)</f>
        <v>0</v>
      </c>
      <c r="D104" s="144">
        <f>IF('E2E Combined OD + ZK'!K5="x",2,0)</f>
        <v>0</v>
      </c>
      <c r="E104" s="144">
        <f>IF('E2E Combined AB + TCF'!K5="x",2,0)</f>
        <v>0</v>
      </c>
    </row>
    <row r="105">
      <c r="B105" s="99">
        <f>'Original-E2E'!A7</f>
        <v>5</v>
      </c>
      <c r="C105" s="144">
        <f>IF('Original-E2E'!K7="x",2,0)</f>
        <v>0</v>
      </c>
      <c r="D105" s="144">
        <f>IF('E2E Combined OD + ZK'!K6="x",2,0)</f>
        <v>2</v>
      </c>
      <c r="E105" s="144">
        <f>IF('E2E Combined AB + TCF'!K6="x",2,0)</f>
        <v>0</v>
      </c>
    </row>
    <row r="106">
      <c r="B106" s="99">
        <f>'Original-E2E'!A8</f>
        <v>6</v>
      </c>
      <c r="C106" s="144">
        <f>IF('Original-E2E'!K8="x",2,0)</f>
        <v>0</v>
      </c>
      <c r="D106" s="144">
        <f>IF('E2E Combined OD + ZK'!K7="x",2,0)</f>
        <v>0</v>
      </c>
      <c r="E106" s="144">
        <f>IF('E2E Combined AB + TCF'!K7="x",2,0)</f>
        <v>2</v>
      </c>
    </row>
    <row r="107">
      <c r="B107" s="99">
        <f>'Original-E2E'!A9</f>
        <v>7</v>
      </c>
      <c r="C107" s="144">
        <f>IF('Original-E2E'!K9="x",2,0)</f>
        <v>2</v>
      </c>
      <c r="D107" s="144">
        <f>IF('E2E Combined OD + ZK'!K8="x",2,0)</f>
        <v>2</v>
      </c>
      <c r="E107" s="144">
        <f>IF('E2E Combined AB + TCF'!K8="x",2,0)</f>
        <v>2</v>
      </c>
    </row>
    <row r="108">
      <c r="B108" s="99">
        <f>'Original-E2E'!A10</f>
        <v>8</v>
      </c>
      <c r="C108" s="144">
        <f>IF('Original-E2E'!K10="x",2,0)</f>
        <v>2</v>
      </c>
      <c r="D108" s="144">
        <f>IF('E2E Combined OD + ZK'!K9="x",2,0)</f>
        <v>2</v>
      </c>
      <c r="E108" s="144">
        <f>IF('E2E Combined AB + TCF'!K9="x",2,0)</f>
        <v>2</v>
      </c>
    </row>
    <row r="109">
      <c r="B109" s="99">
        <f>'Original-E2E'!A11</f>
        <v>9</v>
      </c>
      <c r="C109" s="144">
        <f>IF('Original-E2E'!K11="x",2,0)</f>
        <v>0</v>
      </c>
      <c r="D109" s="144">
        <f>IF('E2E Combined OD + ZK'!K10="x",2,0)</f>
        <v>0</v>
      </c>
      <c r="E109" s="144">
        <f>IF('E2E Combined AB + TCF'!K10="x",2,0)</f>
        <v>0</v>
      </c>
    </row>
    <row r="110">
      <c r="B110" s="99">
        <f>'Original-E2E'!A12</f>
        <v>10</v>
      </c>
      <c r="C110" s="144">
        <f>IF('Original-E2E'!K12="x",2,0)</f>
        <v>2</v>
      </c>
      <c r="D110" s="144">
        <f>IF('E2E Combined OD + ZK'!K11="x",2,0)</f>
        <v>2</v>
      </c>
      <c r="E110" s="144">
        <f>IF('E2E Combined AB + TCF'!K11="x",2,0)</f>
        <v>2</v>
      </c>
    </row>
    <row r="111">
      <c r="B111" s="99">
        <f>'Original-E2E'!A13</f>
        <v>11</v>
      </c>
      <c r="C111" s="144">
        <f>IF('Original-E2E'!K13="x",2,0)</f>
        <v>0</v>
      </c>
      <c r="D111" s="144">
        <f>IF('E2E Combined OD + ZK'!K12="x",2,0)</f>
        <v>0</v>
      </c>
      <c r="E111" s="144">
        <f>IF('E2E Combined AB + TCF'!K12="x",2,0)</f>
        <v>0</v>
      </c>
    </row>
    <row r="112">
      <c r="B112" s="99">
        <f>'Original-E2E'!A14</f>
        <v>12</v>
      </c>
      <c r="C112" s="144">
        <f>IF('Original-E2E'!K14="x",2,0)</f>
        <v>0</v>
      </c>
      <c r="D112" s="144">
        <f>IF('E2E Combined OD + ZK'!K13="x",2,0)</f>
        <v>0</v>
      </c>
      <c r="E112" s="144">
        <f>IF('E2E Combined AB + TCF'!K13="x",2,0)</f>
        <v>0</v>
      </c>
    </row>
    <row r="113">
      <c r="B113" s="99">
        <f>'Original-E2E'!A15</f>
        <v>13</v>
      </c>
      <c r="C113" s="144">
        <f>IF('Original-E2E'!K15="x",2,0)</f>
        <v>0</v>
      </c>
      <c r="D113" s="144">
        <f>IF('E2E Combined OD + ZK'!K14="x",2,0)</f>
        <v>0</v>
      </c>
      <c r="E113" s="144">
        <f>IF('E2E Combined AB + TCF'!K14="x",2,0)</f>
        <v>0</v>
      </c>
    </row>
    <row r="114">
      <c r="B114" s="99">
        <f>'Original-E2E'!A16</f>
        <v>14</v>
      </c>
      <c r="C114" s="144">
        <f>IF('Original-E2E'!K16="x",2,0)</f>
        <v>0</v>
      </c>
      <c r="D114" s="144">
        <f>IF('E2E Combined OD + ZK'!K15="x",2,0)</f>
        <v>0</v>
      </c>
      <c r="E114" s="144">
        <f>IF('E2E Combined AB + TCF'!K15="x",2,0)</f>
        <v>0</v>
      </c>
    </row>
    <row r="115">
      <c r="B115" s="99">
        <f>'Original-E2E'!A17</f>
        <v>15</v>
      </c>
      <c r="C115" s="144">
        <f>IF('Original-E2E'!K17="x",2,0)</f>
        <v>2</v>
      </c>
      <c r="D115" s="144">
        <f>IF('E2E Combined OD + ZK'!K16="x",2,0)</f>
        <v>2</v>
      </c>
      <c r="E115" s="144">
        <f>IF('E2E Combined AB + TCF'!K16="x",2,0)</f>
        <v>2</v>
      </c>
    </row>
    <row r="116">
      <c r="B116" s="99">
        <f>'Original-E2E'!A18</f>
        <v>16</v>
      </c>
      <c r="C116" s="144">
        <f>IF('Original-E2E'!K18="x",2,0)</f>
        <v>0</v>
      </c>
      <c r="D116" s="144">
        <f>IF('E2E Combined OD + ZK'!K17="x",2,0)</f>
        <v>0</v>
      </c>
      <c r="E116" s="144">
        <f>IF('E2E Combined AB + TCF'!K17="x",2,0)</f>
        <v>2</v>
      </c>
    </row>
    <row r="117">
      <c r="B117" s="99">
        <f>'Original-E2E'!A19</f>
        <v>17</v>
      </c>
      <c r="C117" s="144">
        <f>IF('Original-E2E'!K19="x",2,0)</f>
        <v>0</v>
      </c>
      <c r="D117" s="144">
        <f>IF('E2E Combined OD + ZK'!K18="x",2,0)</f>
        <v>0</v>
      </c>
      <c r="E117" s="144">
        <f>IF('E2E Combined AB + TCF'!K18="x",2,0)</f>
        <v>0</v>
      </c>
    </row>
    <row r="118">
      <c r="B118" s="99">
        <f>'Original-E2E'!A20</f>
        <v>18</v>
      </c>
      <c r="C118" s="144">
        <f>IF('Original-E2E'!K20="x",2,0)</f>
        <v>2</v>
      </c>
      <c r="D118" s="144">
        <f>IF('E2E Combined OD + ZK'!K19="x",2,0)</f>
        <v>2</v>
      </c>
      <c r="E118" s="144">
        <f>IF('E2E Combined AB + TCF'!K19="x",2,0)</f>
        <v>2</v>
      </c>
    </row>
    <row r="119">
      <c r="B119" s="99">
        <f>'Original-E2E'!A21</f>
        <v>19</v>
      </c>
      <c r="C119" s="144">
        <f>IF('Original-E2E'!K21="x",2,0)</f>
        <v>0</v>
      </c>
      <c r="D119" s="144">
        <f>IF('E2E Combined OD + ZK'!K20="x",2,0)</f>
        <v>0</v>
      </c>
      <c r="E119" s="144">
        <f>IF('E2E Combined AB + TCF'!K20="x",2,0)</f>
        <v>0</v>
      </c>
    </row>
    <row r="120">
      <c r="B120" s="99">
        <f>'Original-E2E'!A22</f>
        <v>20</v>
      </c>
      <c r="C120" s="144">
        <f>IF('Original-E2E'!K22="x",2,0)</f>
        <v>0</v>
      </c>
      <c r="D120" s="144">
        <f>IF('E2E Combined OD + ZK'!K21="x",2,0)</f>
        <v>0</v>
      </c>
      <c r="E120" s="144">
        <f>IF('E2E Combined AB + TCF'!K21="x",2,0)</f>
        <v>0</v>
      </c>
    </row>
    <row r="121">
      <c r="B121" s="99">
        <f>'Original-E2E'!A23</f>
        <v>21</v>
      </c>
      <c r="C121" s="144">
        <f>IF('Original-E2E'!K23="x",2,0)</f>
        <v>0</v>
      </c>
      <c r="D121" s="144">
        <f>IF('E2E Combined OD + ZK'!K22="x",2,0)</f>
        <v>0</v>
      </c>
      <c r="E121" s="144">
        <f>IF('E2E Combined AB + TCF'!K22="x",2,0)</f>
        <v>0</v>
      </c>
    </row>
    <row r="122">
      <c r="B122" s="99">
        <f>'Original-E2E'!A24</f>
        <v>22</v>
      </c>
      <c r="C122" s="144">
        <f>IF('Original-E2E'!K24="x",2,0)</f>
        <v>0</v>
      </c>
      <c r="D122" s="144">
        <f>IF('E2E Combined OD + ZK'!K23="x",2,0)</f>
        <v>0</v>
      </c>
      <c r="E122" s="144">
        <f>IF('E2E Combined AB + TCF'!K23="x",2,0)</f>
        <v>0</v>
      </c>
    </row>
    <row r="123">
      <c r="B123" s="99">
        <f>'Original-E2E'!A25</f>
        <v>23</v>
      </c>
      <c r="C123" s="144">
        <f>IF('Original-E2E'!K25="x",2,0)</f>
        <v>0</v>
      </c>
      <c r="D123" s="144">
        <f>IF('E2E Combined OD + ZK'!K24="x",2,0)</f>
        <v>0</v>
      </c>
      <c r="E123" s="144">
        <f>IF('E2E Combined AB + TCF'!K24="x",2,0)</f>
        <v>0</v>
      </c>
    </row>
    <row r="124">
      <c r="B124" s="99">
        <f>'Original-E2E'!A26</f>
        <v>24</v>
      </c>
      <c r="C124" s="144">
        <f>IF('Original-E2E'!K26="x",2,0)</f>
        <v>0</v>
      </c>
      <c r="D124" s="144">
        <f>IF('E2E Combined OD + ZK'!K25="x",2,0)</f>
        <v>0</v>
      </c>
      <c r="E124" s="144">
        <f>IF('E2E Combined AB + TCF'!K25="x",2,0)</f>
        <v>0</v>
      </c>
    </row>
    <row r="125">
      <c r="B125" s="99">
        <f>'Original-E2E'!A27</f>
        <v>25</v>
      </c>
      <c r="C125" s="144">
        <f>IF('Original-E2E'!K27="x",2,0)</f>
        <v>0</v>
      </c>
      <c r="D125" s="144">
        <f>IF('E2E Combined OD + ZK'!K26="x",2,0)</f>
        <v>0</v>
      </c>
      <c r="E125" s="144">
        <f>IF('E2E Combined AB + TCF'!K26="x",2,0)</f>
        <v>2</v>
      </c>
    </row>
    <row r="126">
      <c r="B126" s="99">
        <f>'Original-E2E'!A28</f>
        <v>27</v>
      </c>
      <c r="C126" s="144">
        <f>IF('Original-E2E'!K28="x",2,0)</f>
        <v>0</v>
      </c>
      <c r="D126" s="144">
        <f>IF('E2E Combined OD + ZK'!K27="x",2,0)</f>
        <v>2</v>
      </c>
      <c r="E126" s="144">
        <f>IF('E2E Combined AB + TCF'!K27="x",2,0)</f>
        <v>0</v>
      </c>
    </row>
    <row r="127">
      <c r="B127" s="99">
        <f>'Original-E2E'!A29</f>
        <v>28</v>
      </c>
      <c r="C127" s="144">
        <f>IF('Original-E2E'!K29="x",2,0)</f>
        <v>0</v>
      </c>
      <c r="D127" s="144">
        <f>IF('E2E Combined OD + ZK'!K28="x",2,0)</f>
        <v>0</v>
      </c>
      <c r="E127" s="144">
        <f>IF('E2E Combined AB + TCF'!K28="x",2,0)</f>
        <v>0</v>
      </c>
    </row>
    <row r="128">
      <c r="B128" s="99">
        <f>'Original-E2E'!A30</f>
        <v>29</v>
      </c>
      <c r="C128" s="144">
        <f>IF('Original-E2E'!K30="x",2,0)</f>
        <v>0</v>
      </c>
      <c r="D128" s="144">
        <f>IF('E2E Combined OD + ZK'!K29="x",2,0)</f>
        <v>0</v>
      </c>
      <c r="E128" s="144">
        <f>IF('E2E Combined AB + TCF'!K29="x",2,0)</f>
        <v>0</v>
      </c>
    </row>
    <row r="129">
      <c r="B129" s="99">
        <f>'Original-E2E'!A31</f>
        <v>30</v>
      </c>
      <c r="C129" s="144">
        <f>IF('Original-E2E'!K31="x",2,0)</f>
        <v>2</v>
      </c>
      <c r="D129" s="144">
        <f>IF('E2E Combined OD + ZK'!K30="x",2,0)</f>
        <v>2</v>
      </c>
      <c r="E129" s="144">
        <f>IF('E2E Combined AB + TCF'!K30="x",2,0)</f>
        <v>0</v>
      </c>
    </row>
    <row r="130">
      <c r="B130" s="99">
        <f>'Original-E2E'!A32</f>
        <v>31</v>
      </c>
      <c r="C130" s="144">
        <f>IF('Original-E2E'!K32="x",2,0)</f>
        <v>0</v>
      </c>
      <c r="D130" s="144">
        <f>IF('E2E Combined OD + ZK'!K31="x",2,0)</f>
        <v>0</v>
      </c>
      <c r="E130" s="144">
        <f>IF('E2E Combined AB + TCF'!K31="x",2,0)</f>
        <v>0</v>
      </c>
    </row>
    <row r="131">
      <c r="B131" s="99">
        <f>'Original-E2E'!A33</f>
        <v>33</v>
      </c>
      <c r="C131" s="144">
        <f>IF('Original-E2E'!K33="x",2,0)</f>
        <v>2</v>
      </c>
      <c r="D131" s="144">
        <f>IF('E2E Combined OD + ZK'!K32="x",2,0)</f>
        <v>2</v>
      </c>
      <c r="E131" s="144">
        <f>IF('E2E Combined AB + TCF'!K32="x",2,0)</f>
        <v>0</v>
      </c>
    </row>
    <row r="132">
      <c r="B132" s="99">
        <f>'Original-E2E'!A34</f>
        <v>34</v>
      </c>
      <c r="C132" s="144">
        <f>IF('Original-E2E'!K34="x",2,0)</f>
        <v>0</v>
      </c>
      <c r="D132" s="144">
        <f>IF('E2E Combined OD + ZK'!K33="x",2,0)</f>
        <v>0</v>
      </c>
      <c r="E132" s="144">
        <f>IF('E2E Combined AB + TCF'!K33="x",2,0)</f>
        <v>2</v>
      </c>
    </row>
    <row r="133">
      <c r="B133" s="99">
        <f>'Original-E2E'!A35</f>
        <v>36</v>
      </c>
      <c r="C133" s="144">
        <f>IF('Original-E2E'!K35="x",2,0)</f>
        <v>2</v>
      </c>
      <c r="D133" s="144">
        <f>IF('E2E Combined OD + ZK'!K34="x",2,0)</f>
        <v>2</v>
      </c>
      <c r="E133" s="144">
        <f>IF('E2E Combined AB + TCF'!K34="x",2,0)</f>
        <v>2</v>
      </c>
    </row>
    <row r="134">
      <c r="B134" s="99">
        <f>'Original-E2E'!A36</f>
        <v>37</v>
      </c>
      <c r="C134" s="144">
        <f>IF('Original-E2E'!K36="x",2,0)</f>
        <v>2</v>
      </c>
      <c r="D134" s="144">
        <f>IF('E2E Combined OD + ZK'!K35="x",2,0)</f>
        <v>2</v>
      </c>
      <c r="E134" s="144">
        <f>IF('E2E Combined AB + TCF'!K35="x",2,0)</f>
        <v>2</v>
      </c>
    </row>
    <row r="135">
      <c r="B135" s="99">
        <f>'Original-E2E'!A37</f>
        <v>38</v>
      </c>
      <c r="C135" s="144">
        <f>IF('Original-E2E'!K37="x",2,0)</f>
        <v>2</v>
      </c>
      <c r="D135" s="144">
        <f>IF('E2E Combined OD + ZK'!K36="x",2,0)</f>
        <v>2</v>
      </c>
      <c r="E135" s="144">
        <f>IF('E2E Combined AB + TCF'!K36="x",2,0)</f>
        <v>2</v>
      </c>
    </row>
    <row r="136">
      <c r="B136" s="99">
        <f>'Original-E2E'!A38</f>
        <v>40</v>
      </c>
      <c r="C136" s="144">
        <f>IF('Original-E2E'!K38="x",2,0)</f>
        <v>0</v>
      </c>
      <c r="D136" s="144">
        <f>IF('E2E Combined OD + ZK'!K37="x",2,0)</f>
        <v>0</v>
      </c>
      <c r="E136" s="144">
        <f>IF('E2E Combined AB + TCF'!K37="x",2,0)</f>
        <v>0</v>
      </c>
    </row>
    <row r="137">
      <c r="B137" s="99">
        <f>'Original-E2E'!A39</f>
        <v>41</v>
      </c>
      <c r="C137" s="144">
        <f>IF('Original-E2E'!K39="x",2,0)</f>
        <v>0</v>
      </c>
      <c r="D137" s="144">
        <f>IF('E2E Combined OD + ZK'!K38="x",2,0)</f>
        <v>0</v>
      </c>
      <c r="E137" s="144">
        <f>IF('E2E Combined AB + TCF'!K38="x",2,0)</f>
        <v>0</v>
      </c>
    </row>
    <row r="138">
      <c r="B138" s="99">
        <f>'Original-E2E'!A40</f>
        <v>42</v>
      </c>
      <c r="C138" s="144">
        <f>IF('Original-E2E'!K40="x",2,0)</f>
        <v>0</v>
      </c>
      <c r="D138" s="144">
        <f>IF('E2E Combined OD + ZK'!K39="x",2,0)</f>
        <v>0</v>
      </c>
      <c r="E138" s="144">
        <f>IF('E2E Combined AB + TCF'!K39="x",2,0)</f>
        <v>0</v>
      </c>
    </row>
    <row r="139">
      <c r="B139" s="99">
        <f>'Original-E2E'!A41</f>
        <v>43</v>
      </c>
      <c r="C139" s="144">
        <f>IF('Original-E2E'!K41="x",2,0)</f>
        <v>0</v>
      </c>
      <c r="D139" s="144">
        <f>IF('E2E Combined OD + ZK'!K40="x",2,0)</f>
        <v>0</v>
      </c>
      <c r="E139" s="144">
        <f>IF('E2E Combined AB + TCF'!K40="x",2,0)</f>
        <v>0</v>
      </c>
    </row>
    <row r="140">
      <c r="B140" s="99">
        <f>'Original-E2E'!A42</f>
        <v>44</v>
      </c>
      <c r="C140" s="144">
        <f>IF('Original-E2E'!K42="x",2,0)</f>
        <v>2</v>
      </c>
      <c r="D140" s="144">
        <f>IF('E2E Combined OD + ZK'!K41="x",2,0)</f>
        <v>2</v>
      </c>
      <c r="E140" s="144">
        <f>IF('E2E Combined AB + TCF'!K41="x",2,0)</f>
        <v>0</v>
      </c>
    </row>
    <row r="141">
      <c r="B141" s="99">
        <f>'Original-E2E'!A43</f>
        <v>45</v>
      </c>
      <c r="C141" s="144">
        <f>IF('Original-E2E'!K43="x",2,0)</f>
        <v>0</v>
      </c>
      <c r="D141" s="144">
        <f>IF('E2E Combined OD + ZK'!K42="x",2,0)</f>
        <v>2</v>
      </c>
      <c r="E141" s="144">
        <f>IF('E2E Combined AB + TCF'!K42="x",2,0)</f>
        <v>0</v>
      </c>
    </row>
    <row r="142">
      <c r="B142" s="99">
        <f>'Original-E2E'!A44</f>
        <v>46</v>
      </c>
      <c r="C142" s="144">
        <f>IF('Original-E2E'!K44="x",2,0)</f>
        <v>2</v>
      </c>
      <c r="D142" s="144">
        <f>IF('E2E Combined OD + ZK'!K43="x",2,0)</f>
        <v>2</v>
      </c>
      <c r="E142" s="144">
        <f>IF('E2E Combined AB + TCF'!K43="x",2,0)</f>
        <v>2</v>
      </c>
    </row>
    <row r="143">
      <c r="B143" s="99">
        <f>'Original-E2E'!A45</f>
        <v>47</v>
      </c>
      <c r="C143" s="144">
        <f>IF('Original-E2E'!K45="x",2,0)</f>
        <v>2</v>
      </c>
      <c r="D143" s="144">
        <f>IF('E2E Combined OD + ZK'!K44="x",2,0)</f>
        <v>2</v>
      </c>
      <c r="E143" s="144">
        <f>IF('E2E Combined AB + TCF'!K44="x",2,0)</f>
        <v>2</v>
      </c>
    </row>
    <row r="144">
      <c r="B144" s="99">
        <f>'Original-E2E'!A46</f>
        <v>48</v>
      </c>
      <c r="C144" s="144">
        <f>IF('Original-E2E'!K46="x",2,0)</f>
        <v>0</v>
      </c>
      <c r="D144" s="144">
        <f>IF('E2E Combined OD + ZK'!K45="x",2,0)</f>
        <v>0</v>
      </c>
      <c r="E144" s="144">
        <f>IF('E2E Combined AB + TCF'!K45="x",2,0)</f>
        <v>0</v>
      </c>
    </row>
    <row r="145">
      <c r="B145" s="99">
        <f>'Original-E2E'!A47</f>
        <v>49</v>
      </c>
      <c r="C145" s="144">
        <f>IF('Original-E2E'!K47="x",2,0)</f>
        <v>0</v>
      </c>
      <c r="D145" s="144">
        <f>IF('E2E Combined OD + ZK'!K46="x",2,0)</f>
        <v>0</v>
      </c>
      <c r="E145" s="144">
        <f>IF('E2E Combined AB + TCF'!K46="x",2,0)</f>
        <v>2</v>
      </c>
    </row>
    <row r="146">
      <c r="B146" s="99">
        <f>'Original-E2E'!A48</f>
        <v>51</v>
      </c>
      <c r="C146" s="144">
        <f>IF('Original-E2E'!K48="x",2,0)</f>
        <v>0</v>
      </c>
      <c r="D146" s="144">
        <f>IF('E2E Combined OD + ZK'!K47="x",2,0)</f>
        <v>0</v>
      </c>
      <c r="E146" s="144">
        <f>IF('E2E Combined AB + TCF'!K47="x",2,0)</f>
        <v>0</v>
      </c>
    </row>
    <row r="147">
      <c r="B147" s="99">
        <f>'Original-E2E'!A49</f>
        <v>52</v>
      </c>
      <c r="C147" s="144">
        <f>IF('Original-E2E'!K49="x",2,0)</f>
        <v>0</v>
      </c>
      <c r="D147" s="144">
        <f>IF('E2E Combined OD + ZK'!K48="x",2,0)</f>
        <v>0</v>
      </c>
      <c r="E147" s="144">
        <f>IF('E2E Combined AB + TCF'!K48="x",2,0)</f>
        <v>0</v>
      </c>
    </row>
    <row r="148">
      <c r="B148" s="99">
        <f>'Original-E2E'!A50</f>
        <v>54</v>
      </c>
      <c r="C148" s="144">
        <f>IF('Original-E2E'!K50="x",2,0)</f>
        <v>0</v>
      </c>
      <c r="D148" s="144">
        <f>IF('E2E Combined OD + ZK'!K49="x",2,0)</f>
        <v>0</v>
      </c>
      <c r="E148" s="144">
        <f>IF('E2E Combined AB + TCF'!K49="x",2,0)</f>
        <v>0</v>
      </c>
    </row>
    <row r="149">
      <c r="B149" s="99">
        <f>'Original-E2E'!A51</f>
        <v>55</v>
      </c>
      <c r="C149" s="144">
        <f>IF('Original-E2E'!K51="x",2,0)</f>
        <v>2</v>
      </c>
      <c r="D149" s="144">
        <f>IF('E2E Combined OD + ZK'!K50="x",2,0)</f>
        <v>2</v>
      </c>
      <c r="E149" s="144">
        <f>IF('E2E Combined AB + TCF'!K50="x",2,0)</f>
        <v>0</v>
      </c>
    </row>
    <row r="150">
      <c r="B150" s="99">
        <f>'Original-E2E'!A52</f>
        <v>56</v>
      </c>
      <c r="C150" s="144">
        <f>IF('Original-E2E'!K52="x",2,0)</f>
        <v>0</v>
      </c>
      <c r="D150" s="144">
        <f>IF('E2E Combined OD + ZK'!K51="x",2,0)</f>
        <v>0</v>
      </c>
      <c r="E150" s="144">
        <f>IF('E2E Combined AB + TCF'!K51="x",2,0)</f>
        <v>0</v>
      </c>
    </row>
    <row r="151">
      <c r="B151" s="99">
        <f>'Original-E2E'!A53</f>
        <v>57</v>
      </c>
      <c r="C151" s="144">
        <f>IF('Original-E2E'!K53="x",2,0)</f>
        <v>2</v>
      </c>
      <c r="D151" s="144">
        <f>IF('E2E Combined OD + ZK'!K52="x",2,0)</f>
        <v>2</v>
      </c>
      <c r="E151" s="144">
        <f>IF('E2E Combined AB + TCF'!K52="x",2,0)</f>
        <v>0</v>
      </c>
    </row>
    <row r="152">
      <c r="B152" s="99">
        <f>'Original-E2E'!A54</f>
        <v>58</v>
      </c>
      <c r="C152" s="144">
        <f>IF('Original-E2E'!K54="x",2,0)</f>
        <v>0</v>
      </c>
      <c r="D152" s="144">
        <f>IF('E2E Combined OD + ZK'!K53="x",2,0)</f>
        <v>0</v>
      </c>
      <c r="E152" s="144">
        <f>IF('E2E Combined AB + TCF'!K53="x",2,0)</f>
        <v>0</v>
      </c>
    </row>
    <row r="153">
      <c r="B153" s="99">
        <f>'Original-E2E'!A55</f>
        <v>59</v>
      </c>
      <c r="C153" s="144">
        <f>IF('Original-E2E'!K55="x",2,0)</f>
        <v>0</v>
      </c>
      <c r="D153" s="144">
        <f>IF('E2E Combined OD + ZK'!K54="x",2,0)</f>
        <v>0</v>
      </c>
      <c r="E153" s="144">
        <f>IF('E2E Combined AB + TCF'!K54="x",2,0)</f>
        <v>0</v>
      </c>
    </row>
    <row r="154">
      <c r="B154" s="99">
        <f>'Original-E2E'!A56</f>
        <v>61</v>
      </c>
      <c r="C154" s="144">
        <f>IF('Original-E2E'!K56="x",2,0)</f>
        <v>0</v>
      </c>
      <c r="D154" s="144">
        <f>IF('E2E Combined OD + ZK'!K55="x",2,0)</f>
        <v>0</v>
      </c>
      <c r="E154" s="144">
        <f>IF('E2E Combined AB + TCF'!K55="x",2,0)</f>
        <v>0</v>
      </c>
    </row>
    <row r="155">
      <c r="B155" s="99">
        <f>'Original-E2E'!A57</f>
        <v>62</v>
      </c>
      <c r="C155" s="144">
        <f>IF('Original-E2E'!K57="x",2,0)</f>
        <v>2</v>
      </c>
      <c r="D155" s="144">
        <f>IF('E2E Combined OD + ZK'!K56="x",2,0)</f>
        <v>2</v>
      </c>
      <c r="E155" s="144">
        <f>IF('E2E Combined AB + TCF'!K56="x",2,0)</f>
        <v>0</v>
      </c>
    </row>
    <row r="156">
      <c r="B156" s="99">
        <f>'Original-E2E'!A58</f>
        <v>63</v>
      </c>
      <c r="C156" s="144">
        <f>IF('Original-E2E'!K58="x",2,0)</f>
        <v>2</v>
      </c>
      <c r="D156" s="144">
        <f>IF('E2E Combined OD + ZK'!K57="x",2,0)</f>
        <v>2</v>
      </c>
      <c r="E156" s="144">
        <f>IF('E2E Combined AB + TCF'!K57="x",2,0)</f>
        <v>0</v>
      </c>
    </row>
    <row r="157">
      <c r="B157" s="99">
        <f>'Original-E2E'!A59</f>
        <v>64</v>
      </c>
      <c r="C157" s="144">
        <f>IF('Original-E2E'!K59="x",2,0)</f>
        <v>0</v>
      </c>
      <c r="D157" s="144">
        <f>IF('E2E Combined OD + ZK'!K58="x",2,0)</f>
        <v>0</v>
      </c>
      <c r="E157" s="144">
        <f>IF('E2E Combined AB + TCF'!K58="x",2,0)</f>
        <v>0</v>
      </c>
    </row>
    <row r="158">
      <c r="B158" s="99">
        <f>'Original-E2E'!A60</f>
        <v>66</v>
      </c>
      <c r="C158" s="144">
        <f>IF('Original-E2E'!K60="x",2,0)</f>
        <v>2</v>
      </c>
      <c r="D158" s="144">
        <f>IF('E2E Combined OD + ZK'!K59="x",2,0)</f>
        <v>2</v>
      </c>
      <c r="E158" s="144">
        <f>IF('E2E Combined AB + TCF'!K59="x",2,0)</f>
        <v>2</v>
      </c>
    </row>
    <row r="159">
      <c r="B159" s="99">
        <f>'Original-E2E'!A61</f>
        <v>67</v>
      </c>
      <c r="C159" s="144">
        <f>IF('Original-E2E'!K61="x",2,0)</f>
        <v>0</v>
      </c>
      <c r="D159" s="144">
        <f>IF('E2E Combined OD + ZK'!K60="x",2,0)</f>
        <v>0</v>
      </c>
      <c r="E159" s="144">
        <f>IF('E2E Combined AB + TCF'!K60="x",2,0)</f>
        <v>0</v>
      </c>
    </row>
    <row r="160">
      <c r="B160" s="99">
        <f>'Original-E2E'!A62</f>
        <v>69</v>
      </c>
      <c r="C160" s="144">
        <f>IF('Original-E2E'!K62="x",2,0)</f>
        <v>0</v>
      </c>
      <c r="D160" s="144">
        <f>IF('E2E Combined OD + ZK'!K61="x",2,0)</f>
        <v>0</v>
      </c>
      <c r="E160" s="144">
        <f>IF('E2E Combined AB + TCF'!K61="x",2,0)</f>
        <v>0</v>
      </c>
    </row>
    <row r="161">
      <c r="B161" s="99">
        <f>'Original-E2E'!A63</f>
        <v>70</v>
      </c>
      <c r="C161" s="144">
        <f>IF('Original-E2E'!K63="x",2,0)</f>
        <v>0</v>
      </c>
      <c r="D161" s="144">
        <f>IF('E2E Combined OD + ZK'!K62="x",2,0)</f>
        <v>0</v>
      </c>
      <c r="E161" s="144">
        <f>IF('E2E Combined AB + TCF'!K62="x",2,0)</f>
        <v>0</v>
      </c>
    </row>
    <row r="162">
      <c r="B162" s="99">
        <f>'Original-E2E'!A64</f>
        <v>71</v>
      </c>
      <c r="C162" s="144">
        <f>IF('Original-E2E'!K64="x",2,0)</f>
        <v>0</v>
      </c>
      <c r="D162" s="144">
        <f>IF('E2E Combined OD + ZK'!K63="x",2,0)</f>
        <v>0</v>
      </c>
      <c r="E162" s="144">
        <f>IF('E2E Combined AB + TCF'!K63="x",2,0)</f>
        <v>0</v>
      </c>
    </row>
    <row r="163">
      <c r="B163" s="99">
        <f>'Original-E2E'!A65</f>
        <v>72</v>
      </c>
      <c r="C163" s="144">
        <f>IF('Original-E2E'!K65="x",2,0)</f>
        <v>0</v>
      </c>
      <c r="D163" s="144">
        <f>IF('E2E Combined OD + ZK'!K64="x",2,0)</f>
        <v>0</v>
      </c>
      <c r="E163" s="144">
        <f>IF('E2E Combined AB + TCF'!K64="x",2,0)</f>
        <v>2</v>
      </c>
    </row>
    <row r="164">
      <c r="B164" s="99">
        <f>'Original-E2E'!A66</f>
        <v>73</v>
      </c>
      <c r="C164" s="144">
        <f>IF('Original-E2E'!K66="x",2,0)</f>
        <v>0</v>
      </c>
      <c r="D164" s="144">
        <f>IF('E2E Combined OD + ZK'!K65="x",2,0)</f>
        <v>0</v>
      </c>
      <c r="E164" s="144">
        <f>IF('E2E Combined AB + TCF'!K65="x",2,0)</f>
        <v>0</v>
      </c>
    </row>
    <row r="165">
      <c r="B165" s="99">
        <f>'Original-E2E'!A67</f>
        <v>74</v>
      </c>
      <c r="C165" s="144">
        <f>IF('Original-E2E'!K67="x",2,0)</f>
        <v>0</v>
      </c>
      <c r="D165" s="144">
        <f>IF('E2E Combined OD + ZK'!K66="x",2,0)</f>
        <v>0</v>
      </c>
      <c r="E165" s="144">
        <f>IF('E2E Combined AB + TCF'!K66="x",2,0)</f>
        <v>2</v>
      </c>
    </row>
    <row r="166">
      <c r="B166" s="99">
        <f>'Original-E2E'!A68</f>
        <v>75</v>
      </c>
      <c r="C166" s="144">
        <f>IF('Original-E2E'!K68="x",2,0)</f>
        <v>2</v>
      </c>
      <c r="D166" s="144">
        <f>IF('E2E Combined OD + ZK'!K67="x",2,0)</f>
        <v>2</v>
      </c>
      <c r="E166" s="144">
        <f>IF('E2E Combined AB + TCF'!K67="x",2,0)</f>
        <v>0</v>
      </c>
    </row>
    <row r="167">
      <c r="B167" s="99">
        <f>'Original-E2E'!A69</f>
        <v>76</v>
      </c>
      <c r="C167" s="144">
        <f>IF('Original-E2E'!K69="x",2,0)</f>
        <v>0</v>
      </c>
      <c r="D167" s="144">
        <f>IF('E2E Combined OD + ZK'!K68="x",2,0)</f>
        <v>0</v>
      </c>
      <c r="E167" s="144">
        <f>IF('E2E Combined AB + TCF'!K68="x",2,0)</f>
        <v>0</v>
      </c>
    </row>
    <row r="168">
      <c r="B168" s="99">
        <f>'Original-E2E'!A70</f>
        <v>77</v>
      </c>
      <c r="C168" s="144">
        <f>IF('Original-E2E'!K70="x",2,0)</f>
        <v>2</v>
      </c>
      <c r="D168" s="144">
        <f>IF('E2E Combined OD + ZK'!K69="x",2,0)</f>
        <v>2</v>
      </c>
      <c r="E168" s="144">
        <f>IF('E2E Combined AB + TCF'!K69="x",2,0)</f>
        <v>0</v>
      </c>
    </row>
    <row r="169">
      <c r="B169" s="99">
        <f>'Original-E2E'!A71</f>
        <v>78</v>
      </c>
      <c r="C169" s="144">
        <f>IF('Original-E2E'!K71="x",2,0)</f>
        <v>2</v>
      </c>
      <c r="D169" s="144">
        <f>IF('E2E Combined OD + ZK'!K70="x",2,0)</f>
        <v>2</v>
      </c>
      <c r="E169" s="144">
        <f>IF('E2E Combined AB + TCF'!K70="x",2,0)</f>
        <v>0</v>
      </c>
    </row>
    <row r="170">
      <c r="B170" s="99">
        <f>'Original-E2E'!A72</f>
        <v>79</v>
      </c>
      <c r="C170" s="144">
        <f>IF('Original-E2E'!K72="x",2,0)</f>
        <v>2</v>
      </c>
      <c r="D170" s="144">
        <f>IF('E2E Combined OD + ZK'!K71="x",2,0)</f>
        <v>2</v>
      </c>
      <c r="E170" s="144">
        <f>IF('E2E Combined AB + TCF'!K71="x",2,0)</f>
        <v>0</v>
      </c>
    </row>
    <row r="171">
      <c r="B171" s="99">
        <f>'Original-E2E'!A73</f>
        <v>80</v>
      </c>
      <c r="C171" s="144">
        <f>IF('Original-E2E'!K73="x",2,0)</f>
        <v>0</v>
      </c>
      <c r="D171" s="144">
        <f>IF('E2E Combined OD + ZK'!K72="x",2,0)</f>
        <v>0</v>
      </c>
      <c r="E171" s="144">
        <f>IF('E2E Combined AB + TCF'!K72="x",2,0)</f>
        <v>0</v>
      </c>
    </row>
    <row r="172">
      <c r="B172" s="99">
        <f>'Original-E2E'!A74</f>
        <v>81</v>
      </c>
      <c r="C172" s="144">
        <f>IF('Original-E2E'!K74="x",2,0)</f>
        <v>0</v>
      </c>
      <c r="D172" s="144">
        <f>IF('E2E Combined OD + ZK'!K73="x",2,0)</f>
        <v>0</v>
      </c>
      <c r="E172" s="144">
        <f>IF('E2E Combined AB + TCF'!K73="x",2,0)</f>
        <v>0</v>
      </c>
    </row>
    <row r="173">
      <c r="B173" s="99">
        <f>'Original-E2E'!A75</f>
        <v>82</v>
      </c>
      <c r="C173" s="144">
        <f>IF('Original-E2E'!K75="x",2,0)</f>
        <v>0</v>
      </c>
      <c r="D173" s="144">
        <f>IF('E2E Combined OD + ZK'!K74="x",2,0)</f>
        <v>0</v>
      </c>
      <c r="E173" s="144">
        <f>IF('E2E Combined AB + TCF'!K74="x",2,0)</f>
        <v>0</v>
      </c>
    </row>
    <row r="174">
      <c r="B174" s="99">
        <f>'Original-E2E'!A76</f>
        <v>83</v>
      </c>
      <c r="C174" s="144">
        <f>IF('Original-E2E'!K76="x",2,0)</f>
        <v>0</v>
      </c>
      <c r="D174" s="144">
        <f>IF('E2E Combined OD + ZK'!K75="x",2,0)</f>
        <v>0</v>
      </c>
      <c r="E174" s="144">
        <f>IF('E2E Combined AB + TCF'!K75="x",2,0)</f>
        <v>2</v>
      </c>
    </row>
    <row r="175">
      <c r="B175" s="99">
        <f>'Original-E2E'!A77</f>
        <v>86</v>
      </c>
      <c r="C175" s="144">
        <f>IF('Original-E2E'!K77="x",2,0)</f>
        <v>0</v>
      </c>
      <c r="D175" s="144">
        <f>IF('E2E Combined OD + ZK'!K76="x",2,0)</f>
        <v>2</v>
      </c>
      <c r="E175" s="144">
        <f>IF('E2E Combined AB + TCF'!K76="x",2,0)</f>
        <v>0</v>
      </c>
    </row>
    <row r="176">
      <c r="B176" s="99">
        <f>'Original-E2E'!A78</f>
        <v>89</v>
      </c>
      <c r="C176" s="144">
        <f>IF('Original-E2E'!K78="x",2,0)</f>
        <v>0</v>
      </c>
      <c r="D176" s="144">
        <f>IF('E2E Combined OD + ZK'!K77="x",2,0)</f>
        <v>0</v>
      </c>
      <c r="E176" s="144">
        <f>IF('E2E Combined AB + TCF'!K77="x",2,0)</f>
        <v>0</v>
      </c>
    </row>
    <row r="177">
      <c r="B177" s="99">
        <f>'Original-E2E'!A79</f>
        <v>90</v>
      </c>
      <c r="C177" s="144">
        <f>IF('Original-E2E'!K79="x",2,0)</f>
        <v>0</v>
      </c>
      <c r="D177" s="144">
        <f>IF('E2E Combined OD + ZK'!K78="x",2,0)</f>
        <v>0</v>
      </c>
      <c r="E177" s="144">
        <f>IF('E2E Combined AB + TCF'!K78="x",2,0)</f>
        <v>0</v>
      </c>
    </row>
    <row r="178">
      <c r="B178" s="99">
        <f>'Original-E2E'!A80</f>
        <v>91</v>
      </c>
      <c r="C178" s="144">
        <f>IF('Original-E2E'!K80="x",2,0)</f>
        <v>0</v>
      </c>
      <c r="D178" s="144">
        <f>IF('E2E Combined OD + ZK'!K79="x",2,0)</f>
        <v>0</v>
      </c>
      <c r="E178" s="144">
        <f>IF('E2E Combined AB + TCF'!K79="x",2,0)</f>
        <v>0</v>
      </c>
    </row>
    <row r="179">
      <c r="B179" s="99">
        <f>'Original-E2E'!A81</f>
        <v>92</v>
      </c>
      <c r="C179" s="144">
        <f>IF('Original-E2E'!K81="x",2,0)</f>
        <v>2</v>
      </c>
      <c r="D179" s="144">
        <f>IF('E2E Combined OD + ZK'!K80="x",2,0)</f>
        <v>0</v>
      </c>
      <c r="E179" s="144">
        <f>IF('E2E Combined AB + TCF'!K80="x",2,0)</f>
        <v>2</v>
      </c>
    </row>
    <row r="180">
      <c r="B180" s="99">
        <f>'Original-E2E'!A82</f>
        <v>94</v>
      </c>
      <c r="C180" s="144">
        <f>IF('Original-E2E'!K82="x",2,0)</f>
        <v>0</v>
      </c>
      <c r="D180" s="144">
        <f>IF('E2E Combined OD + ZK'!K81="x",2,0)</f>
        <v>0</v>
      </c>
      <c r="E180" s="144">
        <f>IF('E2E Combined AB + TCF'!K81="x",2,0)</f>
        <v>2</v>
      </c>
    </row>
    <row r="181">
      <c r="B181" s="99">
        <f>'Original-E2E'!A83</f>
        <v>95</v>
      </c>
      <c r="C181" s="144">
        <f>IF('Original-E2E'!K83="x",2,0)</f>
        <v>0</v>
      </c>
      <c r="D181" s="144">
        <f>IF('E2E Combined OD + ZK'!K82="x",2,0)</f>
        <v>0</v>
      </c>
      <c r="E181" s="144">
        <f>IF('E2E Combined AB + TCF'!K82="x",2,0)</f>
        <v>0</v>
      </c>
    </row>
    <row r="182">
      <c r="B182" s="99">
        <f>'Original-E2E'!A84</f>
        <v>96</v>
      </c>
      <c r="C182" s="144">
        <f>IF('Original-E2E'!K84="x",2,0)</f>
        <v>2</v>
      </c>
      <c r="D182" s="144">
        <f>IF('E2E Combined OD + ZK'!K83="x",2,0)</f>
        <v>2</v>
      </c>
      <c r="E182" s="144">
        <f>IF('E2E Combined AB + TCF'!K83="x",2,0)</f>
        <v>2</v>
      </c>
    </row>
    <row r="183">
      <c r="B183" s="99">
        <f>'Original-E2E'!A85</f>
        <v>98</v>
      </c>
      <c r="C183" s="144">
        <f>IF('Original-E2E'!K85="x",2,0)</f>
        <v>2</v>
      </c>
      <c r="D183" s="144">
        <f>IF('E2E Combined OD + ZK'!K84="x",2,0)</f>
        <v>2</v>
      </c>
      <c r="E183" s="144">
        <f>IF('E2E Combined AB + TCF'!K84="x",2,0)</f>
        <v>2</v>
      </c>
    </row>
    <row r="184">
      <c r="B184" s="99">
        <f>'Original-E2E'!A86</f>
        <v>99</v>
      </c>
      <c r="C184" s="144">
        <f>IF('Original-E2E'!K86="x",2,0)</f>
        <v>0</v>
      </c>
      <c r="D184" s="144">
        <f>IF('E2E Combined OD + ZK'!K85="x",2,0)</f>
        <v>0</v>
      </c>
      <c r="E184" s="144">
        <f>IF('E2E Combined AB + TCF'!K85="x",2,0)</f>
        <v>0</v>
      </c>
    </row>
    <row r="185">
      <c r="B185" s="99">
        <f>'Original-E2E'!A87</f>
        <v>100</v>
      </c>
      <c r="C185" s="144">
        <f>IF('Original-E2E'!K87="x",2,0)</f>
        <v>2</v>
      </c>
      <c r="D185" s="144">
        <f>IF('E2E Combined OD + ZK'!K86="x",2,0)</f>
        <v>2</v>
      </c>
      <c r="E185" s="144">
        <f>IF('E2E Combined AB + TCF'!K86="x",2,0)</f>
        <v>0</v>
      </c>
    </row>
    <row r="186">
      <c r="B186" s="99">
        <f>'Original-E2E'!A88</f>
        <v>101</v>
      </c>
      <c r="C186" s="144">
        <f>IF('Original-E2E'!K88="x",2,0)</f>
        <v>0</v>
      </c>
      <c r="D186" s="144">
        <f>IF('E2E Combined OD + ZK'!K87="x",2,0)</f>
        <v>0</v>
      </c>
      <c r="E186" s="144">
        <f>IF('E2E Combined AB + TCF'!K87="x",2,0)</f>
        <v>0</v>
      </c>
    </row>
    <row r="187">
      <c r="B187" s="99">
        <f>'Original-E2E'!A89</f>
        <v>102</v>
      </c>
      <c r="C187" s="144">
        <f>IF('Original-E2E'!K89="x",2,0)</f>
        <v>0</v>
      </c>
      <c r="D187" s="144">
        <f>IF('E2E Combined OD + ZK'!K88="x",2,0)</f>
        <v>2</v>
      </c>
      <c r="E187" s="144">
        <f>IF('E2E Combined AB + TCF'!K88="x",2,0)</f>
        <v>2</v>
      </c>
    </row>
    <row r="188">
      <c r="B188" s="99">
        <f>'Original-E2E'!A90</f>
        <v>103</v>
      </c>
      <c r="C188" s="144">
        <f>IF('Original-E2E'!K90="x",2,0)</f>
        <v>0</v>
      </c>
      <c r="D188" s="144">
        <f>IF('E2E Combined OD + ZK'!K89="x",2,0)</f>
        <v>0</v>
      </c>
      <c r="E188" s="144">
        <f>IF('E2E Combined AB + TCF'!K89="x",2,0)</f>
        <v>0</v>
      </c>
    </row>
    <row r="189">
      <c r="B189" s="99">
        <f>'Original-E2E'!A91</f>
        <v>104</v>
      </c>
      <c r="C189" s="144">
        <f>IF('Original-E2E'!K91="x",2,0)</f>
        <v>0</v>
      </c>
      <c r="D189" s="144">
        <f>IF('E2E Combined OD + ZK'!K90="x",2,0)</f>
        <v>0</v>
      </c>
      <c r="E189" s="144">
        <f>IF('E2E Combined AB + TCF'!K90="x",2,0)</f>
        <v>0</v>
      </c>
    </row>
    <row r="190">
      <c r="B190" s="99">
        <f>'Original-E2E'!A92</f>
        <v>105</v>
      </c>
      <c r="C190" s="144">
        <f>IF('Original-E2E'!K92="x",2,0)</f>
        <v>0</v>
      </c>
      <c r="D190" s="144">
        <f>IF('E2E Combined OD + ZK'!K91="x",2,0)</f>
        <v>0</v>
      </c>
      <c r="E190" s="144">
        <f>IF('E2E Combined AB + TCF'!K91="x",2,0)</f>
        <v>0</v>
      </c>
    </row>
    <row r="191">
      <c r="B191" s="99">
        <f>'Original-E2E'!A93</f>
        <v>106</v>
      </c>
      <c r="C191" s="144">
        <f>IF('Original-E2E'!K93="x",2,0)</f>
        <v>0</v>
      </c>
      <c r="D191" s="144">
        <f>IF('E2E Combined OD + ZK'!K92="x",2,0)</f>
        <v>0</v>
      </c>
      <c r="E191" s="144">
        <f>IF('E2E Combined AB + TCF'!K92="x",2,0)</f>
        <v>0</v>
      </c>
    </row>
    <row r="192">
      <c r="B192" s="99">
        <f>'Original-E2E'!A94</f>
        <v>107</v>
      </c>
      <c r="C192" s="144">
        <f>IF('Original-E2E'!K94="x",2,0)</f>
        <v>0</v>
      </c>
      <c r="D192" s="144">
        <f>IF('E2E Combined OD + ZK'!K93="x",2,0)</f>
        <v>0</v>
      </c>
      <c r="E192" s="144">
        <f>IF('E2E Combined AB + TCF'!K93="x",2,0)</f>
        <v>2</v>
      </c>
    </row>
    <row r="193">
      <c r="B193" s="99">
        <f>'Original-E2E'!A95</f>
        <v>110</v>
      </c>
      <c r="C193" s="144">
        <f>IF('Original-E2E'!K95="x",2,0)</f>
        <v>2</v>
      </c>
      <c r="D193" s="144">
        <f>IF('E2E Combined OD + ZK'!K94="x",2,0)</f>
        <v>2</v>
      </c>
      <c r="E193" s="144">
        <f>IF('E2E Combined AB + TCF'!K94="x",2,0)</f>
        <v>2</v>
      </c>
    </row>
    <row r="194">
      <c r="B194" s="99">
        <f>'Original-E2E'!A96</f>
        <v>111</v>
      </c>
      <c r="C194" s="144">
        <f>IF('Original-E2E'!K96="x",2,0)</f>
        <v>0</v>
      </c>
      <c r="D194" s="144">
        <f>IF('E2E Combined OD + ZK'!K95="x",2,0)</f>
        <v>0</v>
      </c>
      <c r="E194" s="144">
        <f>IF('E2E Combined AB + TCF'!K95="x",2,0)</f>
        <v>0</v>
      </c>
    </row>
    <row r="195">
      <c r="B195" s="99">
        <f>'Original-E2E'!A97</f>
        <v>112</v>
      </c>
      <c r="C195" s="144">
        <f>IF('Original-E2E'!K97="x",2,0)</f>
        <v>0</v>
      </c>
      <c r="D195" s="144">
        <f>IF('E2E Combined OD + ZK'!K96="x",2,0)</f>
        <v>0</v>
      </c>
      <c r="E195" s="144">
        <f>IF('E2E Combined AB + TCF'!K96="x",2,0)</f>
        <v>0</v>
      </c>
    </row>
    <row r="196">
      <c r="B196" s="99">
        <f>'Original-E2E'!A98</f>
        <v>113</v>
      </c>
      <c r="C196" s="144">
        <f>IF('Original-E2E'!K98="x",2,0)</f>
        <v>2</v>
      </c>
      <c r="D196" s="144">
        <f>IF('E2E Combined OD + ZK'!K97="x",2,0)</f>
        <v>2</v>
      </c>
      <c r="E196" s="144">
        <f>IF('E2E Combined AB + TCF'!K97="x",2,0)</f>
        <v>2</v>
      </c>
    </row>
    <row r="197">
      <c r="B197" s="99">
        <f>'Original-E2E'!A99</f>
        <v>114</v>
      </c>
      <c r="C197" s="144">
        <f>IF('Original-E2E'!K99="x",2,0)</f>
        <v>0</v>
      </c>
      <c r="D197" s="144">
        <f>IF('E2E Combined OD + ZK'!K98="x",2,0)</f>
        <v>0</v>
      </c>
      <c r="E197" s="144">
        <f>IF('E2E Combined AB + TCF'!K98="x",2,0)</f>
        <v>0</v>
      </c>
    </row>
    <row r="198">
      <c r="B198" s="99">
        <f>'Original-E2E'!A100</f>
        <v>115</v>
      </c>
      <c r="C198" s="144">
        <f>IF('Original-E2E'!K100="x",2,0)</f>
        <v>0</v>
      </c>
      <c r="D198" s="144">
        <f>IF('E2E Combined OD + ZK'!K99="x",2,0)</f>
        <v>0</v>
      </c>
      <c r="E198" s="144">
        <f>IF('E2E Combined AB + TCF'!K99="x",2,0)</f>
        <v>0</v>
      </c>
    </row>
    <row r="199">
      <c r="B199" s="99">
        <f>'Original-E2E'!A101</f>
        <v>116</v>
      </c>
      <c r="C199" s="144">
        <f>IF('Original-E2E'!K101="x",2,0)</f>
        <v>0</v>
      </c>
      <c r="D199" s="144">
        <f>IF('E2E Combined OD + ZK'!K100="x",2,0)</f>
        <v>0</v>
      </c>
      <c r="E199" s="144">
        <f>IF('E2E Combined AB + TCF'!K100="x",2,0)</f>
        <v>0</v>
      </c>
    </row>
    <row r="200">
      <c r="B200" s="99">
        <f>'Original-E2E'!A102</f>
        <v>117</v>
      </c>
      <c r="C200" s="144">
        <f>IF('Original-E2E'!K102="x",2,0)</f>
        <v>2</v>
      </c>
      <c r="D200" s="144">
        <f>IF('E2E Combined OD + ZK'!K101="x",2,0)</f>
        <v>0</v>
      </c>
      <c r="E200" s="144">
        <f>IF('E2E Combined AB + TCF'!K101="x",2,0)</f>
        <v>2</v>
      </c>
    </row>
    <row r="201">
      <c r="B201" s="99">
        <f>'Original-E2E'!A103</f>
        <v>118</v>
      </c>
      <c r="C201" s="144">
        <f>IF('Original-E2E'!K103="x",2,0)</f>
        <v>2</v>
      </c>
      <c r="D201" s="144">
        <f>IF('E2E Combined OD + ZK'!K102="x",2,0)</f>
        <v>0</v>
      </c>
      <c r="E201" s="144">
        <f>IF('E2E Combined AB + TCF'!K102="x",2,0)</f>
        <v>0</v>
      </c>
    </row>
    <row r="202">
      <c r="A202" s="98" t="s">
        <v>1044</v>
      </c>
      <c r="B202" s="160">
        <f>'Original-E2E'!A4</f>
        <v>2</v>
      </c>
      <c r="C202" s="144">
        <f>IF('Original-E2E'!L4="x",3,0)</f>
        <v>0</v>
      </c>
      <c r="D202" s="144">
        <f>IF('E2E Combined OD + ZK'!L3="x",3,0)</f>
        <v>0</v>
      </c>
      <c r="E202" s="144">
        <f>IF('E2E Combined AB + TCF'!L3="x",3,0)</f>
        <v>0</v>
      </c>
    </row>
    <row r="203">
      <c r="B203" s="160">
        <f>'Original-E2E'!A5</f>
        <v>3</v>
      </c>
      <c r="C203" s="144">
        <f>IF('Original-E2E'!L5="x",3,0)</f>
        <v>0</v>
      </c>
      <c r="D203" s="144">
        <f>IF('E2E Combined OD + ZK'!L4="x",3,0)</f>
        <v>0</v>
      </c>
      <c r="E203" s="144">
        <f>IF('E2E Combined AB + TCF'!L4="x",3,0)</f>
        <v>0</v>
      </c>
    </row>
    <row r="204">
      <c r="B204" s="160">
        <f>'Original-E2E'!A6</f>
        <v>4</v>
      </c>
      <c r="C204" s="144">
        <f>IF('Original-E2E'!L6="x",3,0)</f>
        <v>0</v>
      </c>
      <c r="D204" s="144">
        <f>IF('E2E Combined OD + ZK'!L5="x",3,0)</f>
        <v>0</v>
      </c>
      <c r="E204" s="144">
        <f>IF('E2E Combined AB + TCF'!L5="x",3,0)</f>
        <v>0</v>
      </c>
    </row>
    <row r="205">
      <c r="B205" s="160">
        <f>'Original-E2E'!A7</f>
        <v>5</v>
      </c>
      <c r="C205" s="144">
        <f>IF('Original-E2E'!L7="x",3,0)</f>
        <v>0</v>
      </c>
      <c r="D205" s="144">
        <f>IF('E2E Combined OD + ZK'!L6="x",3,0)</f>
        <v>0</v>
      </c>
      <c r="E205" s="144">
        <f>IF('E2E Combined AB + TCF'!L6="x",3,0)</f>
        <v>0</v>
      </c>
    </row>
    <row r="206">
      <c r="B206" s="160">
        <f>'Original-E2E'!A8</f>
        <v>6</v>
      </c>
      <c r="C206" s="144">
        <f>IF('Original-E2E'!L8="x",3,0)</f>
        <v>0</v>
      </c>
      <c r="D206" s="144">
        <f>IF('E2E Combined OD + ZK'!L7="x",3,0)</f>
        <v>0</v>
      </c>
      <c r="E206" s="144">
        <f>IF('E2E Combined AB + TCF'!L7="x",3,0)</f>
        <v>0</v>
      </c>
    </row>
    <row r="207">
      <c r="B207" s="160">
        <f>'Original-E2E'!A9</f>
        <v>7</v>
      </c>
      <c r="C207" s="144">
        <f>IF('Original-E2E'!L9="x",3,0)</f>
        <v>0</v>
      </c>
      <c r="D207" s="144">
        <f>IF('E2E Combined OD + ZK'!L8="x",3,0)</f>
        <v>0</v>
      </c>
      <c r="E207" s="144">
        <f>IF('E2E Combined AB + TCF'!L8="x",3,0)</f>
        <v>0</v>
      </c>
    </row>
    <row r="208">
      <c r="B208" s="160">
        <f>'Original-E2E'!A10</f>
        <v>8</v>
      </c>
      <c r="C208" s="144">
        <f>IF('Original-E2E'!L10="x",3,0)</f>
        <v>0</v>
      </c>
      <c r="D208" s="144">
        <f>IF('E2E Combined OD + ZK'!L9="x",3,0)</f>
        <v>0</v>
      </c>
      <c r="E208" s="144">
        <f>IF('E2E Combined AB + TCF'!L9="x",3,0)</f>
        <v>0</v>
      </c>
    </row>
    <row r="209">
      <c r="B209" s="160">
        <f>'Original-E2E'!A11</f>
        <v>9</v>
      </c>
      <c r="C209" s="144">
        <f>IF('Original-E2E'!L11="x",3,0)</f>
        <v>0</v>
      </c>
      <c r="D209" s="144">
        <f>IF('E2E Combined OD + ZK'!L10="x",3,0)</f>
        <v>0</v>
      </c>
      <c r="E209" s="144">
        <f>IF('E2E Combined AB + TCF'!L10="x",3,0)</f>
        <v>0</v>
      </c>
    </row>
    <row r="210">
      <c r="B210" s="160">
        <f>'Original-E2E'!A12</f>
        <v>10</v>
      </c>
      <c r="C210" s="144">
        <f>IF('Original-E2E'!L12="x",3,0)</f>
        <v>0</v>
      </c>
      <c r="D210" s="144">
        <f>IF('E2E Combined OD + ZK'!L11="x",3,0)</f>
        <v>0</v>
      </c>
      <c r="E210" s="144">
        <f>IF('E2E Combined AB + TCF'!L11="x",3,0)</f>
        <v>0</v>
      </c>
    </row>
    <row r="211">
      <c r="B211" s="160">
        <f>'Original-E2E'!A13</f>
        <v>11</v>
      </c>
      <c r="C211" s="144">
        <f>IF('Original-E2E'!L13="x",3,0)</f>
        <v>0</v>
      </c>
      <c r="D211" s="144">
        <f>IF('E2E Combined OD + ZK'!L12="x",3,0)</f>
        <v>0</v>
      </c>
      <c r="E211" s="144">
        <f>IF('E2E Combined AB + TCF'!L12="x",3,0)</f>
        <v>0</v>
      </c>
    </row>
    <row r="212">
      <c r="B212" s="160">
        <f>'Original-E2E'!A14</f>
        <v>12</v>
      </c>
      <c r="C212" s="144">
        <f>IF('Original-E2E'!L14="x",3,0)</f>
        <v>0</v>
      </c>
      <c r="D212" s="144">
        <f>IF('E2E Combined OD + ZK'!L13="x",3,0)</f>
        <v>0</v>
      </c>
      <c r="E212" s="144">
        <f>IF('E2E Combined AB + TCF'!L13="x",3,0)</f>
        <v>0</v>
      </c>
    </row>
    <row r="213">
      <c r="B213" s="160">
        <f>'Original-E2E'!A15</f>
        <v>13</v>
      </c>
      <c r="C213" s="144">
        <f>IF('Original-E2E'!L15="x",3,0)</f>
        <v>0</v>
      </c>
      <c r="D213" s="144">
        <f>IF('E2E Combined OD + ZK'!L14="x",3,0)</f>
        <v>3</v>
      </c>
      <c r="E213" s="144">
        <f>IF('E2E Combined AB + TCF'!L14="x",3,0)</f>
        <v>3</v>
      </c>
    </row>
    <row r="214">
      <c r="B214" s="160">
        <f>'Original-E2E'!A16</f>
        <v>14</v>
      </c>
      <c r="C214" s="144">
        <f>IF('Original-E2E'!L16="x",3,0)</f>
        <v>0</v>
      </c>
      <c r="D214" s="144">
        <f>IF('E2E Combined OD + ZK'!L15="x",3,0)</f>
        <v>0</v>
      </c>
      <c r="E214" s="144">
        <f>IF('E2E Combined AB + TCF'!L15="x",3,0)</f>
        <v>0</v>
      </c>
    </row>
    <row r="215">
      <c r="B215" s="160">
        <f>'Original-E2E'!A17</f>
        <v>15</v>
      </c>
      <c r="C215" s="144">
        <f>IF('Original-E2E'!L17="x",3,0)</f>
        <v>0</v>
      </c>
      <c r="D215" s="144">
        <f>IF('E2E Combined OD + ZK'!L16="x",3,0)</f>
        <v>0</v>
      </c>
      <c r="E215" s="144">
        <f>IF('E2E Combined AB + TCF'!L16="x",3,0)</f>
        <v>0</v>
      </c>
    </row>
    <row r="216">
      <c r="B216" s="160">
        <f>'Original-E2E'!A18</f>
        <v>16</v>
      </c>
      <c r="C216" s="144">
        <f>IF('Original-E2E'!L18="x",3,0)</f>
        <v>0</v>
      </c>
      <c r="D216" s="144">
        <f>IF('E2E Combined OD + ZK'!L17="x",3,0)</f>
        <v>0</v>
      </c>
      <c r="E216" s="144">
        <f>IF('E2E Combined AB + TCF'!L17="x",3,0)</f>
        <v>0</v>
      </c>
    </row>
    <row r="217">
      <c r="B217" s="160">
        <f>'Original-E2E'!A19</f>
        <v>17</v>
      </c>
      <c r="C217" s="144">
        <f>IF('Original-E2E'!L19="x",3,0)</f>
        <v>0</v>
      </c>
      <c r="D217" s="144">
        <f>IF('E2E Combined OD + ZK'!L18="x",3,0)</f>
        <v>3</v>
      </c>
      <c r="E217" s="144">
        <f>IF('E2E Combined AB + TCF'!L18="x",3,0)</f>
        <v>0</v>
      </c>
    </row>
    <row r="218">
      <c r="B218" s="160">
        <f>'Original-E2E'!A20</f>
        <v>18</v>
      </c>
      <c r="C218" s="144">
        <f>IF('Original-E2E'!L20="x",3,0)</f>
        <v>0</v>
      </c>
      <c r="D218" s="144">
        <f>IF('E2E Combined OD + ZK'!L19="x",3,0)</f>
        <v>0</v>
      </c>
      <c r="E218" s="144">
        <f>IF('E2E Combined AB + TCF'!L19="x",3,0)</f>
        <v>0</v>
      </c>
    </row>
    <row r="219">
      <c r="B219" s="160">
        <f>'Original-E2E'!A21</f>
        <v>19</v>
      </c>
      <c r="C219" s="144">
        <f>IF('Original-E2E'!L21="x",3,0)</f>
        <v>0</v>
      </c>
      <c r="D219" s="144">
        <f>IF('E2E Combined OD + ZK'!L20="x",3,0)</f>
        <v>3</v>
      </c>
      <c r="E219" s="144">
        <f>IF('E2E Combined AB + TCF'!L20="x",3,0)</f>
        <v>0</v>
      </c>
    </row>
    <row r="220">
      <c r="B220" s="160">
        <f>'Original-E2E'!A22</f>
        <v>20</v>
      </c>
      <c r="C220" s="144">
        <f>IF('Original-E2E'!L22="x",3,0)</f>
        <v>0</v>
      </c>
      <c r="D220" s="144">
        <f>IF('E2E Combined OD + ZK'!L21="x",3,0)</f>
        <v>0</v>
      </c>
      <c r="E220" s="144">
        <f>IF('E2E Combined AB + TCF'!L21="x",3,0)</f>
        <v>0</v>
      </c>
    </row>
    <row r="221">
      <c r="B221" s="160">
        <f>'Original-E2E'!A23</f>
        <v>21</v>
      </c>
      <c r="C221" s="144">
        <f>IF('Original-E2E'!L23="x",3,0)</f>
        <v>0</v>
      </c>
      <c r="D221" s="144">
        <f>IF('E2E Combined OD + ZK'!L22="x",3,0)</f>
        <v>0</v>
      </c>
      <c r="E221" s="144">
        <f>IF('E2E Combined AB + TCF'!L22="x",3,0)</f>
        <v>0</v>
      </c>
    </row>
    <row r="222">
      <c r="B222" s="160">
        <f>'Original-E2E'!A24</f>
        <v>22</v>
      </c>
      <c r="C222" s="144">
        <f>IF('Original-E2E'!L24="x",3,0)</f>
        <v>0</v>
      </c>
      <c r="D222" s="144">
        <f>IF('E2E Combined OD + ZK'!L23="x",3,0)</f>
        <v>0</v>
      </c>
      <c r="E222" s="144">
        <f>IF('E2E Combined AB + TCF'!L23="x",3,0)</f>
        <v>0</v>
      </c>
    </row>
    <row r="223">
      <c r="B223" s="160">
        <f>'Original-E2E'!A25</f>
        <v>23</v>
      </c>
      <c r="C223" s="144">
        <f>IF('Original-E2E'!L25="x",3,0)</f>
        <v>0</v>
      </c>
      <c r="D223" s="144">
        <f>IF('E2E Combined OD + ZK'!L24="x",3,0)</f>
        <v>3</v>
      </c>
      <c r="E223" s="144">
        <f>IF('E2E Combined AB + TCF'!L24="x",3,0)</f>
        <v>0</v>
      </c>
    </row>
    <row r="224">
      <c r="B224" s="160">
        <f>'Original-E2E'!A26</f>
        <v>24</v>
      </c>
      <c r="C224" s="144">
        <f>IF('Original-E2E'!L26="x",3,0)</f>
        <v>0</v>
      </c>
      <c r="D224" s="144">
        <f>IF('E2E Combined OD + ZK'!L25="x",3,0)</f>
        <v>0</v>
      </c>
      <c r="E224" s="144">
        <f>IF('E2E Combined AB + TCF'!L25="x",3,0)</f>
        <v>0</v>
      </c>
    </row>
    <row r="225">
      <c r="B225" s="160">
        <f>'Original-E2E'!A27</f>
        <v>25</v>
      </c>
      <c r="C225" s="144">
        <f>IF('Original-E2E'!L27="x",3,0)</f>
        <v>0</v>
      </c>
      <c r="D225" s="144">
        <f>IF('E2E Combined OD + ZK'!L26="x",3,0)</f>
        <v>0</v>
      </c>
      <c r="E225" s="144">
        <f>IF('E2E Combined AB + TCF'!L26="x",3,0)</f>
        <v>0</v>
      </c>
    </row>
    <row r="226">
      <c r="B226" s="160">
        <f>'Original-E2E'!A28</f>
        <v>27</v>
      </c>
      <c r="C226" s="144">
        <f>IF('Original-E2E'!L28="x",3,0)</f>
        <v>0</v>
      </c>
      <c r="D226" s="144">
        <f>IF('E2E Combined OD + ZK'!L27="x",3,0)</f>
        <v>0</v>
      </c>
      <c r="E226" s="144">
        <f>IF('E2E Combined AB + TCF'!L27="x",3,0)</f>
        <v>0</v>
      </c>
    </row>
    <row r="227">
      <c r="B227" s="160">
        <f>'Original-E2E'!A29</f>
        <v>28</v>
      </c>
      <c r="C227" s="144">
        <f>IF('Original-E2E'!L29="x",3,0)</f>
        <v>0</v>
      </c>
      <c r="D227" s="144">
        <f>IF('E2E Combined OD + ZK'!L28="x",3,0)</f>
        <v>0</v>
      </c>
      <c r="E227" s="144">
        <f>IF('E2E Combined AB + TCF'!L28="x",3,0)</f>
        <v>0</v>
      </c>
    </row>
    <row r="228">
      <c r="B228" s="160">
        <f>'Original-E2E'!A30</f>
        <v>29</v>
      </c>
      <c r="C228" s="144">
        <f>IF('Original-E2E'!L30="x",3,0)</f>
        <v>0</v>
      </c>
      <c r="D228" s="144">
        <f>IF('E2E Combined OD + ZK'!L29="x",3,0)</f>
        <v>0</v>
      </c>
      <c r="E228" s="144">
        <f>IF('E2E Combined AB + TCF'!L29="x",3,0)</f>
        <v>0</v>
      </c>
    </row>
    <row r="229">
      <c r="B229" s="160">
        <f>'Original-E2E'!A31</f>
        <v>30</v>
      </c>
      <c r="C229" s="144">
        <f>IF('Original-E2E'!L31="x",3,0)</f>
        <v>0</v>
      </c>
      <c r="D229" s="144">
        <f>IF('E2E Combined OD + ZK'!L30="x",3,0)</f>
        <v>0</v>
      </c>
      <c r="E229" s="144">
        <f>IF('E2E Combined AB + TCF'!L30="x",3,0)</f>
        <v>0</v>
      </c>
    </row>
    <row r="230">
      <c r="B230" s="160">
        <f>'Original-E2E'!A32</f>
        <v>31</v>
      </c>
      <c r="C230" s="144">
        <f>IF('Original-E2E'!L32="x",3,0)</f>
        <v>0</v>
      </c>
      <c r="D230" s="144">
        <f>IF('E2E Combined OD + ZK'!L31="x",3,0)</f>
        <v>0</v>
      </c>
      <c r="E230" s="144">
        <f>IF('E2E Combined AB + TCF'!L31="x",3,0)</f>
        <v>0</v>
      </c>
    </row>
    <row r="231">
      <c r="B231" s="160">
        <f>'Original-E2E'!A33</f>
        <v>33</v>
      </c>
      <c r="C231" s="144">
        <f>IF('Original-E2E'!L33="x",3,0)</f>
        <v>0</v>
      </c>
      <c r="D231" s="144">
        <f>IF('E2E Combined OD + ZK'!L32="x",3,0)</f>
        <v>0</v>
      </c>
      <c r="E231" s="144">
        <f>IF('E2E Combined AB + TCF'!L32="x",3,0)</f>
        <v>0</v>
      </c>
    </row>
    <row r="232">
      <c r="B232" s="160">
        <f>'Original-E2E'!A34</f>
        <v>34</v>
      </c>
      <c r="C232" s="144">
        <f>IF('Original-E2E'!L34="x",3,0)</f>
        <v>0</v>
      </c>
      <c r="D232" s="144">
        <f>IF('E2E Combined OD + ZK'!L33="x",3,0)</f>
        <v>0</v>
      </c>
      <c r="E232" s="144">
        <f>IF('E2E Combined AB + TCF'!L33="x",3,0)</f>
        <v>0</v>
      </c>
    </row>
    <row r="233">
      <c r="B233" s="160">
        <f>'Original-E2E'!A35</f>
        <v>36</v>
      </c>
      <c r="C233" s="144">
        <f>IF('Original-E2E'!L35="x",3,0)</f>
        <v>0</v>
      </c>
      <c r="D233" s="144">
        <f>IF('E2E Combined OD + ZK'!L34="x",3,0)</f>
        <v>0</v>
      </c>
      <c r="E233" s="144">
        <f>IF('E2E Combined AB + TCF'!L34="x",3,0)</f>
        <v>0</v>
      </c>
    </row>
    <row r="234">
      <c r="B234" s="160">
        <f>'Original-E2E'!A36</f>
        <v>37</v>
      </c>
      <c r="C234" s="144">
        <f>IF('Original-E2E'!L36="x",3,0)</f>
        <v>0</v>
      </c>
      <c r="D234" s="144">
        <f>IF('E2E Combined OD + ZK'!L35="x",3,0)</f>
        <v>0</v>
      </c>
      <c r="E234" s="144">
        <f>IF('E2E Combined AB + TCF'!L35="x",3,0)</f>
        <v>0</v>
      </c>
    </row>
    <row r="235">
      <c r="B235" s="160">
        <f>'Original-E2E'!A37</f>
        <v>38</v>
      </c>
      <c r="C235" s="144">
        <f>IF('Original-E2E'!L37="x",3,0)</f>
        <v>0</v>
      </c>
      <c r="D235" s="144">
        <f>IF('E2E Combined OD + ZK'!L36="x",3,0)</f>
        <v>0</v>
      </c>
      <c r="E235" s="144">
        <f>IF('E2E Combined AB + TCF'!L36="x",3,0)</f>
        <v>0</v>
      </c>
    </row>
    <row r="236">
      <c r="B236" s="160">
        <f>'Original-E2E'!A38</f>
        <v>40</v>
      </c>
      <c r="C236" s="144">
        <f>IF('Original-E2E'!L38="x",3,0)</f>
        <v>0</v>
      </c>
      <c r="D236" s="144">
        <f>IF('E2E Combined OD + ZK'!L37="x",3,0)</f>
        <v>0</v>
      </c>
      <c r="E236" s="144">
        <f>IF('E2E Combined AB + TCF'!L37="x",3,0)</f>
        <v>0</v>
      </c>
    </row>
    <row r="237">
      <c r="B237" s="160">
        <f>'Original-E2E'!A39</f>
        <v>41</v>
      </c>
      <c r="C237" s="144">
        <f>IF('Original-E2E'!L39="x",3,0)</f>
        <v>3</v>
      </c>
      <c r="D237" s="144">
        <f>IF('E2E Combined OD + ZK'!L38="x",3,0)</f>
        <v>3</v>
      </c>
      <c r="E237" s="144">
        <f>IF('E2E Combined AB + TCF'!L38="x",3,0)</f>
        <v>3</v>
      </c>
    </row>
    <row r="238">
      <c r="B238" s="160">
        <f>'Original-E2E'!A40</f>
        <v>42</v>
      </c>
      <c r="C238" s="144">
        <f>IF('Original-E2E'!L40="x",3,0)</f>
        <v>0</v>
      </c>
      <c r="D238" s="144">
        <f>IF('E2E Combined OD + ZK'!L39="x",3,0)</f>
        <v>0</v>
      </c>
      <c r="E238" s="144">
        <f>IF('E2E Combined AB + TCF'!L39="x",3,0)</f>
        <v>0</v>
      </c>
    </row>
    <row r="239">
      <c r="B239" s="160">
        <f>'Original-E2E'!A41</f>
        <v>43</v>
      </c>
      <c r="C239" s="144">
        <f>IF('Original-E2E'!L41="x",3,0)</f>
        <v>0</v>
      </c>
      <c r="D239" s="144">
        <f>IF('E2E Combined OD + ZK'!L40="x",3,0)</f>
        <v>0</v>
      </c>
      <c r="E239" s="144">
        <f>IF('E2E Combined AB + TCF'!L40="x",3,0)</f>
        <v>0</v>
      </c>
    </row>
    <row r="240">
      <c r="B240" s="160">
        <f>'Original-E2E'!A42</f>
        <v>44</v>
      </c>
      <c r="C240" s="144">
        <f>IF('Original-E2E'!L42="x",3,0)</f>
        <v>0</v>
      </c>
      <c r="D240" s="144">
        <f>IF('E2E Combined OD + ZK'!L41="x",3,0)</f>
        <v>0</v>
      </c>
      <c r="E240" s="144">
        <f>IF('E2E Combined AB + TCF'!L41="x",3,0)</f>
        <v>0</v>
      </c>
    </row>
    <row r="241">
      <c r="B241" s="160">
        <f>'Original-E2E'!A43</f>
        <v>45</v>
      </c>
      <c r="C241" s="144">
        <f>IF('Original-E2E'!L43="x",3,0)</f>
        <v>0</v>
      </c>
      <c r="D241" s="144">
        <f>IF('E2E Combined OD + ZK'!L42="x",3,0)</f>
        <v>0</v>
      </c>
      <c r="E241" s="144">
        <f>IF('E2E Combined AB + TCF'!L42="x",3,0)</f>
        <v>0</v>
      </c>
    </row>
    <row r="242">
      <c r="B242" s="160">
        <f>'Original-E2E'!A44</f>
        <v>46</v>
      </c>
      <c r="C242" s="144">
        <f>IF('Original-E2E'!L44="x",3,0)</f>
        <v>0</v>
      </c>
      <c r="D242" s="144">
        <f>IF('E2E Combined OD + ZK'!L43="x",3,0)</f>
        <v>0</v>
      </c>
      <c r="E242" s="144">
        <f>IF('E2E Combined AB + TCF'!L43="x",3,0)</f>
        <v>0</v>
      </c>
    </row>
    <row r="243">
      <c r="B243" s="160">
        <f>'Original-E2E'!A45</f>
        <v>47</v>
      </c>
      <c r="C243" s="144">
        <f>IF('Original-E2E'!L45="x",3,0)</f>
        <v>0</v>
      </c>
      <c r="D243" s="144">
        <f>IF('E2E Combined OD + ZK'!L44="x",3,0)</f>
        <v>0</v>
      </c>
      <c r="E243" s="144">
        <f>IF('E2E Combined AB + TCF'!L44="x",3,0)</f>
        <v>0</v>
      </c>
    </row>
    <row r="244">
      <c r="B244" s="160">
        <f>'Original-E2E'!A46</f>
        <v>48</v>
      </c>
      <c r="C244" s="144">
        <f>IF('Original-E2E'!L46="x",3,0)</f>
        <v>0</v>
      </c>
      <c r="D244" s="144">
        <f>IF('E2E Combined OD + ZK'!L45="x",3,0)</f>
        <v>0</v>
      </c>
      <c r="E244" s="144">
        <f>IF('E2E Combined AB + TCF'!L45="x",3,0)</f>
        <v>0</v>
      </c>
    </row>
    <row r="245">
      <c r="B245" s="160">
        <f>'Original-E2E'!A47</f>
        <v>49</v>
      </c>
      <c r="C245" s="144">
        <f>IF('Original-E2E'!L47="x",3,0)</f>
        <v>0</v>
      </c>
      <c r="D245" s="144">
        <f>IF('E2E Combined OD + ZK'!L46="x",3,0)</f>
        <v>0</v>
      </c>
      <c r="E245" s="144">
        <f>IF('E2E Combined AB + TCF'!L46="x",3,0)</f>
        <v>0</v>
      </c>
    </row>
    <row r="246">
      <c r="B246" s="160">
        <f>'Original-E2E'!A48</f>
        <v>51</v>
      </c>
      <c r="C246" s="144">
        <f>IF('Original-E2E'!L48="x",3,0)</f>
        <v>3</v>
      </c>
      <c r="D246" s="144">
        <f>IF('E2E Combined OD + ZK'!L47="x",3,0)</f>
        <v>3</v>
      </c>
      <c r="E246" s="144">
        <f>IF('E2E Combined AB + TCF'!L47="x",3,0)</f>
        <v>3</v>
      </c>
    </row>
    <row r="247">
      <c r="B247" s="160">
        <f>'Original-E2E'!A49</f>
        <v>52</v>
      </c>
      <c r="C247" s="144">
        <f>IF('Original-E2E'!L49="x",3,0)</f>
        <v>0</v>
      </c>
      <c r="D247" s="144">
        <f>IF('E2E Combined OD + ZK'!L48="x",3,0)</f>
        <v>0</v>
      </c>
      <c r="E247" s="144">
        <f>IF('E2E Combined AB + TCF'!L48="x",3,0)</f>
        <v>0</v>
      </c>
    </row>
    <row r="248">
      <c r="B248" s="160">
        <f>'Original-E2E'!A50</f>
        <v>54</v>
      </c>
      <c r="C248" s="144">
        <f>IF('Original-E2E'!L50="x",3,0)</f>
        <v>0</v>
      </c>
      <c r="D248" s="144">
        <f>IF('E2E Combined OD + ZK'!L49="x",3,0)</f>
        <v>0</v>
      </c>
      <c r="E248" s="144">
        <f>IF('E2E Combined AB + TCF'!L49="x",3,0)</f>
        <v>0</v>
      </c>
    </row>
    <row r="249">
      <c r="B249" s="160">
        <f>'Original-E2E'!A51</f>
        <v>55</v>
      </c>
      <c r="C249" s="144">
        <f>IF('Original-E2E'!L51="x",3,0)</f>
        <v>0</v>
      </c>
      <c r="D249" s="144">
        <f>IF('E2E Combined OD + ZK'!L50="x",3,0)</f>
        <v>0</v>
      </c>
      <c r="E249" s="144">
        <f>IF('E2E Combined AB + TCF'!L50="x",3,0)</f>
        <v>0</v>
      </c>
    </row>
    <row r="250">
      <c r="B250" s="160">
        <f>'Original-E2E'!A52</f>
        <v>56</v>
      </c>
      <c r="C250" s="144">
        <f>IF('Original-E2E'!L52="x",3,0)</f>
        <v>0</v>
      </c>
      <c r="D250" s="144">
        <f>IF('E2E Combined OD + ZK'!L51="x",3,0)</f>
        <v>0</v>
      </c>
      <c r="E250" s="144">
        <f>IF('E2E Combined AB + TCF'!L51="x",3,0)</f>
        <v>0</v>
      </c>
    </row>
    <row r="251">
      <c r="B251" s="160">
        <f>'Original-E2E'!A53</f>
        <v>57</v>
      </c>
      <c r="C251" s="144">
        <f>IF('Original-E2E'!L53="x",3,0)</f>
        <v>0</v>
      </c>
      <c r="D251" s="144">
        <f>IF('E2E Combined OD + ZK'!L52="x",3,0)</f>
        <v>0</v>
      </c>
      <c r="E251" s="144">
        <f>IF('E2E Combined AB + TCF'!L52="x",3,0)</f>
        <v>0</v>
      </c>
    </row>
    <row r="252">
      <c r="B252" s="160">
        <f>'Original-E2E'!A54</f>
        <v>58</v>
      </c>
      <c r="C252" s="144">
        <f>IF('Original-E2E'!L54="x",3,0)</f>
        <v>0</v>
      </c>
      <c r="D252" s="144">
        <f>IF('E2E Combined OD + ZK'!L53="x",3,0)</f>
        <v>0</v>
      </c>
      <c r="E252" s="144">
        <f>IF('E2E Combined AB + TCF'!L53="x",3,0)</f>
        <v>0</v>
      </c>
    </row>
    <row r="253">
      <c r="B253" s="160">
        <f>'Original-E2E'!A55</f>
        <v>59</v>
      </c>
      <c r="C253" s="144">
        <f>IF('Original-E2E'!L55="x",3,0)</f>
        <v>0</v>
      </c>
      <c r="D253" s="144">
        <f>IF('E2E Combined OD + ZK'!L54="x",3,0)</f>
        <v>0</v>
      </c>
      <c r="E253" s="144">
        <f>IF('E2E Combined AB + TCF'!L54="x",3,0)</f>
        <v>3</v>
      </c>
    </row>
    <row r="254">
      <c r="B254" s="160">
        <f>'Original-E2E'!A56</f>
        <v>61</v>
      </c>
      <c r="C254" s="144">
        <f>IF('Original-E2E'!L56="x",3,0)</f>
        <v>0</v>
      </c>
      <c r="D254" s="144">
        <f>IF('E2E Combined OD + ZK'!L55="x",3,0)</f>
        <v>0</v>
      </c>
      <c r="E254" s="144">
        <f>IF('E2E Combined AB + TCF'!L55="x",3,0)</f>
        <v>0</v>
      </c>
    </row>
    <row r="255">
      <c r="B255" s="160">
        <f>'Original-E2E'!A57</f>
        <v>62</v>
      </c>
      <c r="C255" s="144">
        <f>IF('Original-E2E'!L57="x",3,0)</f>
        <v>0</v>
      </c>
      <c r="D255" s="144">
        <f>IF('E2E Combined OD + ZK'!L56="x",3,0)</f>
        <v>0</v>
      </c>
      <c r="E255" s="144">
        <f>IF('E2E Combined AB + TCF'!L56="x",3,0)</f>
        <v>0</v>
      </c>
    </row>
    <row r="256">
      <c r="B256" s="160">
        <f>'Original-E2E'!A58</f>
        <v>63</v>
      </c>
      <c r="C256" s="144">
        <f>IF('Original-E2E'!L58="x",3,0)</f>
        <v>0</v>
      </c>
      <c r="D256" s="144">
        <f>IF('E2E Combined OD + ZK'!L57="x",3,0)</f>
        <v>0</v>
      </c>
      <c r="E256" s="144">
        <f>IF('E2E Combined AB + TCF'!L57="x",3,0)</f>
        <v>0</v>
      </c>
    </row>
    <row r="257">
      <c r="B257" s="160">
        <f>'Original-E2E'!A59</f>
        <v>64</v>
      </c>
      <c r="C257" s="144">
        <f>IF('Original-E2E'!L59="x",3,0)</f>
        <v>0</v>
      </c>
      <c r="D257" s="144">
        <f>IF('E2E Combined OD + ZK'!L58="x",3,0)</f>
        <v>3</v>
      </c>
      <c r="E257" s="144">
        <f>IF('E2E Combined AB + TCF'!L58="x",3,0)</f>
        <v>3</v>
      </c>
    </row>
    <row r="258">
      <c r="B258" s="160">
        <f>'Original-E2E'!A60</f>
        <v>66</v>
      </c>
      <c r="C258" s="144">
        <f>IF('Original-E2E'!L60="x",3,0)</f>
        <v>0</v>
      </c>
      <c r="D258" s="144">
        <f>IF('E2E Combined OD + ZK'!L59="x",3,0)</f>
        <v>0</v>
      </c>
      <c r="E258" s="144">
        <f>IF('E2E Combined AB + TCF'!L59="x",3,0)</f>
        <v>0</v>
      </c>
    </row>
    <row r="259">
      <c r="B259" s="160">
        <f>'Original-E2E'!A61</f>
        <v>67</v>
      </c>
      <c r="C259" s="144">
        <f>IF('Original-E2E'!L61="x",3,0)</f>
        <v>0</v>
      </c>
      <c r="D259" s="144">
        <f>IF('E2E Combined OD + ZK'!L60="x",3,0)</f>
        <v>0</v>
      </c>
      <c r="E259" s="144">
        <f>IF('E2E Combined AB + TCF'!L60="x",3,0)</f>
        <v>0</v>
      </c>
    </row>
    <row r="260">
      <c r="B260" s="160">
        <f>'Original-E2E'!A62</f>
        <v>69</v>
      </c>
      <c r="C260" s="144">
        <f>IF('Original-E2E'!L62="x",3,0)</f>
        <v>3</v>
      </c>
      <c r="D260" s="144">
        <f>IF('E2E Combined OD + ZK'!L61="x",3,0)</f>
        <v>3</v>
      </c>
      <c r="E260" s="144">
        <f>IF('E2E Combined AB + TCF'!L61="x",3,0)</f>
        <v>3</v>
      </c>
    </row>
    <row r="261">
      <c r="B261" s="160">
        <f>'Original-E2E'!A63</f>
        <v>70</v>
      </c>
      <c r="C261" s="144">
        <f>IF('Original-E2E'!L63="x",3,0)</f>
        <v>0</v>
      </c>
      <c r="D261" s="144">
        <f>IF('E2E Combined OD + ZK'!L62="x",3,0)</f>
        <v>0</v>
      </c>
      <c r="E261" s="144">
        <f>IF('E2E Combined AB + TCF'!L62="x",3,0)</f>
        <v>0</v>
      </c>
    </row>
    <row r="262">
      <c r="B262" s="160">
        <f>'Original-E2E'!A64</f>
        <v>71</v>
      </c>
      <c r="C262" s="144">
        <f>IF('Original-E2E'!L64="x",3,0)</f>
        <v>0</v>
      </c>
      <c r="D262" s="144">
        <f>IF('E2E Combined OD + ZK'!L63="x",3,0)</f>
        <v>0</v>
      </c>
      <c r="E262" s="144">
        <f>IF('E2E Combined AB + TCF'!L63="x",3,0)</f>
        <v>0</v>
      </c>
    </row>
    <row r="263">
      <c r="B263" s="160">
        <f>'Original-E2E'!A65</f>
        <v>72</v>
      </c>
      <c r="C263" s="144">
        <f>IF('Original-E2E'!L65="x",3,0)</f>
        <v>0</v>
      </c>
      <c r="D263" s="144">
        <f>IF('E2E Combined OD + ZK'!L64="x",3,0)</f>
        <v>0</v>
      </c>
      <c r="E263" s="144">
        <f>IF('E2E Combined AB + TCF'!L64="x",3,0)</f>
        <v>0</v>
      </c>
    </row>
    <row r="264">
      <c r="B264" s="160">
        <f>'Original-E2E'!A66</f>
        <v>73</v>
      </c>
      <c r="C264" s="144">
        <f>IF('Original-E2E'!L66="x",3,0)</f>
        <v>0</v>
      </c>
      <c r="D264" s="144">
        <f>IF('E2E Combined OD + ZK'!L65="x",3,0)</f>
        <v>0</v>
      </c>
      <c r="E264" s="144">
        <f>IF('E2E Combined AB + TCF'!L65="x",3,0)</f>
        <v>0</v>
      </c>
    </row>
    <row r="265">
      <c r="B265" s="160">
        <f>'Original-E2E'!A67</f>
        <v>74</v>
      </c>
      <c r="C265" s="144">
        <f>IF('Original-E2E'!L67="x",3,0)</f>
        <v>0</v>
      </c>
      <c r="D265" s="144">
        <f>IF('E2E Combined OD + ZK'!L66="x",3,0)</f>
        <v>0</v>
      </c>
      <c r="E265" s="144">
        <f>IF('E2E Combined AB + TCF'!L66="x",3,0)</f>
        <v>0</v>
      </c>
    </row>
    <row r="266">
      <c r="B266" s="160">
        <f>'Original-E2E'!A68</f>
        <v>75</v>
      </c>
      <c r="C266" s="144">
        <f>IF('Original-E2E'!L68="x",3,0)</f>
        <v>0</v>
      </c>
      <c r="D266" s="144">
        <f>IF('E2E Combined OD + ZK'!L67="x",3,0)</f>
        <v>0</v>
      </c>
      <c r="E266" s="144">
        <f>IF('E2E Combined AB + TCF'!L67="x",3,0)</f>
        <v>0</v>
      </c>
    </row>
    <row r="267">
      <c r="B267" s="160">
        <f>'Original-E2E'!A69</f>
        <v>76</v>
      </c>
      <c r="C267" s="144">
        <f>IF('Original-E2E'!L69="x",3,0)</f>
        <v>0</v>
      </c>
      <c r="D267" s="144">
        <f>IF('E2E Combined OD + ZK'!L68="x",3,0)</f>
        <v>0</v>
      </c>
      <c r="E267" s="144">
        <f>IF('E2E Combined AB + TCF'!L68="x",3,0)</f>
        <v>0</v>
      </c>
    </row>
    <row r="268">
      <c r="B268" s="160">
        <f>'Original-E2E'!A70</f>
        <v>77</v>
      </c>
      <c r="C268" s="144">
        <f>IF('Original-E2E'!L70="x",3,0)</f>
        <v>0</v>
      </c>
      <c r="D268" s="144">
        <f>IF('E2E Combined OD + ZK'!L69="x",3,0)</f>
        <v>0</v>
      </c>
      <c r="E268" s="144">
        <f>IF('E2E Combined AB + TCF'!L69="x",3,0)</f>
        <v>0</v>
      </c>
    </row>
    <row r="269">
      <c r="B269" s="160">
        <f>'Original-E2E'!A71</f>
        <v>78</v>
      </c>
      <c r="C269" s="144">
        <f>IF('Original-E2E'!L71="x",3,0)</f>
        <v>0</v>
      </c>
      <c r="D269" s="144">
        <f>IF('E2E Combined OD + ZK'!L70="x",3,0)</f>
        <v>0</v>
      </c>
      <c r="E269" s="144">
        <f>IF('E2E Combined AB + TCF'!L70="x",3,0)</f>
        <v>0</v>
      </c>
    </row>
    <row r="270">
      <c r="B270" s="160">
        <f>'Original-E2E'!A72</f>
        <v>79</v>
      </c>
      <c r="C270" s="144">
        <f>IF('Original-E2E'!L72="x",3,0)</f>
        <v>0</v>
      </c>
      <c r="D270" s="144">
        <f>IF('E2E Combined OD + ZK'!L71="x",3,0)</f>
        <v>0</v>
      </c>
      <c r="E270" s="144">
        <f>IF('E2E Combined AB + TCF'!L71="x",3,0)</f>
        <v>0</v>
      </c>
    </row>
    <row r="271">
      <c r="B271" s="160">
        <f>'Original-E2E'!A73</f>
        <v>80</v>
      </c>
      <c r="C271" s="144">
        <f>IF('Original-E2E'!L73="x",3,0)</f>
        <v>0</v>
      </c>
      <c r="D271" s="144">
        <f>IF('E2E Combined OD + ZK'!L72="x",3,0)</f>
        <v>0</v>
      </c>
      <c r="E271" s="144">
        <f>IF('E2E Combined AB + TCF'!L72="x",3,0)</f>
        <v>0</v>
      </c>
    </row>
    <row r="272">
      <c r="B272" s="160">
        <f>'Original-E2E'!A74</f>
        <v>81</v>
      </c>
      <c r="C272" s="144">
        <f>IF('Original-E2E'!L74="x",3,0)</f>
        <v>3</v>
      </c>
      <c r="D272" s="144">
        <f>IF('E2E Combined OD + ZK'!L73="x",3,0)</f>
        <v>3</v>
      </c>
      <c r="E272" s="144">
        <f>IF('E2E Combined AB + TCF'!L73="x",3,0)</f>
        <v>3</v>
      </c>
    </row>
    <row r="273">
      <c r="B273" s="160">
        <f>'Original-E2E'!A75</f>
        <v>82</v>
      </c>
      <c r="C273" s="144">
        <f>IF('Original-E2E'!L75="x",3,0)</f>
        <v>0</v>
      </c>
      <c r="D273" s="144">
        <f>IF('E2E Combined OD + ZK'!L74="x",3,0)</f>
        <v>3</v>
      </c>
      <c r="E273" s="144">
        <f>IF('E2E Combined AB + TCF'!L74="x",3,0)</f>
        <v>0</v>
      </c>
    </row>
    <row r="274">
      <c r="B274" s="160">
        <f>'Original-E2E'!A76</f>
        <v>83</v>
      </c>
      <c r="C274" s="144">
        <f>IF('Original-E2E'!L76="x",3,0)</f>
        <v>0</v>
      </c>
      <c r="D274" s="144">
        <f>IF('E2E Combined OD + ZK'!L75="x",3,0)</f>
        <v>0</v>
      </c>
      <c r="E274" s="144">
        <f>IF('E2E Combined AB + TCF'!L75="x",3,0)</f>
        <v>0</v>
      </c>
    </row>
    <row r="275">
      <c r="B275" s="160">
        <f>'Original-E2E'!A77</f>
        <v>86</v>
      </c>
      <c r="C275" s="144">
        <f>IF('Original-E2E'!L77="x",3,0)</f>
        <v>0</v>
      </c>
      <c r="D275" s="144">
        <f>IF('E2E Combined OD + ZK'!L76="x",3,0)</f>
        <v>0</v>
      </c>
      <c r="E275" s="144">
        <f>IF('E2E Combined AB + TCF'!L76="x",3,0)</f>
        <v>0</v>
      </c>
    </row>
    <row r="276">
      <c r="B276" s="160">
        <f>'Original-E2E'!A78</f>
        <v>89</v>
      </c>
      <c r="C276" s="144">
        <f>IF('Original-E2E'!L78="x",3,0)</f>
        <v>0</v>
      </c>
      <c r="D276" s="144">
        <f>IF('E2E Combined OD + ZK'!L77="x",3,0)</f>
        <v>0</v>
      </c>
      <c r="E276" s="144">
        <f>IF('E2E Combined AB + TCF'!L77="x",3,0)</f>
        <v>0</v>
      </c>
    </row>
    <row r="277">
      <c r="B277" s="160">
        <f>'Original-E2E'!A79</f>
        <v>90</v>
      </c>
      <c r="C277" s="144">
        <f>IF('Original-E2E'!L79="x",3,0)</f>
        <v>3</v>
      </c>
      <c r="D277" s="144">
        <f>IF('E2E Combined OD + ZK'!L78="x",3,0)</f>
        <v>3</v>
      </c>
      <c r="E277" s="144">
        <f>IF('E2E Combined AB + TCF'!L78="x",3,0)</f>
        <v>0</v>
      </c>
    </row>
    <row r="278">
      <c r="B278" s="160">
        <f>'Original-E2E'!A80</f>
        <v>91</v>
      </c>
      <c r="C278" s="144">
        <f>IF('Original-E2E'!L80="x",3,0)</f>
        <v>3</v>
      </c>
      <c r="D278" s="144">
        <f>IF('E2E Combined OD + ZK'!L79="x",3,0)</f>
        <v>0</v>
      </c>
      <c r="E278" s="144">
        <f>IF('E2E Combined AB + TCF'!L79="x",3,0)</f>
        <v>0</v>
      </c>
    </row>
    <row r="279">
      <c r="B279" s="160">
        <f>'Original-E2E'!A81</f>
        <v>92</v>
      </c>
      <c r="C279" s="144">
        <f>IF('Original-E2E'!L81="x",3,0)</f>
        <v>0</v>
      </c>
      <c r="D279" s="144">
        <f>IF('E2E Combined OD + ZK'!L80="x",3,0)</f>
        <v>0</v>
      </c>
      <c r="E279" s="144">
        <f>IF('E2E Combined AB + TCF'!L80="x",3,0)</f>
        <v>0</v>
      </c>
    </row>
    <row r="280">
      <c r="B280" s="160">
        <f>'Original-E2E'!A82</f>
        <v>94</v>
      </c>
      <c r="C280" s="144">
        <f>IF('Original-E2E'!L82="x",3,0)</f>
        <v>0</v>
      </c>
      <c r="D280" s="144">
        <f>IF('E2E Combined OD + ZK'!L81="x",3,0)</f>
        <v>0</v>
      </c>
      <c r="E280" s="144">
        <f>IF('E2E Combined AB + TCF'!L81="x",3,0)</f>
        <v>0</v>
      </c>
    </row>
    <row r="281">
      <c r="B281" s="160">
        <f>'Original-E2E'!A83</f>
        <v>95</v>
      </c>
      <c r="C281" s="144">
        <f>IF('Original-E2E'!L83="x",3,0)</f>
        <v>0</v>
      </c>
      <c r="D281" s="144">
        <f>IF('E2E Combined OD + ZK'!L82="x",3,0)</f>
        <v>0</v>
      </c>
      <c r="E281" s="144">
        <f>IF('E2E Combined AB + TCF'!L82="x",3,0)</f>
        <v>0</v>
      </c>
    </row>
    <row r="282">
      <c r="B282" s="160">
        <f>'Original-E2E'!A84</f>
        <v>96</v>
      </c>
      <c r="C282" s="144">
        <f>IF('Original-E2E'!L84="x",3,0)</f>
        <v>0</v>
      </c>
      <c r="D282" s="144">
        <f>IF('E2E Combined OD + ZK'!L83="x",3,0)</f>
        <v>0</v>
      </c>
      <c r="E282" s="144">
        <f>IF('E2E Combined AB + TCF'!L83="x",3,0)</f>
        <v>0</v>
      </c>
    </row>
    <row r="283">
      <c r="B283" s="160">
        <f>'Original-E2E'!A85</f>
        <v>98</v>
      </c>
      <c r="C283" s="144">
        <f>IF('Original-E2E'!L85="x",3,0)</f>
        <v>0</v>
      </c>
      <c r="D283" s="144">
        <f>IF('E2E Combined OD + ZK'!L84="x",3,0)</f>
        <v>0</v>
      </c>
      <c r="E283" s="144">
        <f>IF('E2E Combined AB + TCF'!L84="x",3,0)</f>
        <v>0</v>
      </c>
    </row>
    <row r="284">
      <c r="B284" s="160">
        <f>'Original-E2E'!A86</f>
        <v>99</v>
      </c>
      <c r="C284" s="144">
        <f>IF('Original-E2E'!L86="x",3,0)</f>
        <v>0</v>
      </c>
      <c r="D284" s="144">
        <f>IF('E2E Combined OD + ZK'!L85="x",3,0)</f>
        <v>0</v>
      </c>
      <c r="E284" s="144">
        <f>IF('E2E Combined AB + TCF'!L85="x",3,0)</f>
        <v>0</v>
      </c>
    </row>
    <row r="285">
      <c r="B285" s="160">
        <f>'Original-E2E'!A87</f>
        <v>100</v>
      </c>
      <c r="C285" s="144">
        <f>IF('Original-E2E'!L87="x",3,0)</f>
        <v>0</v>
      </c>
      <c r="D285" s="144">
        <f>IF('E2E Combined OD + ZK'!L86="x",3,0)</f>
        <v>0</v>
      </c>
      <c r="E285" s="144">
        <f>IF('E2E Combined AB + TCF'!L86="x",3,0)</f>
        <v>0</v>
      </c>
    </row>
    <row r="286">
      <c r="B286" s="160">
        <f>'Original-E2E'!A88</f>
        <v>101</v>
      </c>
      <c r="C286" s="144">
        <f>IF('Original-E2E'!L88="x",3,0)</f>
        <v>0</v>
      </c>
      <c r="D286" s="144">
        <f>IF('E2E Combined OD + ZK'!L87="x",3,0)</f>
        <v>0</v>
      </c>
      <c r="E286" s="144">
        <f>IF('E2E Combined AB + TCF'!L87="x",3,0)</f>
        <v>0</v>
      </c>
    </row>
    <row r="287">
      <c r="B287" s="160">
        <f>'Original-E2E'!A89</f>
        <v>102</v>
      </c>
      <c r="C287" s="144">
        <f>IF('Original-E2E'!L89="x",3,0)</f>
        <v>0</v>
      </c>
      <c r="D287" s="144">
        <f>IF('E2E Combined OD + ZK'!L88="x",3,0)</f>
        <v>0</v>
      </c>
      <c r="E287" s="144">
        <f>IF('E2E Combined AB + TCF'!L88="x",3,0)</f>
        <v>0</v>
      </c>
    </row>
    <row r="288">
      <c r="B288" s="160">
        <f>'Original-E2E'!A90</f>
        <v>103</v>
      </c>
      <c r="C288" s="144">
        <f>IF('Original-E2E'!L90="x",3,0)</f>
        <v>0</v>
      </c>
      <c r="D288" s="144">
        <f>IF('E2E Combined OD + ZK'!L89="x",3,0)</f>
        <v>0</v>
      </c>
      <c r="E288" s="144">
        <f>IF('E2E Combined AB + TCF'!L89="x",3,0)</f>
        <v>0</v>
      </c>
    </row>
    <row r="289">
      <c r="B289" s="160">
        <f>'Original-E2E'!A91</f>
        <v>104</v>
      </c>
      <c r="C289" s="144">
        <f>IF('Original-E2E'!L91="x",3,0)</f>
        <v>0</v>
      </c>
      <c r="D289" s="144">
        <f>IF('E2E Combined OD + ZK'!L90="x",3,0)</f>
        <v>0</v>
      </c>
      <c r="E289" s="144">
        <f>IF('E2E Combined AB + TCF'!L90="x",3,0)</f>
        <v>0</v>
      </c>
    </row>
    <row r="290">
      <c r="B290" s="160">
        <f>'Original-E2E'!A92</f>
        <v>105</v>
      </c>
      <c r="C290" s="144">
        <f>IF('Original-E2E'!L92="x",3,0)</f>
        <v>3</v>
      </c>
      <c r="D290" s="144">
        <f>IF('E2E Combined OD + ZK'!L91="x",3,0)</f>
        <v>3</v>
      </c>
      <c r="E290" s="144">
        <f>IF('E2E Combined AB + TCF'!L91="x",3,0)</f>
        <v>0</v>
      </c>
    </row>
    <row r="291">
      <c r="B291" s="160">
        <f>'Original-E2E'!A93</f>
        <v>106</v>
      </c>
      <c r="C291" s="144">
        <f>IF('Original-E2E'!L93="x",3,0)</f>
        <v>0</v>
      </c>
      <c r="D291" s="144">
        <f>IF('E2E Combined OD + ZK'!L92="x",3,0)</f>
        <v>0</v>
      </c>
      <c r="E291" s="144">
        <f>IF('E2E Combined AB + TCF'!L92="x",3,0)</f>
        <v>0</v>
      </c>
    </row>
    <row r="292">
      <c r="B292" s="160">
        <f>'Original-E2E'!A94</f>
        <v>107</v>
      </c>
      <c r="C292" s="144">
        <f>IF('Original-E2E'!L94="x",3,0)</f>
        <v>3</v>
      </c>
      <c r="D292" s="144">
        <f>IF('E2E Combined OD + ZK'!L93="x",3,0)</f>
        <v>3</v>
      </c>
      <c r="E292" s="144">
        <f>IF('E2E Combined AB + TCF'!L93="x",3,0)</f>
        <v>0</v>
      </c>
    </row>
    <row r="293">
      <c r="B293" s="160">
        <f>'Original-E2E'!A95</f>
        <v>110</v>
      </c>
      <c r="C293" s="144">
        <f>IF('Original-E2E'!L95="x",3,0)</f>
        <v>0</v>
      </c>
      <c r="D293" s="144">
        <f>IF('E2E Combined OD + ZK'!L94="x",3,0)</f>
        <v>0</v>
      </c>
      <c r="E293" s="144">
        <f>IF('E2E Combined AB + TCF'!L94="x",3,0)</f>
        <v>0</v>
      </c>
    </row>
    <row r="294">
      <c r="B294" s="160">
        <f>'Original-E2E'!A96</f>
        <v>111</v>
      </c>
      <c r="C294" s="144">
        <f>IF('Original-E2E'!L96="x",3,0)</f>
        <v>0</v>
      </c>
      <c r="D294" s="144">
        <f>IF('E2E Combined OD + ZK'!L95="x",3,0)</f>
        <v>0</v>
      </c>
      <c r="E294" s="144">
        <f>IF('E2E Combined AB + TCF'!L95="x",3,0)</f>
        <v>0</v>
      </c>
    </row>
    <row r="295">
      <c r="B295" s="160">
        <f>'Original-E2E'!A97</f>
        <v>112</v>
      </c>
      <c r="C295" s="144">
        <f>IF('Original-E2E'!L97="x",3,0)</f>
        <v>0</v>
      </c>
      <c r="D295" s="144">
        <f>IF('E2E Combined OD + ZK'!L96="x",3,0)</f>
        <v>0</v>
      </c>
      <c r="E295" s="144">
        <f>IF('E2E Combined AB + TCF'!L96="x",3,0)</f>
        <v>0</v>
      </c>
    </row>
    <row r="296">
      <c r="B296" s="160">
        <f>'Original-E2E'!A98</f>
        <v>113</v>
      </c>
      <c r="C296" s="144">
        <f>IF('Original-E2E'!L98="x",3,0)</f>
        <v>0</v>
      </c>
      <c r="D296" s="144">
        <f>IF('E2E Combined OD + ZK'!L97="x",3,0)</f>
        <v>0</v>
      </c>
      <c r="E296" s="144">
        <f>IF('E2E Combined AB + TCF'!L97="x",3,0)</f>
        <v>0</v>
      </c>
    </row>
    <row r="297">
      <c r="B297" s="160">
        <f>'Original-E2E'!A99</f>
        <v>114</v>
      </c>
      <c r="C297" s="144">
        <f>IF('Original-E2E'!L99="x",3,0)</f>
        <v>0</v>
      </c>
      <c r="D297" s="144">
        <f>IF('E2E Combined OD + ZK'!L98="x",3,0)</f>
        <v>0</v>
      </c>
      <c r="E297" s="144">
        <f>IF('E2E Combined AB + TCF'!L98="x",3,0)</f>
        <v>0</v>
      </c>
    </row>
    <row r="298">
      <c r="B298" s="160">
        <f>'Original-E2E'!A100</f>
        <v>115</v>
      </c>
      <c r="C298" s="144">
        <f>IF('Original-E2E'!L100="x",3,0)</f>
        <v>3</v>
      </c>
      <c r="D298" s="144">
        <f>IF('E2E Combined OD + ZK'!L99="x",3,0)</f>
        <v>0</v>
      </c>
      <c r="E298" s="144">
        <f>IF('E2E Combined AB + TCF'!L99="x",3,0)</f>
        <v>0</v>
      </c>
    </row>
    <row r="299">
      <c r="B299" s="160">
        <f>'Original-E2E'!A101</f>
        <v>116</v>
      </c>
      <c r="C299" s="144">
        <f>IF('Original-E2E'!L101="x",3,0)</f>
        <v>3</v>
      </c>
      <c r="D299" s="144">
        <f>IF('E2E Combined OD + ZK'!L100="x",3,0)</f>
        <v>0</v>
      </c>
      <c r="E299" s="144">
        <f>IF('E2E Combined AB + TCF'!L100="x",3,0)</f>
        <v>3</v>
      </c>
    </row>
    <row r="300">
      <c r="B300" s="160">
        <f>'Original-E2E'!A102</f>
        <v>117</v>
      </c>
      <c r="C300" s="144">
        <f>IF('Original-E2E'!L102="x",3,0)</f>
        <v>0</v>
      </c>
      <c r="D300" s="144">
        <f>IF('E2E Combined OD + ZK'!L101="x",3,0)</f>
        <v>0</v>
      </c>
      <c r="E300" s="144">
        <f>IF('E2E Combined AB + TCF'!L101="x",3,0)</f>
        <v>0</v>
      </c>
    </row>
    <row r="301">
      <c r="B301" s="160">
        <f>'Original-E2E'!A103</f>
        <v>118</v>
      </c>
      <c r="C301" s="144">
        <f>IF('Original-E2E'!L103="x",3,0)</f>
        <v>0</v>
      </c>
      <c r="D301" s="144">
        <f>IF('E2E Combined OD + ZK'!L102="x",3,0)</f>
        <v>0</v>
      </c>
      <c r="E301" s="144">
        <f>IF('E2E Combined AB + TCF'!L102="x",3,0)</f>
        <v>0</v>
      </c>
    </row>
    <row r="302">
      <c r="A302" s="98" t="s">
        <v>1045</v>
      </c>
      <c r="B302" s="99">
        <f>'Original-E2E'!A4</f>
        <v>2</v>
      </c>
      <c r="C302" s="144">
        <f>IF('Original-E2E'!M4="x",4,0)</f>
        <v>0</v>
      </c>
      <c r="D302" s="144">
        <f>IF('E2E Combined OD + ZK'!M3="x",4,0)</f>
        <v>0</v>
      </c>
      <c r="E302" s="144">
        <f>IF('E2E Combined AB + TCF'!M3="x",4,0)</f>
        <v>0</v>
      </c>
    </row>
    <row r="303">
      <c r="B303" s="99">
        <f>'Original-E2E'!A5</f>
        <v>3</v>
      </c>
      <c r="C303" s="144">
        <f>IF('Original-E2E'!M5="x",4,0)</f>
        <v>4</v>
      </c>
      <c r="D303" s="144">
        <f>IF('E2E Combined OD + ZK'!M4="x",4,0)</f>
        <v>4</v>
      </c>
      <c r="E303" s="144">
        <f>IF('E2E Combined AB + TCF'!M4="x",4,0)</f>
        <v>4</v>
      </c>
    </row>
    <row r="304">
      <c r="B304" s="99">
        <f>'Original-E2E'!A6</f>
        <v>4</v>
      </c>
      <c r="C304" s="144">
        <f>IF('Original-E2E'!M6="x",4,0)</f>
        <v>0</v>
      </c>
      <c r="D304" s="144">
        <f>IF('E2E Combined OD + ZK'!M5="x",4,0)</f>
        <v>0</v>
      </c>
      <c r="E304" s="144">
        <f>IF('E2E Combined AB + TCF'!M5="x",4,0)</f>
        <v>0</v>
      </c>
    </row>
    <row r="305">
      <c r="B305" s="99">
        <f>'Original-E2E'!A7</f>
        <v>5</v>
      </c>
      <c r="C305" s="144">
        <f>IF('Original-E2E'!M7="x",4,0)</f>
        <v>0</v>
      </c>
      <c r="D305" s="144">
        <f>IF('E2E Combined OD + ZK'!M6="x",4,0)</f>
        <v>0</v>
      </c>
      <c r="E305" s="144">
        <f>IF('E2E Combined AB + TCF'!M6="x",4,0)</f>
        <v>0</v>
      </c>
    </row>
    <row r="306">
      <c r="B306" s="99">
        <f>'Original-E2E'!A8</f>
        <v>6</v>
      </c>
      <c r="C306" s="144">
        <f>IF('Original-E2E'!M8="x",4,0)</f>
        <v>0</v>
      </c>
      <c r="D306" s="144">
        <f>IF('E2E Combined OD + ZK'!M7="x",4,0)</f>
        <v>0</v>
      </c>
      <c r="E306" s="144">
        <f>IF('E2E Combined AB + TCF'!M7="x",4,0)</f>
        <v>4</v>
      </c>
    </row>
    <row r="307">
      <c r="B307" s="99">
        <f>'Original-E2E'!A9</f>
        <v>7</v>
      </c>
      <c r="C307" s="144">
        <f>IF('Original-E2E'!M9="x",4,0)</f>
        <v>0</v>
      </c>
      <c r="D307" s="144">
        <f>IF('E2E Combined OD + ZK'!M8="x",4,0)</f>
        <v>0</v>
      </c>
      <c r="E307" s="144">
        <f>IF('E2E Combined AB + TCF'!M8="x",4,0)</f>
        <v>0</v>
      </c>
    </row>
    <row r="308">
      <c r="B308" s="99">
        <f>'Original-E2E'!A10</f>
        <v>8</v>
      </c>
      <c r="C308" s="144">
        <f>IF('Original-E2E'!M10="x",4,0)</f>
        <v>0</v>
      </c>
      <c r="D308" s="144">
        <f>IF('E2E Combined OD + ZK'!M9="x",4,0)</f>
        <v>0</v>
      </c>
      <c r="E308" s="144">
        <f>IF('E2E Combined AB + TCF'!M9="x",4,0)</f>
        <v>0</v>
      </c>
    </row>
    <row r="309">
      <c r="B309" s="99">
        <f>'Original-E2E'!A11</f>
        <v>9</v>
      </c>
      <c r="C309" s="144">
        <f>IF('Original-E2E'!M11="x",4,0)</f>
        <v>0</v>
      </c>
      <c r="D309" s="144">
        <f>IF('E2E Combined OD + ZK'!M10="x",4,0)</f>
        <v>0</v>
      </c>
      <c r="E309" s="144">
        <f>IF('E2E Combined AB + TCF'!M10="x",4,0)</f>
        <v>4</v>
      </c>
    </row>
    <row r="310">
      <c r="B310" s="99">
        <f>'Original-E2E'!A12</f>
        <v>10</v>
      </c>
      <c r="C310" s="144">
        <f>IF('Original-E2E'!M12="x",4,0)</f>
        <v>0</v>
      </c>
      <c r="D310" s="144">
        <f>IF('E2E Combined OD + ZK'!M11="x",4,0)</f>
        <v>0</v>
      </c>
      <c r="E310" s="144">
        <f>IF('E2E Combined AB + TCF'!M11="x",4,0)</f>
        <v>0</v>
      </c>
    </row>
    <row r="311">
      <c r="B311" s="99">
        <f>'Original-E2E'!A13</f>
        <v>11</v>
      </c>
      <c r="C311" s="144">
        <f>IF('Original-E2E'!M13="x",4,0)</f>
        <v>0</v>
      </c>
      <c r="D311" s="144">
        <f>IF('E2E Combined OD + ZK'!M12="x",4,0)</f>
        <v>0</v>
      </c>
      <c r="E311" s="144">
        <f>IF('E2E Combined AB + TCF'!M12="x",4,0)</f>
        <v>0</v>
      </c>
    </row>
    <row r="312">
      <c r="B312" s="99">
        <f>'Original-E2E'!A14</f>
        <v>12</v>
      </c>
      <c r="C312" s="144">
        <f>IF('Original-E2E'!M14="x",4,0)</f>
        <v>0</v>
      </c>
      <c r="D312" s="144">
        <f>IF('E2E Combined OD + ZK'!M13="x",4,0)</f>
        <v>0</v>
      </c>
      <c r="E312" s="144">
        <f>IF('E2E Combined AB + TCF'!M13="x",4,0)</f>
        <v>0</v>
      </c>
    </row>
    <row r="313">
      <c r="B313" s="99">
        <f>'Original-E2E'!A15</f>
        <v>13</v>
      </c>
      <c r="C313" s="144">
        <f>IF('Original-E2E'!M15="x",4,0)</f>
        <v>4</v>
      </c>
      <c r="D313" s="144">
        <f>IF('E2E Combined OD + ZK'!M14="x",4,0)</f>
        <v>0</v>
      </c>
      <c r="E313" s="144">
        <f>IF('E2E Combined AB + TCF'!M14="x",4,0)</f>
        <v>0</v>
      </c>
    </row>
    <row r="314">
      <c r="B314" s="99">
        <f>'Original-E2E'!A16</f>
        <v>14</v>
      </c>
      <c r="C314" s="144">
        <f>IF('Original-E2E'!M16="x",4,0)</f>
        <v>4</v>
      </c>
      <c r="D314" s="144">
        <f>IF('E2E Combined OD + ZK'!M15="x",4,0)</f>
        <v>4</v>
      </c>
      <c r="E314" s="144">
        <f>IF('E2E Combined AB + TCF'!M15="x",4,0)</f>
        <v>4</v>
      </c>
    </row>
    <row r="315">
      <c r="B315" s="99">
        <f>'Original-E2E'!A17</f>
        <v>15</v>
      </c>
      <c r="C315" s="144">
        <f>IF('Original-E2E'!M17="x",4,0)</f>
        <v>0</v>
      </c>
      <c r="D315" s="144">
        <f>IF('E2E Combined OD + ZK'!M16="x",4,0)</f>
        <v>0</v>
      </c>
      <c r="E315" s="144">
        <f>IF('E2E Combined AB + TCF'!M16="x",4,0)</f>
        <v>0</v>
      </c>
    </row>
    <row r="316">
      <c r="B316" s="99">
        <f>'Original-E2E'!A18</f>
        <v>16</v>
      </c>
      <c r="C316" s="144">
        <f>IF('Original-E2E'!M18="x",4,0)</f>
        <v>0</v>
      </c>
      <c r="D316" s="144">
        <f>IF('E2E Combined OD + ZK'!M17="x",4,0)</f>
        <v>0</v>
      </c>
      <c r="E316" s="144">
        <f>IF('E2E Combined AB + TCF'!M17="x",4,0)</f>
        <v>0</v>
      </c>
    </row>
    <row r="317">
      <c r="B317" s="99">
        <f>'Original-E2E'!A19</f>
        <v>17</v>
      </c>
      <c r="C317" s="144">
        <f>IF('Original-E2E'!M19="x",4,0)</f>
        <v>0</v>
      </c>
      <c r="D317" s="144">
        <f>IF('E2E Combined OD + ZK'!M18="x",4,0)</f>
        <v>0</v>
      </c>
      <c r="E317" s="144">
        <f>IF('E2E Combined AB + TCF'!M18="x",4,0)</f>
        <v>0</v>
      </c>
    </row>
    <row r="318">
      <c r="B318" s="99">
        <f>'Original-E2E'!A20</f>
        <v>18</v>
      </c>
      <c r="C318" s="144">
        <f>IF('Original-E2E'!M20="x",4,0)</f>
        <v>0</v>
      </c>
      <c r="D318" s="144">
        <f>IF('E2E Combined OD + ZK'!M19="x",4,0)</f>
        <v>0</v>
      </c>
      <c r="E318" s="144">
        <f>IF('E2E Combined AB + TCF'!M19="x",4,0)</f>
        <v>0</v>
      </c>
    </row>
    <row r="319">
      <c r="B319" s="99">
        <f>'Original-E2E'!A21</f>
        <v>19</v>
      </c>
      <c r="C319" s="144">
        <f>IF('Original-E2E'!M21="x",4,0)</f>
        <v>0</v>
      </c>
      <c r="D319" s="144">
        <f>IF('E2E Combined OD + ZK'!M20="x",4,0)</f>
        <v>0</v>
      </c>
      <c r="E319" s="144">
        <f>IF('E2E Combined AB + TCF'!M20="x",4,0)</f>
        <v>0</v>
      </c>
    </row>
    <row r="320">
      <c r="B320" s="99">
        <f>'Original-E2E'!A22</f>
        <v>20</v>
      </c>
      <c r="C320" s="144">
        <f>IF('Original-E2E'!M22="x",4,0)</f>
        <v>0</v>
      </c>
      <c r="D320" s="144">
        <f>IF('E2E Combined OD + ZK'!M21="x",4,0)</f>
        <v>0</v>
      </c>
      <c r="E320" s="144">
        <f>IF('E2E Combined AB + TCF'!M21="x",4,0)</f>
        <v>0</v>
      </c>
    </row>
    <row r="321">
      <c r="B321" s="99">
        <f>'Original-E2E'!A23</f>
        <v>21</v>
      </c>
      <c r="C321" s="144">
        <f>IF('Original-E2E'!M23="x",4,0)</f>
        <v>0</v>
      </c>
      <c r="D321" s="144">
        <f>IF('E2E Combined OD + ZK'!M22="x",4,0)</f>
        <v>0</v>
      </c>
      <c r="E321" s="144">
        <f>IF('E2E Combined AB + TCF'!M22="x",4,0)</f>
        <v>0</v>
      </c>
    </row>
    <row r="322">
      <c r="B322" s="99">
        <f>'Original-E2E'!A24</f>
        <v>22</v>
      </c>
      <c r="C322" s="144">
        <f>IF('Original-E2E'!M24="x",4,0)</f>
        <v>0</v>
      </c>
      <c r="D322" s="144">
        <f>IF('E2E Combined OD + ZK'!M23="x",4,0)</f>
        <v>0</v>
      </c>
      <c r="E322" s="144">
        <f>IF('E2E Combined AB + TCF'!M23="x",4,0)</f>
        <v>0</v>
      </c>
    </row>
    <row r="323">
      <c r="B323" s="99">
        <f>'Original-E2E'!A25</f>
        <v>23</v>
      </c>
      <c r="C323" s="144">
        <f>IF('Original-E2E'!M25="x",4,0)</f>
        <v>0</v>
      </c>
      <c r="D323" s="144">
        <f>IF('E2E Combined OD + ZK'!M24="x",4,0)</f>
        <v>0</v>
      </c>
      <c r="E323" s="144">
        <f>IF('E2E Combined AB + TCF'!M24="x",4,0)</f>
        <v>0</v>
      </c>
    </row>
    <row r="324">
      <c r="B324" s="99">
        <f>'Original-E2E'!A26</f>
        <v>24</v>
      </c>
      <c r="C324" s="144">
        <f>IF('Original-E2E'!M26="x",4,0)</f>
        <v>0</v>
      </c>
      <c r="D324" s="144">
        <f>IF('E2E Combined OD + ZK'!M25="x",4,0)</f>
        <v>0</v>
      </c>
      <c r="E324" s="144">
        <f>IF('E2E Combined AB + TCF'!M25="x",4,0)</f>
        <v>0</v>
      </c>
    </row>
    <row r="325">
      <c r="B325" s="99">
        <f>'Original-E2E'!A27</f>
        <v>25</v>
      </c>
      <c r="C325" s="144">
        <f>IF('Original-E2E'!M27="x",4,0)</f>
        <v>0</v>
      </c>
      <c r="D325" s="144">
        <f>IF('E2E Combined OD + ZK'!M26="x",4,0)</f>
        <v>0</v>
      </c>
      <c r="E325" s="144">
        <f>IF('E2E Combined AB + TCF'!M26="x",4,0)</f>
        <v>4</v>
      </c>
    </row>
    <row r="326">
      <c r="B326" s="99">
        <f>'Original-E2E'!A28</f>
        <v>27</v>
      </c>
      <c r="C326" s="144">
        <f>IF('Original-E2E'!M28="x",4,0)</f>
        <v>0</v>
      </c>
      <c r="D326" s="144">
        <f>IF('E2E Combined OD + ZK'!M27="x",4,0)</f>
        <v>0</v>
      </c>
      <c r="E326" s="144">
        <f>IF('E2E Combined AB + TCF'!M27="x",4,0)</f>
        <v>0</v>
      </c>
    </row>
    <row r="327">
      <c r="B327" s="99">
        <f>'Original-E2E'!A29</f>
        <v>28</v>
      </c>
      <c r="C327" s="144">
        <f>IF('Original-E2E'!M29="x",4,0)</f>
        <v>0</v>
      </c>
      <c r="D327" s="144">
        <f>IF('E2E Combined OD + ZK'!M28="x",4,0)</f>
        <v>0</v>
      </c>
      <c r="E327" s="144">
        <f>IF('E2E Combined AB + TCF'!M28="x",4,0)</f>
        <v>0</v>
      </c>
    </row>
    <row r="328">
      <c r="B328" s="99">
        <f>'Original-E2E'!A30</f>
        <v>29</v>
      </c>
      <c r="C328" s="144">
        <f>IF('Original-E2E'!M30="x",4,0)</f>
        <v>4</v>
      </c>
      <c r="D328" s="144">
        <f>IF('E2E Combined OD + ZK'!M29="x",4,0)</f>
        <v>0</v>
      </c>
      <c r="E328" s="144">
        <f>IF('E2E Combined AB + TCF'!M29="x",4,0)</f>
        <v>0</v>
      </c>
    </row>
    <row r="329">
      <c r="B329" s="99">
        <f>'Original-E2E'!A31</f>
        <v>30</v>
      </c>
      <c r="C329" s="144">
        <f>IF('Original-E2E'!M31="x",4,0)</f>
        <v>0</v>
      </c>
      <c r="D329" s="144">
        <f>IF('E2E Combined OD + ZK'!M30="x",4,0)</f>
        <v>0</v>
      </c>
      <c r="E329" s="144">
        <f>IF('E2E Combined AB + TCF'!M30="x",4,0)</f>
        <v>0</v>
      </c>
    </row>
    <row r="330">
      <c r="B330" s="99">
        <f>'Original-E2E'!A32</f>
        <v>31</v>
      </c>
      <c r="C330" s="144">
        <f>IF('Original-E2E'!M32="x",4,0)</f>
        <v>0</v>
      </c>
      <c r="D330" s="144">
        <f>IF('E2E Combined OD + ZK'!M31="x",4,0)</f>
        <v>0</v>
      </c>
      <c r="E330" s="144">
        <f>IF('E2E Combined AB + TCF'!M31="x",4,0)</f>
        <v>0</v>
      </c>
    </row>
    <row r="331">
      <c r="B331" s="99">
        <f>'Original-E2E'!A33</f>
        <v>33</v>
      </c>
      <c r="C331" s="144">
        <f>IF('Original-E2E'!M33="x",4,0)</f>
        <v>0</v>
      </c>
      <c r="D331" s="144">
        <f>IF('E2E Combined OD + ZK'!M32="x",4,0)</f>
        <v>0</v>
      </c>
      <c r="E331" s="144">
        <f>IF('E2E Combined AB + TCF'!M32="x",4,0)</f>
        <v>0</v>
      </c>
    </row>
    <row r="332">
      <c r="B332" s="99">
        <f>'Original-E2E'!A34</f>
        <v>34</v>
      </c>
      <c r="C332" s="144">
        <f>IF('Original-E2E'!M34="x",4,0)</f>
        <v>0</v>
      </c>
      <c r="D332" s="144">
        <f>IF('E2E Combined OD + ZK'!M33="x",4,0)</f>
        <v>0</v>
      </c>
      <c r="E332" s="144">
        <f>IF('E2E Combined AB + TCF'!M33="x",4,0)</f>
        <v>4</v>
      </c>
    </row>
    <row r="333">
      <c r="B333" s="99">
        <f>'Original-E2E'!A35</f>
        <v>36</v>
      </c>
      <c r="C333" s="144">
        <f>IF('Original-E2E'!M35="x",4,0)</f>
        <v>0</v>
      </c>
      <c r="D333" s="144">
        <f>IF('E2E Combined OD + ZK'!M34="x",4,0)</f>
        <v>0</v>
      </c>
      <c r="E333" s="144">
        <f>IF('E2E Combined AB + TCF'!M34="x",4,0)</f>
        <v>0</v>
      </c>
    </row>
    <row r="334">
      <c r="B334" s="99">
        <f>'Original-E2E'!A36</f>
        <v>37</v>
      </c>
      <c r="C334" s="144">
        <f>IF('Original-E2E'!M36="x",4,0)</f>
        <v>0</v>
      </c>
      <c r="D334" s="144">
        <f>IF('E2E Combined OD + ZK'!M35="x",4,0)</f>
        <v>0</v>
      </c>
      <c r="E334" s="144">
        <f>IF('E2E Combined AB + TCF'!M35="x",4,0)</f>
        <v>0</v>
      </c>
    </row>
    <row r="335">
      <c r="B335" s="99">
        <f>'Original-E2E'!A37</f>
        <v>38</v>
      </c>
      <c r="C335" s="144">
        <f>IF('Original-E2E'!M37="x",4,0)</f>
        <v>0</v>
      </c>
      <c r="D335" s="144">
        <f>IF('E2E Combined OD + ZK'!M36="x",4,0)</f>
        <v>0</v>
      </c>
      <c r="E335" s="144">
        <f>IF('E2E Combined AB + TCF'!M36="x",4,0)</f>
        <v>0</v>
      </c>
    </row>
    <row r="336">
      <c r="B336" s="99">
        <f>'Original-E2E'!A38</f>
        <v>40</v>
      </c>
      <c r="C336" s="144">
        <f>IF('Original-E2E'!M38="x",4,0)</f>
        <v>0</v>
      </c>
      <c r="D336" s="144">
        <f>IF('E2E Combined OD + ZK'!M37="x",4,0)</f>
        <v>0</v>
      </c>
      <c r="E336" s="144">
        <f>IF('E2E Combined AB + TCF'!M37="x",4,0)</f>
        <v>0</v>
      </c>
    </row>
    <row r="337">
      <c r="B337" s="99">
        <f>'Original-E2E'!A39</f>
        <v>41</v>
      </c>
      <c r="C337" s="144">
        <f>IF('Original-E2E'!M39="x",4,0)</f>
        <v>0</v>
      </c>
      <c r="D337" s="144">
        <f>IF('E2E Combined OD + ZK'!M38="x",4,0)</f>
        <v>0</v>
      </c>
      <c r="E337" s="144">
        <f>IF('E2E Combined AB + TCF'!M38="x",4,0)</f>
        <v>4</v>
      </c>
    </row>
    <row r="338">
      <c r="B338" s="99">
        <f>'Original-E2E'!A40</f>
        <v>42</v>
      </c>
      <c r="C338" s="144">
        <f>IF('Original-E2E'!M40="x",4,0)</f>
        <v>0</v>
      </c>
      <c r="D338" s="144">
        <f>IF('E2E Combined OD + ZK'!M39="x",4,0)</f>
        <v>0</v>
      </c>
      <c r="E338" s="144">
        <f>IF('E2E Combined AB + TCF'!M39="x",4,0)</f>
        <v>4</v>
      </c>
    </row>
    <row r="339">
      <c r="B339" s="99">
        <f>'Original-E2E'!A41</f>
        <v>43</v>
      </c>
      <c r="C339" s="144">
        <f>IF('Original-E2E'!M41="x",4,0)</f>
        <v>0</v>
      </c>
      <c r="D339" s="144">
        <f>IF('E2E Combined OD + ZK'!M40="x",4,0)</f>
        <v>0</v>
      </c>
      <c r="E339" s="144">
        <f>IF('E2E Combined AB + TCF'!M40="x",4,0)</f>
        <v>0</v>
      </c>
    </row>
    <row r="340">
      <c r="B340" s="99">
        <f>'Original-E2E'!A42</f>
        <v>44</v>
      </c>
      <c r="C340" s="144">
        <f>IF('Original-E2E'!M42="x",4,0)</f>
        <v>0</v>
      </c>
      <c r="D340" s="144">
        <f>IF('E2E Combined OD + ZK'!M41="x",4,0)</f>
        <v>0</v>
      </c>
      <c r="E340" s="144">
        <f>IF('E2E Combined AB + TCF'!M41="x",4,0)</f>
        <v>0</v>
      </c>
    </row>
    <row r="341">
      <c r="B341" s="99">
        <f>'Original-E2E'!A43</f>
        <v>45</v>
      </c>
      <c r="C341" s="144">
        <f>IF('Original-E2E'!M43="x",4,0)</f>
        <v>0</v>
      </c>
      <c r="D341" s="144">
        <f>IF('E2E Combined OD + ZK'!M42="x",4,0)</f>
        <v>0</v>
      </c>
      <c r="E341" s="144">
        <f>IF('E2E Combined AB + TCF'!M42="x",4,0)</f>
        <v>0</v>
      </c>
    </row>
    <row r="342">
      <c r="B342" s="99">
        <f>'Original-E2E'!A44</f>
        <v>46</v>
      </c>
      <c r="C342" s="144">
        <f>IF('Original-E2E'!M44="x",4,0)</f>
        <v>0</v>
      </c>
      <c r="D342" s="144">
        <f>IF('E2E Combined OD + ZK'!M43="x",4,0)</f>
        <v>0</v>
      </c>
      <c r="E342" s="144">
        <f>IF('E2E Combined AB + TCF'!M43="x",4,0)</f>
        <v>0</v>
      </c>
    </row>
    <row r="343">
      <c r="B343" s="99">
        <f>'Original-E2E'!A45</f>
        <v>47</v>
      </c>
      <c r="C343" s="144">
        <f>IF('Original-E2E'!M45="x",4,0)</f>
        <v>0</v>
      </c>
      <c r="D343" s="144">
        <f>IF('E2E Combined OD + ZK'!M44="x",4,0)</f>
        <v>0</v>
      </c>
      <c r="E343" s="144">
        <f>IF('E2E Combined AB + TCF'!M44="x",4,0)</f>
        <v>0</v>
      </c>
    </row>
    <row r="344">
      <c r="B344" s="99">
        <f>'Original-E2E'!A46</f>
        <v>48</v>
      </c>
      <c r="C344" s="144">
        <f>IF('Original-E2E'!M46="x",4,0)</f>
        <v>0</v>
      </c>
      <c r="D344" s="144">
        <f>IF('E2E Combined OD + ZK'!M45="x",4,0)</f>
        <v>0</v>
      </c>
      <c r="E344" s="144">
        <f>IF('E2E Combined AB + TCF'!M45="x",4,0)</f>
        <v>0</v>
      </c>
    </row>
    <row r="345">
      <c r="B345" s="99">
        <f>'Original-E2E'!A47</f>
        <v>49</v>
      </c>
      <c r="C345" s="144">
        <f>IF('Original-E2E'!M47="x",4,0)</f>
        <v>0</v>
      </c>
      <c r="D345" s="144">
        <f>IF('E2E Combined OD + ZK'!M46="x",4,0)</f>
        <v>0</v>
      </c>
      <c r="E345" s="144">
        <f>IF('E2E Combined AB + TCF'!M46="x",4,0)</f>
        <v>4</v>
      </c>
    </row>
    <row r="346">
      <c r="B346" s="99">
        <f>'Original-E2E'!A48</f>
        <v>51</v>
      </c>
      <c r="C346" s="144">
        <f>IF('Original-E2E'!M48="x",4,0)</f>
        <v>0</v>
      </c>
      <c r="D346" s="144">
        <f>IF('E2E Combined OD + ZK'!M47="x",4,0)</f>
        <v>0</v>
      </c>
      <c r="E346" s="144">
        <f>IF('E2E Combined AB + TCF'!M47="x",4,0)</f>
        <v>4</v>
      </c>
    </row>
    <row r="347">
      <c r="B347" s="99">
        <f>'Original-E2E'!A49</f>
        <v>52</v>
      </c>
      <c r="C347" s="144">
        <f>IF('Original-E2E'!M49="x",4,0)</f>
        <v>0</v>
      </c>
      <c r="D347" s="144">
        <f>IF('E2E Combined OD + ZK'!M48="x",4,0)</f>
        <v>0</v>
      </c>
      <c r="E347" s="144">
        <f>IF('E2E Combined AB + TCF'!M48="x",4,0)</f>
        <v>0</v>
      </c>
    </row>
    <row r="348">
      <c r="B348" s="99">
        <f>'Original-E2E'!A50</f>
        <v>54</v>
      </c>
      <c r="C348" s="144">
        <f>IF('Original-E2E'!M50="x",4,0)</f>
        <v>0</v>
      </c>
      <c r="D348" s="144">
        <f>IF('E2E Combined OD + ZK'!M49="x",4,0)</f>
        <v>0</v>
      </c>
      <c r="E348" s="144">
        <f>IF('E2E Combined AB + TCF'!M49="x",4,0)</f>
        <v>0</v>
      </c>
    </row>
    <row r="349">
      <c r="B349" s="99">
        <f>'Original-E2E'!A51</f>
        <v>55</v>
      </c>
      <c r="C349" s="144">
        <f>IF('Original-E2E'!M51="x",4,0)</f>
        <v>0</v>
      </c>
      <c r="D349" s="144">
        <f>IF('E2E Combined OD + ZK'!M50="x",4,0)</f>
        <v>0</v>
      </c>
      <c r="E349" s="144">
        <f>IF('E2E Combined AB + TCF'!M50="x",4,0)</f>
        <v>0</v>
      </c>
    </row>
    <row r="350">
      <c r="B350" s="99">
        <f>'Original-E2E'!A52</f>
        <v>56</v>
      </c>
      <c r="C350" s="144">
        <f>IF('Original-E2E'!M52="x",4,0)</f>
        <v>4</v>
      </c>
      <c r="D350" s="144">
        <f>IF('E2E Combined OD + ZK'!M51="x",4,0)</f>
        <v>4</v>
      </c>
      <c r="E350" s="144">
        <f>IF('E2E Combined AB + TCF'!M51="x",4,0)</f>
        <v>4</v>
      </c>
    </row>
    <row r="351">
      <c r="B351" s="99">
        <f>'Original-E2E'!A53</f>
        <v>57</v>
      </c>
      <c r="C351" s="144">
        <f>IF('Original-E2E'!M53="x",4,0)</f>
        <v>0</v>
      </c>
      <c r="D351" s="144">
        <f>IF('E2E Combined OD + ZK'!M52="x",4,0)</f>
        <v>0</v>
      </c>
      <c r="E351" s="144">
        <f>IF('E2E Combined AB + TCF'!M52="x",4,0)</f>
        <v>0</v>
      </c>
    </row>
    <row r="352">
      <c r="B352" s="99">
        <f>'Original-E2E'!A54</f>
        <v>58</v>
      </c>
      <c r="C352" s="144">
        <f>IF('Original-E2E'!M54="x",4,0)</f>
        <v>0</v>
      </c>
      <c r="D352" s="144">
        <f>IF('E2E Combined OD + ZK'!M53="x",4,0)</f>
        <v>0</v>
      </c>
      <c r="E352" s="144">
        <f>IF('E2E Combined AB + TCF'!M53="x",4,0)</f>
        <v>0</v>
      </c>
    </row>
    <row r="353">
      <c r="B353" s="99">
        <f>'Original-E2E'!A55</f>
        <v>59</v>
      </c>
      <c r="C353" s="144">
        <f>IF('Original-E2E'!M55="x",4,0)</f>
        <v>0</v>
      </c>
      <c r="D353" s="144">
        <f>IF('E2E Combined OD + ZK'!M54="x",4,0)</f>
        <v>0</v>
      </c>
      <c r="E353" s="144">
        <f>IF('E2E Combined AB + TCF'!M54="x",4,0)</f>
        <v>4</v>
      </c>
    </row>
    <row r="354">
      <c r="B354" s="99">
        <f>'Original-E2E'!A56</f>
        <v>61</v>
      </c>
      <c r="C354" s="144">
        <f>IF('Original-E2E'!M56="x",4,0)</f>
        <v>4</v>
      </c>
      <c r="D354" s="144">
        <f>IF('E2E Combined OD + ZK'!M55="x",4,0)</f>
        <v>0</v>
      </c>
      <c r="E354" s="144">
        <f>IF('E2E Combined AB + TCF'!M55="x",4,0)</f>
        <v>0</v>
      </c>
    </row>
    <row r="355">
      <c r="B355" s="99">
        <f>'Original-E2E'!A57</f>
        <v>62</v>
      </c>
      <c r="C355" s="144">
        <f>IF('Original-E2E'!M57="x",4,0)</f>
        <v>0</v>
      </c>
      <c r="D355" s="144">
        <f>IF('E2E Combined OD + ZK'!M56="x",4,0)</f>
        <v>0</v>
      </c>
      <c r="E355" s="144">
        <f>IF('E2E Combined AB + TCF'!M56="x",4,0)</f>
        <v>0</v>
      </c>
    </row>
    <row r="356">
      <c r="B356" s="99">
        <f>'Original-E2E'!A58</f>
        <v>63</v>
      </c>
      <c r="C356" s="144">
        <f>IF('Original-E2E'!M58="x",4,0)</f>
        <v>0</v>
      </c>
      <c r="D356" s="144">
        <f>IF('E2E Combined OD + ZK'!M57="x",4,0)</f>
        <v>0</v>
      </c>
      <c r="E356" s="144">
        <f>IF('E2E Combined AB + TCF'!M57="x",4,0)</f>
        <v>0</v>
      </c>
    </row>
    <row r="357">
      <c r="B357" s="99">
        <f>'Original-E2E'!A59</f>
        <v>64</v>
      </c>
      <c r="C357" s="144">
        <f>IF('Original-E2E'!M59="x",4,0)</f>
        <v>0</v>
      </c>
      <c r="D357" s="144">
        <f>IF('E2E Combined OD + ZK'!M58="x",4,0)</f>
        <v>0</v>
      </c>
      <c r="E357" s="144">
        <f>IF('E2E Combined AB + TCF'!M58="x",4,0)</f>
        <v>4</v>
      </c>
    </row>
    <row r="358">
      <c r="B358" s="99">
        <f>'Original-E2E'!A60</f>
        <v>66</v>
      </c>
      <c r="C358" s="144">
        <f>IF('Original-E2E'!M60="x",4,0)</f>
        <v>0</v>
      </c>
      <c r="D358" s="144">
        <f>IF('E2E Combined OD + ZK'!M59="x",4,0)</f>
        <v>0</v>
      </c>
      <c r="E358" s="144">
        <f>IF('E2E Combined AB + TCF'!M59="x",4,0)</f>
        <v>0</v>
      </c>
    </row>
    <row r="359">
      <c r="B359" s="99">
        <f>'Original-E2E'!A61</f>
        <v>67</v>
      </c>
      <c r="C359" s="144">
        <f>IF('Original-E2E'!M61="x",4,0)</f>
        <v>0</v>
      </c>
      <c r="D359" s="144">
        <f>IF('E2E Combined OD + ZK'!M60="x",4,0)</f>
        <v>0</v>
      </c>
      <c r="E359" s="144">
        <f>IF('E2E Combined AB + TCF'!M60="x",4,0)</f>
        <v>0</v>
      </c>
    </row>
    <row r="360">
      <c r="B360" s="99">
        <f>'Original-E2E'!A62</f>
        <v>69</v>
      </c>
      <c r="C360" s="144">
        <f>IF('Original-E2E'!M62="x",4,0)</f>
        <v>0</v>
      </c>
      <c r="D360" s="144">
        <f>IF('E2E Combined OD + ZK'!M61="x",4,0)</f>
        <v>0</v>
      </c>
      <c r="E360" s="144">
        <f>IF('E2E Combined AB + TCF'!M61="x",4,0)</f>
        <v>4</v>
      </c>
    </row>
    <row r="361">
      <c r="B361" s="99">
        <f>'Original-E2E'!A63</f>
        <v>70</v>
      </c>
      <c r="C361" s="144">
        <f>IF('Original-E2E'!M63="x",4,0)</f>
        <v>0</v>
      </c>
      <c r="D361" s="144">
        <f>IF('E2E Combined OD + ZK'!M62="x",4,0)</f>
        <v>0</v>
      </c>
      <c r="E361" s="144">
        <f>IF('E2E Combined AB + TCF'!M62="x",4,0)</f>
        <v>0</v>
      </c>
    </row>
    <row r="362">
      <c r="B362" s="99">
        <f>'Original-E2E'!A64</f>
        <v>71</v>
      </c>
      <c r="C362" s="144">
        <f>IF('Original-E2E'!M64="x",4,0)</f>
        <v>0</v>
      </c>
      <c r="D362" s="144">
        <f>IF('E2E Combined OD + ZK'!M63="x",4,0)</f>
        <v>0</v>
      </c>
      <c r="E362" s="144">
        <f>IF('E2E Combined AB + TCF'!M63="x",4,0)</f>
        <v>0</v>
      </c>
    </row>
    <row r="363">
      <c r="B363" s="99">
        <f>'Original-E2E'!A65</f>
        <v>72</v>
      </c>
      <c r="C363" s="144">
        <f>IF('Original-E2E'!M65="x",4,0)</f>
        <v>4</v>
      </c>
      <c r="D363" s="144">
        <f>IF('E2E Combined OD + ZK'!M64="x",4,0)</f>
        <v>4</v>
      </c>
      <c r="E363" s="144">
        <f>IF('E2E Combined AB + TCF'!M64="x",4,0)</f>
        <v>0</v>
      </c>
    </row>
    <row r="364">
      <c r="B364" s="99">
        <f>'Original-E2E'!A66</f>
        <v>73</v>
      </c>
      <c r="C364" s="144">
        <f>IF('Original-E2E'!M66="x",4,0)</f>
        <v>0</v>
      </c>
      <c r="D364" s="144">
        <f>IF('E2E Combined OD + ZK'!M65="x",4,0)</f>
        <v>0</v>
      </c>
      <c r="E364" s="144">
        <f>IF('E2E Combined AB + TCF'!M65="x",4,0)</f>
        <v>0</v>
      </c>
    </row>
    <row r="365">
      <c r="B365" s="99">
        <f>'Original-E2E'!A67</f>
        <v>74</v>
      </c>
      <c r="C365" s="144">
        <f>IF('Original-E2E'!M67="x",4,0)</f>
        <v>0</v>
      </c>
      <c r="D365" s="144">
        <f>IF('E2E Combined OD + ZK'!M66="x",4,0)</f>
        <v>0</v>
      </c>
      <c r="E365" s="144">
        <f>IF('E2E Combined AB + TCF'!M66="x",4,0)</f>
        <v>0</v>
      </c>
    </row>
    <row r="366">
      <c r="B366" s="99">
        <f>'Original-E2E'!A68</f>
        <v>75</v>
      </c>
      <c r="C366" s="144">
        <f>IF('Original-E2E'!M68="x",4,0)</f>
        <v>0</v>
      </c>
      <c r="D366" s="144">
        <f>IF('E2E Combined OD + ZK'!M67="x",4,0)</f>
        <v>0</v>
      </c>
      <c r="E366" s="144">
        <f>IF('E2E Combined AB + TCF'!M67="x",4,0)</f>
        <v>0</v>
      </c>
    </row>
    <row r="367">
      <c r="B367" s="99">
        <f>'Original-E2E'!A69</f>
        <v>76</v>
      </c>
      <c r="C367" s="144">
        <f>IF('Original-E2E'!M69="x",4,0)</f>
        <v>0</v>
      </c>
      <c r="D367" s="144">
        <f>IF('E2E Combined OD + ZK'!M68="x",4,0)</f>
        <v>0</v>
      </c>
      <c r="E367" s="144">
        <f>IF('E2E Combined AB + TCF'!M68="x",4,0)</f>
        <v>0</v>
      </c>
    </row>
    <row r="368">
      <c r="B368" s="99">
        <f>'Original-E2E'!A70</f>
        <v>77</v>
      </c>
      <c r="C368" s="144">
        <f>IF('Original-E2E'!M70="x",4,0)</f>
        <v>0</v>
      </c>
      <c r="D368" s="144">
        <f>IF('E2E Combined OD + ZK'!M69="x",4,0)</f>
        <v>0</v>
      </c>
      <c r="E368" s="144">
        <f>IF('E2E Combined AB + TCF'!M69="x",4,0)</f>
        <v>0</v>
      </c>
    </row>
    <row r="369">
      <c r="B369" s="99">
        <f>'Original-E2E'!A71</f>
        <v>78</v>
      </c>
      <c r="C369" s="144">
        <f>IF('Original-E2E'!M71="x",4,0)</f>
        <v>0</v>
      </c>
      <c r="D369" s="144">
        <f>IF('E2E Combined OD + ZK'!M70="x",4,0)</f>
        <v>0</v>
      </c>
      <c r="E369" s="144">
        <f>IF('E2E Combined AB + TCF'!M70="x",4,0)</f>
        <v>0</v>
      </c>
    </row>
    <row r="370">
      <c r="B370" s="99">
        <f>'Original-E2E'!A72</f>
        <v>79</v>
      </c>
      <c r="C370" s="144">
        <f>IF('Original-E2E'!M72="x",4,0)</f>
        <v>0</v>
      </c>
      <c r="D370" s="144">
        <f>IF('E2E Combined OD + ZK'!M71="x",4,0)</f>
        <v>0</v>
      </c>
      <c r="E370" s="144">
        <f>IF('E2E Combined AB + TCF'!M71="x",4,0)</f>
        <v>0</v>
      </c>
    </row>
    <row r="371">
      <c r="B371" s="99">
        <f>'Original-E2E'!A73</f>
        <v>80</v>
      </c>
      <c r="C371" s="144">
        <f>IF('Original-E2E'!M73="x",4,0)</f>
        <v>0</v>
      </c>
      <c r="D371" s="144">
        <f>IF('E2E Combined OD + ZK'!M72="x",4,0)</f>
        <v>0</v>
      </c>
      <c r="E371" s="144">
        <f>IF('E2E Combined AB + TCF'!M72="x",4,0)</f>
        <v>0</v>
      </c>
    </row>
    <row r="372">
      <c r="B372" s="99">
        <f>'Original-E2E'!A74</f>
        <v>81</v>
      </c>
      <c r="C372" s="144">
        <f>IF('Original-E2E'!M74="x",4,0)</f>
        <v>0</v>
      </c>
      <c r="D372" s="144">
        <f>IF('E2E Combined OD + ZK'!M73="x",4,0)</f>
        <v>0</v>
      </c>
      <c r="E372" s="144">
        <f>IF('E2E Combined AB + TCF'!M73="x",4,0)</f>
        <v>0</v>
      </c>
    </row>
    <row r="373">
      <c r="B373" s="99">
        <f>'Original-E2E'!A75</f>
        <v>82</v>
      </c>
      <c r="C373" s="144">
        <f>IF('Original-E2E'!M75="x",4,0)</f>
        <v>0</v>
      </c>
      <c r="D373" s="144">
        <f>IF('E2E Combined OD + ZK'!M74="x",4,0)</f>
        <v>0</v>
      </c>
      <c r="E373" s="144">
        <f>IF('E2E Combined AB + TCF'!M74="x",4,0)</f>
        <v>0</v>
      </c>
    </row>
    <row r="374">
      <c r="B374" s="99">
        <f>'Original-E2E'!A76</f>
        <v>83</v>
      </c>
      <c r="C374" s="144">
        <f>IF('Original-E2E'!M76="x",4,0)</f>
        <v>0</v>
      </c>
      <c r="D374" s="144">
        <f>IF('E2E Combined OD + ZK'!M75="x",4,0)</f>
        <v>0</v>
      </c>
      <c r="E374" s="144">
        <f>IF('E2E Combined AB + TCF'!M75="x",4,0)</f>
        <v>4</v>
      </c>
    </row>
    <row r="375">
      <c r="B375" s="99">
        <f>'Original-E2E'!A77</f>
        <v>86</v>
      </c>
      <c r="C375" s="144">
        <f>IF('Original-E2E'!M77="x",4,0)</f>
        <v>0</v>
      </c>
      <c r="D375" s="144">
        <f>IF('E2E Combined OD + ZK'!M76="x",4,0)</f>
        <v>0</v>
      </c>
      <c r="E375" s="144">
        <f>IF('E2E Combined AB + TCF'!M76="x",4,0)</f>
        <v>0</v>
      </c>
    </row>
    <row r="376">
      <c r="B376" s="99">
        <f>'Original-E2E'!A78</f>
        <v>89</v>
      </c>
      <c r="C376" s="144">
        <f>IF('Original-E2E'!M78="x",4,0)</f>
        <v>0</v>
      </c>
      <c r="D376" s="144">
        <f>IF('E2E Combined OD + ZK'!M77="x",4,0)</f>
        <v>0</v>
      </c>
      <c r="E376" s="144">
        <f>IF('E2E Combined AB + TCF'!M77="x",4,0)</f>
        <v>0</v>
      </c>
    </row>
    <row r="377">
      <c r="B377" s="99">
        <f>'Original-E2E'!A79</f>
        <v>90</v>
      </c>
      <c r="C377" s="144">
        <f>IF('Original-E2E'!M79="x",4,0)</f>
        <v>0</v>
      </c>
      <c r="D377" s="144">
        <f>IF('E2E Combined OD + ZK'!M78="x",4,0)</f>
        <v>0</v>
      </c>
      <c r="E377" s="144">
        <f>IF('E2E Combined AB + TCF'!M78="x",4,0)</f>
        <v>4</v>
      </c>
    </row>
    <row r="378">
      <c r="B378" s="99">
        <f>'Original-E2E'!A80</f>
        <v>91</v>
      </c>
      <c r="C378" s="144">
        <f>IF('Original-E2E'!M80="x",4,0)</f>
        <v>0</v>
      </c>
      <c r="D378" s="144">
        <f>IF('E2E Combined OD + ZK'!M79="x",4,0)</f>
        <v>0</v>
      </c>
      <c r="E378" s="144">
        <f>IF('E2E Combined AB + TCF'!M79="x",4,0)</f>
        <v>0</v>
      </c>
    </row>
    <row r="379">
      <c r="B379" s="99">
        <f>'Original-E2E'!A81</f>
        <v>92</v>
      </c>
      <c r="C379" s="144">
        <f>IF('Original-E2E'!M81="x",4,0)</f>
        <v>0</v>
      </c>
      <c r="D379" s="144">
        <f>IF('E2E Combined OD + ZK'!M80="x",4,0)</f>
        <v>0</v>
      </c>
      <c r="E379" s="144">
        <f>IF('E2E Combined AB + TCF'!M80="x",4,0)</f>
        <v>4</v>
      </c>
    </row>
    <row r="380">
      <c r="B380" s="99">
        <f>'Original-E2E'!A82</f>
        <v>94</v>
      </c>
      <c r="C380" s="144">
        <f>IF('Original-E2E'!M82="x",4,0)</f>
        <v>0</v>
      </c>
      <c r="D380" s="144">
        <f>IF('E2E Combined OD + ZK'!M81="x",4,0)</f>
        <v>0</v>
      </c>
      <c r="E380" s="144">
        <f>IF('E2E Combined AB + TCF'!M81="x",4,0)</f>
        <v>4</v>
      </c>
    </row>
    <row r="381">
      <c r="B381" s="99">
        <f>'Original-E2E'!A83</f>
        <v>95</v>
      </c>
      <c r="C381" s="144">
        <f>IF('Original-E2E'!M83="x",4,0)</f>
        <v>0</v>
      </c>
      <c r="D381" s="144">
        <f>IF('E2E Combined OD + ZK'!M82="x",4,0)</f>
        <v>0</v>
      </c>
      <c r="E381" s="144">
        <f>IF('E2E Combined AB + TCF'!M82="x",4,0)</f>
        <v>0</v>
      </c>
    </row>
    <row r="382">
      <c r="B382" s="99">
        <f>'Original-E2E'!A84</f>
        <v>96</v>
      </c>
      <c r="C382" s="144">
        <f>IF('Original-E2E'!M84="x",4,0)</f>
        <v>0</v>
      </c>
      <c r="D382" s="144">
        <f>IF('E2E Combined OD + ZK'!M83="x",4,0)</f>
        <v>0</v>
      </c>
      <c r="E382" s="144">
        <f>IF('E2E Combined AB + TCF'!M83="x",4,0)</f>
        <v>0</v>
      </c>
    </row>
    <row r="383">
      <c r="B383" s="99">
        <f>'Original-E2E'!A85</f>
        <v>98</v>
      </c>
      <c r="C383" s="144">
        <f>IF('Original-E2E'!M85="x",4,0)</f>
        <v>0</v>
      </c>
      <c r="D383" s="144">
        <f>IF('E2E Combined OD + ZK'!M84="x",4,0)</f>
        <v>0</v>
      </c>
      <c r="E383" s="144">
        <f>IF('E2E Combined AB + TCF'!M84="x",4,0)</f>
        <v>0</v>
      </c>
    </row>
    <row r="384">
      <c r="B384" s="99">
        <f>'Original-E2E'!A86</f>
        <v>99</v>
      </c>
      <c r="C384" s="144">
        <f>IF('Original-E2E'!M86="x",4,0)</f>
        <v>0</v>
      </c>
      <c r="D384" s="144">
        <f>IF('E2E Combined OD + ZK'!M85="x",4,0)</f>
        <v>0</v>
      </c>
      <c r="E384" s="144">
        <f>IF('E2E Combined AB + TCF'!M85="x",4,0)</f>
        <v>0</v>
      </c>
    </row>
    <row r="385">
      <c r="B385" s="99">
        <f>'Original-E2E'!A87</f>
        <v>100</v>
      </c>
      <c r="C385" s="144">
        <f>IF('Original-E2E'!M87="x",4,0)</f>
        <v>0</v>
      </c>
      <c r="D385" s="144">
        <f>IF('E2E Combined OD + ZK'!M86="x",4,0)</f>
        <v>0</v>
      </c>
      <c r="E385" s="144">
        <f>IF('E2E Combined AB + TCF'!M86="x",4,0)</f>
        <v>0</v>
      </c>
    </row>
    <row r="386">
      <c r="B386" s="99">
        <f>'Original-E2E'!A88</f>
        <v>101</v>
      </c>
      <c r="C386" s="144">
        <f>IF('Original-E2E'!M88="x",4,0)</f>
        <v>0</v>
      </c>
      <c r="D386" s="144">
        <f>IF('E2E Combined OD + ZK'!M87="x",4,0)</f>
        <v>0</v>
      </c>
      <c r="E386" s="144">
        <f>IF('E2E Combined AB + TCF'!M87="x",4,0)</f>
        <v>0</v>
      </c>
    </row>
    <row r="387">
      <c r="B387" s="99">
        <f>'Original-E2E'!A89</f>
        <v>102</v>
      </c>
      <c r="C387" s="144">
        <f>IF('Original-E2E'!M89="x",4,0)</f>
        <v>0</v>
      </c>
      <c r="D387" s="144">
        <f>IF('E2E Combined OD + ZK'!M88="x",4,0)</f>
        <v>0</v>
      </c>
      <c r="E387" s="144">
        <f>IF('E2E Combined AB + TCF'!M88="x",4,0)</f>
        <v>0</v>
      </c>
    </row>
    <row r="388">
      <c r="B388" s="99">
        <f>'Original-E2E'!A90</f>
        <v>103</v>
      </c>
      <c r="C388" s="144">
        <f>IF('Original-E2E'!M90="x",4,0)</f>
        <v>4</v>
      </c>
      <c r="D388" s="144">
        <f>IF('E2E Combined OD + ZK'!M89="x",4,0)</f>
        <v>4</v>
      </c>
      <c r="E388" s="144">
        <f>IF('E2E Combined AB + TCF'!M89="x",4,0)</f>
        <v>4</v>
      </c>
    </row>
    <row r="389">
      <c r="B389" s="99">
        <f>'Original-E2E'!A91</f>
        <v>104</v>
      </c>
      <c r="C389" s="144">
        <f>IF('Original-E2E'!M91="x",4,0)</f>
        <v>0</v>
      </c>
      <c r="D389" s="144">
        <f>IF('E2E Combined OD + ZK'!M90="x",4,0)</f>
        <v>0</v>
      </c>
      <c r="E389" s="144">
        <f>IF('E2E Combined AB + TCF'!M90="x",4,0)</f>
        <v>4</v>
      </c>
    </row>
    <row r="390">
      <c r="B390" s="99">
        <f>'Original-E2E'!A92</f>
        <v>105</v>
      </c>
      <c r="C390" s="144">
        <f>IF('Original-E2E'!M92="x",4,0)</f>
        <v>0</v>
      </c>
      <c r="D390" s="144">
        <f>IF('E2E Combined OD + ZK'!M91="x",4,0)</f>
        <v>0</v>
      </c>
      <c r="E390" s="144">
        <f>IF('E2E Combined AB + TCF'!M91="x",4,0)</f>
        <v>0</v>
      </c>
    </row>
    <row r="391">
      <c r="B391" s="99">
        <f>'Original-E2E'!A93</f>
        <v>106</v>
      </c>
      <c r="C391" s="144">
        <f>IF('Original-E2E'!M93="x",4,0)</f>
        <v>0</v>
      </c>
      <c r="D391" s="144">
        <f>IF('E2E Combined OD + ZK'!M92="x",4,0)</f>
        <v>0</v>
      </c>
      <c r="E391" s="144">
        <f>IF('E2E Combined AB + TCF'!M92="x",4,0)</f>
        <v>0</v>
      </c>
    </row>
    <row r="392">
      <c r="B392" s="99">
        <f>'Original-E2E'!A94</f>
        <v>107</v>
      </c>
      <c r="C392" s="144">
        <f>IF('Original-E2E'!M94="x",4,0)</f>
        <v>0</v>
      </c>
      <c r="D392" s="144">
        <f>IF('E2E Combined OD + ZK'!M93="x",4,0)</f>
        <v>0</v>
      </c>
      <c r="E392" s="144">
        <f>IF('E2E Combined AB + TCF'!M93="x",4,0)</f>
        <v>4</v>
      </c>
    </row>
    <row r="393">
      <c r="B393" s="99">
        <f>'Original-E2E'!A95</f>
        <v>110</v>
      </c>
      <c r="C393" s="144">
        <f>IF('Original-E2E'!M95="x",4,0)</f>
        <v>0</v>
      </c>
      <c r="D393" s="144">
        <f>IF('E2E Combined OD + ZK'!M94="x",4,0)</f>
        <v>0</v>
      </c>
      <c r="E393" s="144">
        <f>IF('E2E Combined AB + TCF'!M94="x",4,0)</f>
        <v>0</v>
      </c>
    </row>
    <row r="394">
      <c r="B394" s="99">
        <f>'Original-E2E'!A96</f>
        <v>111</v>
      </c>
      <c r="C394" s="144">
        <f>IF('Original-E2E'!M96="x",4,0)</f>
        <v>0</v>
      </c>
      <c r="D394" s="144">
        <f>IF('E2E Combined OD + ZK'!M95="x",4,0)</f>
        <v>0</v>
      </c>
      <c r="E394" s="144">
        <f>IF('E2E Combined AB + TCF'!M95="x",4,0)</f>
        <v>0</v>
      </c>
    </row>
    <row r="395">
      <c r="B395" s="99">
        <f>'Original-E2E'!A97</f>
        <v>112</v>
      </c>
      <c r="C395" s="144">
        <f>IF('Original-E2E'!M97="x",4,0)</f>
        <v>0</v>
      </c>
      <c r="D395" s="144">
        <f>IF('E2E Combined OD + ZK'!M96="x",4,0)</f>
        <v>0</v>
      </c>
      <c r="E395" s="144">
        <f>IF('E2E Combined AB + TCF'!M96="x",4,0)</f>
        <v>0</v>
      </c>
    </row>
    <row r="396">
      <c r="B396" s="99">
        <f>'Original-E2E'!A98</f>
        <v>113</v>
      </c>
      <c r="C396" s="144">
        <f>IF('Original-E2E'!M98="x",4,0)</f>
        <v>0</v>
      </c>
      <c r="D396" s="144">
        <f>IF('E2E Combined OD + ZK'!M97="x",4,0)</f>
        <v>0</v>
      </c>
      <c r="E396" s="144">
        <f>IF('E2E Combined AB + TCF'!M97="x",4,0)</f>
        <v>0</v>
      </c>
    </row>
    <row r="397">
      <c r="B397" s="99">
        <f>'Original-E2E'!A99</f>
        <v>114</v>
      </c>
      <c r="C397" s="144">
        <f>IF('Original-E2E'!M99="x",4,0)</f>
        <v>0</v>
      </c>
      <c r="D397" s="144">
        <f>IF('E2E Combined OD + ZK'!M98="x",4,0)</f>
        <v>0</v>
      </c>
      <c r="E397" s="144">
        <f>IF('E2E Combined AB + TCF'!M98="x",4,0)</f>
        <v>0</v>
      </c>
    </row>
    <row r="398">
      <c r="B398" s="99">
        <f>'Original-E2E'!A100</f>
        <v>115</v>
      </c>
      <c r="C398" s="144">
        <f>IF('Original-E2E'!M100="x",4,0)</f>
        <v>0</v>
      </c>
      <c r="D398" s="144">
        <f>IF('E2E Combined OD + ZK'!M99="x",4,0)</f>
        <v>0</v>
      </c>
      <c r="E398" s="144">
        <f>IF('E2E Combined AB + TCF'!M99="x",4,0)</f>
        <v>0</v>
      </c>
    </row>
    <row r="399">
      <c r="B399" s="99">
        <f>'Original-E2E'!A101</f>
        <v>116</v>
      </c>
      <c r="C399" s="144">
        <f>IF('Original-E2E'!M101="x",4,0)</f>
        <v>0</v>
      </c>
      <c r="D399" s="144">
        <f>IF('E2E Combined OD + ZK'!M100="x",4,0)</f>
        <v>0</v>
      </c>
      <c r="E399" s="144">
        <f>IF('E2E Combined AB + TCF'!M100="x",4,0)</f>
        <v>4</v>
      </c>
    </row>
    <row r="400">
      <c r="B400" s="99">
        <f>'Original-E2E'!A102</f>
        <v>117</v>
      </c>
      <c r="C400" s="144">
        <f>IF('Original-E2E'!M102="x",4,0)</f>
        <v>0</v>
      </c>
      <c r="D400" s="144">
        <f>IF('E2E Combined OD + ZK'!M101="x",4,0)</f>
        <v>0</v>
      </c>
      <c r="E400" s="144">
        <f>IF('E2E Combined AB + TCF'!M101="x",4,0)</f>
        <v>0</v>
      </c>
    </row>
    <row r="401">
      <c r="B401" s="99">
        <f>'Original-E2E'!A103</f>
        <v>118</v>
      </c>
      <c r="C401" s="144">
        <f>IF('Original-E2E'!M103="x",4,0)</f>
        <v>0</v>
      </c>
      <c r="D401" s="144">
        <f>IF('E2E Combined OD + ZK'!M102="x",4,0)</f>
        <v>0</v>
      </c>
      <c r="E401" s="144">
        <f>IF('E2E Combined AB + TCF'!M102="x",4,0)</f>
        <v>0</v>
      </c>
    </row>
    <row r="402">
      <c r="A402" s="98" t="s">
        <v>1046</v>
      </c>
      <c r="B402" s="160">
        <f>'Original-E2E'!A4</f>
        <v>2</v>
      </c>
      <c r="C402" s="144">
        <f>IF('Original-E2E'!N4="x",5,0)</f>
        <v>5</v>
      </c>
      <c r="D402" s="144">
        <f>IF('E2E Combined OD + ZK'!N3="x",5,0)</f>
        <v>0</v>
      </c>
      <c r="E402" s="144">
        <f>IF('E2E Combined AB + TCF'!N3="x",5,0)</f>
        <v>0</v>
      </c>
    </row>
    <row r="403">
      <c r="B403" s="160">
        <f>'Original-E2E'!A5</f>
        <v>3</v>
      </c>
      <c r="C403" s="144">
        <f>IF('Original-E2E'!N5="x",5,0)</f>
        <v>0</v>
      </c>
      <c r="D403" s="144">
        <f>IF('E2E Combined OD + ZK'!N4="x",5,0)</f>
        <v>0</v>
      </c>
      <c r="E403" s="144">
        <f>IF('E2E Combined AB + TCF'!N4="x",5,0)</f>
        <v>0</v>
      </c>
    </row>
    <row r="404">
      <c r="B404" s="160">
        <f>'Original-E2E'!A6</f>
        <v>4</v>
      </c>
      <c r="C404" s="144">
        <f>IF('Original-E2E'!N6="x",5,0)</f>
        <v>0</v>
      </c>
      <c r="D404" s="144">
        <f>IF('E2E Combined OD + ZK'!N5="x",5,0)</f>
        <v>0</v>
      </c>
      <c r="E404" s="144">
        <f>IF('E2E Combined AB + TCF'!N5="x",5,0)</f>
        <v>0</v>
      </c>
    </row>
    <row r="405">
      <c r="B405" s="160">
        <f>'Original-E2E'!A7</f>
        <v>5</v>
      </c>
      <c r="C405" s="144">
        <f>IF('Original-E2E'!N7="x",5,0)</f>
        <v>0</v>
      </c>
      <c r="D405" s="144">
        <f>IF('E2E Combined OD + ZK'!N6="x",5,0)</f>
        <v>0</v>
      </c>
      <c r="E405" s="144">
        <f>IF('E2E Combined AB + TCF'!N6="x",5,0)</f>
        <v>5</v>
      </c>
    </row>
    <row r="406">
      <c r="B406" s="160">
        <f>'Original-E2E'!A8</f>
        <v>6</v>
      </c>
      <c r="C406" s="144">
        <f>IF('Original-E2E'!N8="x",5,0)</f>
        <v>0</v>
      </c>
      <c r="D406" s="144">
        <f>IF('E2E Combined OD + ZK'!N7="x",5,0)</f>
        <v>0</v>
      </c>
      <c r="E406" s="144">
        <f>IF('E2E Combined AB + TCF'!N7="x",5,0)</f>
        <v>0</v>
      </c>
    </row>
    <row r="407">
      <c r="B407" s="160">
        <f>'Original-E2E'!A9</f>
        <v>7</v>
      </c>
      <c r="C407" s="144">
        <f>IF('Original-E2E'!N9="x",5,0)</f>
        <v>0</v>
      </c>
      <c r="D407" s="144">
        <f>IF('E2E Combined OD + ZK'!N8="x",5,0)</f>
        <v>0</v>
      </c>
      <c r="E407" s="144">
        <f>IF('E2E Combined AB + TCF'!N8="x",5,0)</f>
        <v>5</v>
      </c>
    </row>
    <row r="408">
      <c r="B408" s="160">
        <f>'Original-E2E'!A10</f>
        <v>8</v>
      </c>
      <c r="C408" s="144">
        <f>IF('Original-E2E'!N10="x",5,0)</f>
        <v>0</v>
      </c>
      <c r="D408" s="144">
        <f>IF('E2E Combined OD + ZK'!N9="x",5,0)</f>
        <v>0</v>
      </c>
      <c r="E408" s="144">
        <f>IF('E2E Combined AB + TCF'!N9="x",5,0)</f>
        <v>5</v>
      </c>
    </row>
    <row r="409">
      <c r="B409" s="160">
        <f>'Original-E2E'!A11</f>
        <v>9</v>
      </c>
      <c r="C409" s="144">
        <f>IF('Original-E2E'!N11="x",5,0)</f>
        <v>0</v>
      </c>
      <c r="D409" s="144">
        <f>IF('E2E Combined OD + ZK'!N10="x",5,0)</f>
        <v>0</v>
      </c>
      <c r="E409" s="144">
        <f>IF('E2E Combined AB + TCF'!N10="x",5,0)</f>
        <v>0</v>
      </c>
    </row>
    <row r="410">
      <c r="B410" s="160">
        <f>'Original-E2E'!A12</f>
        <v>10</v>
      </c>
      <c r="C410" s="144">
        <f>IF('Original-E2E'!N12="x",5,0)</f>
        <v>0</v>
      </c>
      <c r="D410" s="144">
        <f>IF('E2E Combined OD + ZK'!N11="x",5,0)</f>
        <v>0</v>
      </c>
      <c r="E410" s="144">
        <f>IF('E2E Combined AB + TCF'!N11="x",5,0)</f>
        <v>5</v>
      </c>
    </row>
    <row r="411">
      <c r="B411" s="160">
        <f>'Original-E2E'!A13</f>
        <v>11</v>
      </c>
      <c r="C411" s="144">
        <f>IF('Original-E2E'!N13="x",5,0)</f>
        <v>5</v>
      </c>
      <c r="D411" s="144">
        <f>IF('E2E Combined OD + ZK'!N12="x",5,0)</f>
        <v>5</v>
      </c>
      <c r="E411" s="144">
        <f>IF('E2E Combined AB + TCF'!N12="x",5,0)</f>
        <v>0</v>
      </c>
    </row>
    <row r="412">
      <c r="B412" s="160">
        <f>'Original-E2E'!A14</f>
        <v>12</v>
      </c>
      <c r="C412" s="144">
        <f>IF('Original-E2E'!N14="x",5,0)</f>
        <v>0</v>
      </c>
      <c r="D412" s="144">
        <f>IF('E2E Combined OD + ZK'!N13="x",5,0)</f>
        <v>0</v>
      </c>
      <c r="E412" s="144">
        <f>IF('E2E Combined AB + TCF'!N13="x",5,0)</f>
        <v>0</v>
      </c>
    </row>
    <row r="413">
      <c r="B413" s="160">
        <f>'Original-E2E'!A15</f>
        <v>13</v>
      </c>
      <c r="C413" s="144">
        <f>IF('Original-E2E'!N15="x",5,0)</f>
        <v>0</v>
      </c>
      <c r="D413" s="144">
        <f>IF('E2E Combined OD + ZK'!N14="x",5,0)</f>
        <v>0</v>
      </c>
      <c r="E413" s="144">
        <f>IF('E2E Combined AB + TCF'!N14="x",5,0)</f>
        <v>0</v>
      </c>
    </row>
    <row r="414">
      <c r="B414" s="160">
        <f>'Original-E2E'!A16</f>
        <v>14</v>
      </c>
      <c r="C414" s="144">
        <f>IF('Original-E2E'!N16="x",5,0)</f>
        <v>0</v>
      </c>
      <c r="D414" s="144">
        <f>IF('E2E Combined OD + ZK'!N15="x",5,0)</f>
        <v>0</v>
      </c>
      <c r="E414" s="144">
        <f>IF('E2E Combined AB + TCF'!N15="x",5,0)</f>
        <v>0</v>
      </c>
    </row>
    <row r="415">
      <c r="B415" s="160">
        <f>'Original-E2E'!A17</f>
        <v>15</v>
      </c>
      <c r="C415" s="144">
        <f>IF('Original-E2E'!N17="x",5,0)</f>
        <v>0</v>
      </c>
      <c r="D415" s="144">
        <f>IF('E2E Combined OD + ZK'!N16="x",5,0)</f>
        <v>0</v>
      </c>
      <c r="E415" s="144">
        <f>IF('E2E Combined AB + TCF'!N16="x",5,0)</f>
        <v>5</v>
      </c>
    </row>
    <row r="416">
      <c r="B416" s="160">
        <f>'Original-E2E'!A18</f>
        <v>16</v>
      </c>
      <c r="C416" s="144">
        <f>IF('Original-E2E'!N18="x",5,0)</f>
        <v>0</v>
      </c>
      <c r="D416" s="144">
        <f>IF('E2E Combined OD + ZK'!N17="x",5,0)</f>
        <v>5</v>
      </c>
      <c r="E416" s="144">
        <f>IF('E2E Combined AB + TCF'!N17="x",5,0)</f>
        <v>0</v>
      </c>
    </row>
    <row r="417">
      <c r="B417" s="160">
        <f>'Original-E2E'!A19</f>
        <v>17</v>
      </c>
      <c r="C417" s="144">
        <f>IF('Original-E2E'!N19="x",5,0)</f>
        <v>5</v>
      </c>
      <c r="D417" s="144">
        <f>IF('E2E Combined OD + ZK'!N18="x",5,0)</f>
        <v>0</v>
      </c>
      <c r="E417" s="144">
        <f>IF('E2E Combined AB + TCF'!N18="x",5,0)</f>
        <v>5</v>
      </c>
    </row>
    <row r="418">
      <c r="B418" s="160">
        <f>'Original-E2E'!A20</f>
        <v>18</v>
      </c>
      <c r="C418" s="144">
        <f>IF('Original-E2E'!N20="x",5,0)</f>
        <v>0</v>
      </c>
      <c r="D418" s="144">
        <f>IF('E2E Combined OD + ZK'!N19="x",5,0)</f>
        <v>0</v>
      </c>
      <c r="E418" s="144">
        <f>IF('E2E Combined AB + TCF'!N19="x",5,0)</f>
        <v>5</v>
      </c>
    </row>
    <row r="419">
      <c r="B419" s="160">
        <f>'Original-E2E'!A21</f>
        <v>19</v>
      </c>
      <c r="C419" s="144">
        <f>IF('Original-E2E'!N21="x",5,0)</f>
        <v>5</v>
      </c>
      <c r="D419" s="144">
        <f>IF('E2E Combined OD + ZK'!N20="x",5,0)</f>
        <v>0</v>
      </c>
      <c r="E419" s="144">
        <f>IF('E2E Combined AB + TCF'!N20="x",5,0)</f>
        <v>0</v>
      </c>
    </row>
    <row r="420">
      <c r="B420" s="160">
        <f>'Original-E2E'!A22</f>
        <v>20</v>
      </c>
      <c r="C420" s="144">
        <f>IF('Original-E2E'!N22="x",5,0)</f>
        <v>0</v>
      </c>
      <c r="D420" s="144">
        <f>IF('E2E Combined OD + ZK'!N21="x",5,0)</f>
        <v>0</v>
      </c>
      <c r="E420" s="144">
        <f>IF('E2E Combined AB + TCF'!N21="x",5,0)</f>
        <v>0</v>
      </c>
    </row>
    <row r="421">
      <c r="B421" s="160">
        <f>'Original-E2E'!A23</f>
        <v>21</v>
      </c>
      <c r="C421" s="144">
        <f>IF('Original-E2E'!N23="x",5,0)</f>
        <v>5</v>
      </c>
      <c r="D421" s="144">
        <f>IF('E2E Combined OD + ZK'!N22="x",5,0)</f>
        <v>5</v>
      </c>
      <c r="E421" s="144">
        <f>IF('E2E Combined AB + TCF'!N22="x",5,0)</f>
        <v>5</v>
      </c>
    </row>
    <row r="422">
      <c r="B422" s="160">
        <f>'Original-E2E'!A24</f>
        <v>22</v>
      </c>
      <c r="C422" s="144">
        <f>IF('Original-E2E'!N24="x",5,0)</f>
        <v>0</v>
      </c>
      <c r="D422" s="144">
        <f>IF('E2E Combined OD + ZK'!N23="x",5,0)</f>
        <v>0</v>
      </c>
      <c r="E422" s="144">
        <f>IF('E2E Combined AB + TCF'!N23="x",5,0)</f>
        <v>0</v>
      </c>
    </row>
    <row r="423">
      <c r="B423" s="160">
        <f>'Original-E2E'!A25</f>
        <v>23</v>
      </c>
      <c r="C423" s="144">
        <f>IF('Original-E2E'!N25="x",5,0)</f>
        <v>0</v>
      </c>
      <c r="D423" s="144">
        <f>IF('E2E Combined OD + ZK'!N24="x",5,0)</f>
        <v>0</v>
      </c>
      <c r="E423" s="144">
        <f>IF('E2E Combined AB + TCF'!N24="x",5,0)</f>
        <v>0</v>
      </c>
    </row>
    <row r="424">
      <c r="B424" s="160">
        <f>'Original-E2E'!A26</f>
        <v>24</v>
      </c>
      <c r="C424" s="144">
        <f>IF('Original-E2E'!N26="x",5,0)</f>
        <v>0</v>
      </c>
      <c r="D424" s="144">
        <f>IF('E2E Combined OD + ZK'!N25="x",5,0)</f>
        <v>0</v>
      </c>
      <c r="E424" s="144">
        <f>IF('E2E Combined AB + TCF'!N25="x",5,0)</f>
        <v>0</v>
      </c>
    </row>
    <row r="425">
      <c r="B425" s="160">
        <f>'Original-E2E'!A27</f>
        <v>25</v>
      </c>
      <c r="C425" s="144">
        <f>IF('Original-E2E'!N27="x",5,0)</f>
        <v>0</v>
      </c>
      <c r="D425" s="144">
        <f>IF('E2E Combined OD + ZK'!N26="x",5,0)</f>
        <v>0</v>
      </c>
      <c r="E425" s="144">
        <f>IF('E2E Combined AB + TCF'!N26="x",5,0)</f>
        <v>0</v>
      </c>
    </row>
    <row r="426">
      <c r="B426" s="160">
        <f>'Original-E2E'!A28</f>
        <v>27</v>
      </c>
      <c r="C426" s="144">
        <f>IF('Original-E2E'!N28="x",5,0)</f>
        <v>0</v>
      </c>
      <c r="D426" s="144">
        <f>IF('E2E Combined OD + ZK'!N27="x",5,0)</f>
        <v>0</v>
      </c>
      <c r="E426" s="144">
        <f>IF('E2E Combined AB + TCF'!N27="x",5,0)</f>
        <v>5</v>
      </c>
    </row>
    <row r="427">
      <c r="B427" s="160">
        <f>'Original-E2E'!A29</f>
        <v>28</v>
      </c>
      <c r="C427" s="144">
        <f>IF('Original-E2E'!N29="x",5,0)</f>
        <v>0</v>
      </c>
      <c r="D427" s="144">
        <f>IF('E2E Combined OD + ZK'!N28="x",5,0)</f>
        <v>0</v>
      </c>
      <c r="E427" s="144">
        <f>IF('E2E Combined AB + TCF'!N28="x",5,0)</f>
        <v>0</v>
      </c>
    </row>
    <row r="428">
      <c r="B428" s="160">
        <f>'Original-E2E'!A30</f>
        <v>29</v>
      </c>
      <c r="C428" s="144">
        <f>IF('Original-E2E'!N30="x",5,0)</f>
        <v>0</v>
      </c>
      <c r="D428" s="144">
        <f>IF('E2E Combined OD + ZK'!N29="x",5,0)</f>
        <v>0</v>
      </c>
      <c r="E428" s="144">
        <f>IF('E2E Combined AB + TCF'!N29="x",5,0)</f>
        <v>5</v>
      </c>
    </row>
    <row r="429">
      <c r="B429" s="160">
        <f>'Original-E2E'!A31</f>
        <v>30</v>
      </c>
      <c r="C429" s="144">
        <f>IF('Original-E2E'!N31="x",5,0)</f>
        <v>0</v>
      </c>
      <c r="D429" s="144">
        <f>IF('E2E Combined OD + ZK'!N30="x",5,0)</f>
        <v>0</v>
      </c>
      <c r="E429" s="144">
        <f>IF('E2E Combined AB + TCF'!N30="x",5,0)</f>
        <v>0</v>
      </c>
    </row>
    <row r="430">
      <c r="B430" s="160">
        <f>'Original-E2E'!A32</f>
        <v>31</v>
      </c>
      <c r="C430" s="144">
        <f>IF('Original-E2E'!N32="x",5,0)</f>
        <v>0</v>
      </c>
      <c r="D430" s="144">
        <f>IF('E2E Combined OD + ZK'!N31="x",5,0)</f>
        <v>0</v>
      </c>
      <c r="E430" s="144">
        <f>IF('E2E Combined AB + TCF'!N31="x",5,0)</f>
        <v>0</v>
      </c>
    </row>
    <row r="431">
      <c r="B431" s="160">
        <f>'Original-E2E'!A33</f>
        <v>33</v>
      </c>
      <c r="C431" s="144">
        <f>IF('Original-E2E'!N33="x",5,0)</f>
        <v>0</v>
      </c>
      <c r="D431" s="144">
        <f>IF('E2E Combined OD + ZK'!N32="x",5,0)</f>
        <v>0</v>
      </c>
      <c r="E431" s="144">
        <f>IF('E2E Combined AB + TCF'!N32="x",5,0)</f>
        <v>0</v>
      </c>
    </row>
    <row r="432">
      <c r="B432" s="160">
        <f>'Original-E2E'!A34</f>
        <v>34</v>
      </c>
      <c r="C432" s="144">
        <f>IF('Original-E2E'!N34="x",5,0)</f>
        <v>0</v>
      </c>
      <c r="D432" s="144">
        <f>IF('E2E Combined OD + ZK'!N33="x",5,0)</f>
        <v>0</v>
      </c>
      <c r="E432" s="144">
        <f>IF('E2E Combined AB + TCF'!N33="x",5,0)</f>
        <v>0</v>
      </c>
    </row>
    <row r="433">
      <c r="B433" s="160">
        <f>'Original-E2E'!A35</f>
        <v>36</v>
      </c>
      <c r="C433" s="144">
        <f>IF('Original-E2E'!N35="x",5,0)</f>
        <v>0</v>
      </c>
      <c r="D433" s="144">
        <f>IF('E2E Combined OD + ZK'!N34="x",5,0)</f>
        <v>0</v>
      </c>
      <c r="E433" s="144">
        <f>IF('E2E Combined AB + TCF'!N34="x",5,0)</f>
        <v>5</v>
      </c>
    </row>
    <row r="434">
      <c r="B434" s="160">
        <f>'Original-E2E'!A36</f>
        <v>37</v>
      </c>
      <c r="C434" s="144">
        <f>IF('Original-E2E'!N36="x",5,0)</f>
        <v>0</v>
      </c>
      <c r="D434" s="144">
        <f>IF('E2E Combined OD + ZK'!N35="x",5,0)</f>
        <v>0</v>
      </c>
      <c r="E434" s="144">
        <f>IF('E2E Combined AB + TCF'!N35="x",5,0)</f>
        <v>5</v>
      </c>
    </row>
    <row r="435">
      <c r="B435" s="160">
        <f>'Original-E2E'!A37</f>
        <v>38</v>
      </c>
      <c r="C435" s="144">
        <f>IF('Original-E2E'!N37="x",5,0)</f>
        <v>0</v>
      </c>
      <c r="D435" s="144">
        <f>IF('E2E Combined OD + ZK'!N36="x",5,0)</f>
        <v>0</v>
      </c>
      <c r="E435" s="144">
        <f>IF('E2E Combined AB + TCF'!N36="x",5,0)</f>
        <v>5</v>
      </c>
    </row>
    <row r="436">
      <c r="B436" s="160">
        <f>'Original-E2E'!A38</f>
        <v>40</v>
      </c>
      <c r="C436" s="144">
        <f>IF('Original-E2E'!N38="x",5,0)</f>
        <v>0</v>
      </c>
      <c r="D436" s="144">
        <f>IF('E2E Combined OD + ZK'!N37="x",5,0)</f>
        <v>0</v>
      </c>
      <c r="E436" s="144">
        <f>IF('E2E Combined AB + TCF'!N37="x",5,0)</f>
        <v>0</v>
      </c>
    </row>
    <row r="437">
      <c r="B437" s="160">
        <f>'Original-E2E'!A39</f>
        <v>41</v>
      </c>
      <c r="C437" s="144">
        <f>IF('Original-E2E'!N39="x",5,0)</f>
        <v>0</v>
      </c>
      <c r="D437" s="144">
        <f>IF('E2E Combined OD + ZK'!N38="x",5,0)</f>
        <v>0</v>
      </c>
      <c r="E437" s="144">
        <f>IF('E2E Combined AB + TCF'!N38="x",5,0)</f>
        <v>0</v>
      </c>
    </row>
    <row r="438">
      <c r="B438" s="160">
        <f>'Original-E2E'!A40</f>
        <v>42</v>
      </c>
      <c r="C438" s="144">
        <f>IF('Original-E2E'!N40="x",5,0)</f>
        <v>0</v>
      </c>
      <c r="D438" s="144">
        <f>IF('E2E Combined OD + ZK'!N39="x",5,0)</f>
        <v>0</v>
      </c>
      <c r="E438" s="144">
        <f>IF('E2E Combined AB + TCF'!N39="x",5,0)</f>
        <v>0</v>
      </c>
    </row>
    <row r="439">
      <c r="B439" s="160">
        <f>'Original-E2E'!A41</f>
        <v>43</v>
      </c>
      <c r="C439" s="144">
        <f>IF('Original-E2E'!N41="x",5,0)</f>
        <v>0</v>
      </c>
      <c r="D439" s="144">
        <f>IF('E2E Combined OD + ZK'!N40="x",5,0)</f>
        <v>0</v>
      </c>
      <c r="E439" s="144">
        <f>IF('E2E Combined AB + TCF'!N40="x",5,0)</f>
        <v>5</v>
      </c>
    </row>
    <row r="440">
      <c r="B440" s="160">
        <f>'Original-E2E'!A42</f>
        <v>44</v>
      </c>
      <c r="C440" s="144">
        <f>IF('Original-E2E'!N42="x",5,0)</f>
        <v>0</v>
      </c>
      <c r="D440" s="144">
        <f>IF('E2E Combined OD + ZK'!N41="x",5,0)</f>
        <v>0</v>
      </c>
      <c r="E440" s="144">
        <f>IF('E2E Combined AB + TCF'!N41="x",5,0)</f>
        <v>0</v>
      </c>
    </row>
    <row r="441">
      <c r="B441" s="160">
        <f>'Original-E2E'!A43</f>
        <v>45</v>
      </c>
      <c r="C441" s="144">
        <f>IF('Original-E2E'!N43="x",5,0)</f>
        <v>0</v>
      </c>
      <c r="D441" s="144">
        <f>IF('E2E Combined OD + ZK'!N42="x",5,0)</f>
        <v>0</v>
      </c>
      <c r="E441" s="144">
        <f>IF('E2E Combined AB + TCF'!N42="x",5,0)</f>
        <v>0</v>
      </c>
    </row>
    <row r="442">
      <c r="B442" s="160">
        <f>'Original-E2E'!A44</f>
        <v>46</v>
      </c>
      <c r="C442" s="144">
        <f>IF('Original-E2E'!N44="x",5,0)</f>
        <v>0</v>
      </c>
      <c r="D442" s="144">
        <f>IF('E2E Combined OD + ZK'!N43="x",5,0)</f>
        <v>0</v>
      </c>
      <c r="E442" s="144">
        <f>IF('E2E Combined AB + TCF'!N43="x",5,0)</f>
        <v>5</v>
      </c>
    </row>
    <row r="443">
      <c r="B443" s="160">
        <f>'Original-E2E'!A45</f>
        <v>47</v>
      </c>
      <c r="C443" s="144">
        <f>IF('Original-E2E'!N45="x",5,0)</f>
        <v>0</v>
      </c>
      <c r="D443" s="144">
        <f>IF('E2E Combined OD + ZK'!N44="x",5,0)</f>
        <v>0</v>
      </c>
      <c r="E443" s="144">
        <f>IF('E2E Combined AB + TCF'!N44="x",5,0)</f>
        <v>5</v>
      </c>
    </row>
    <row r="444">
      <c r="B444" s="160">
        <f>'Original-E2E'!A46</f>
        <v>48</v>
      </c>
      <c r="C444" s="144">
        <f>IF('Original-E2E'!N46="x",5,0)</f>
        <v>0</v>
      </c>
      <c r="D444" s="144">
        <f>IF('E2E Combined OD + ZK'!N45="x",5,0)</f>
        <v>0</v>
      </c>
      <c r="E444" s="144">
        <f>IF('E2E Combined AB + TCF'!N45="x",5,0)</f>
        <v>0</v>
      </c>
    </row>
    <row r="445">
      <c r="B445" s="160">
        <f>'Original-E2E'!A47</f>
        <v>49</v>
      </c>
      <c r="C445" s="144">
        <f>IF('Original-E2E'!N47="x",5,0)</f>
        <v>0</v>
      </c>
      <c r="D445" s="144">
        <f>IF('E2E Combined OD + ZK'!N46="x",5,0)</f>
        <v>0</v>
      </c>
      <c r="E445" s="144">
        <f>IF('E2E Combined AB + TCF'!N46="x",5,0)</f>
        <v>0</v>
      </c>
    </row>
    <row r="446">
      <c r="B446" s="160">
        <f>'Original-E2E'!A48</f>
        <v>51</v>
      </c>
      <c r="C446" s="144">
        <f>IF('Original-E2E'!N48="x",5,0)</f>
        <v>0</v>
      </c>
      <c r="D446" s="144">
        <f>IF('E2E Combined OD + ZK'!N47="x",5,0)</f>
        <v>0</v>
      </c>
      <c r="E446" s="144">
        <f>IF('E2E Combined AB + TCF'!N47="x",5,0)</f>
        <v>0</v>
      </c>
    </row>
    <row r="447">
      <c r="B447" s="160">
        <f>'Original-E2E'!A49</f>
        <v>52</v>
      </c>
      <c r="C447" s="144">
        <f>IF('Original-E2E'!N49="x",5,0)</f>
        <v>5</v>
      </c>
      <c r="D447" s="144">
        <f>IF('E2E Combined OD + ZK'!N48="x",5,0)</f>
        <v>5</v>
      </c>
      <c r="E447" s="144">
        <f>IF('E2E Combined AB + TCF'!N48="x",5,0)</f>
        <v>0</v>
      </c>
    </row>
    <row r="448">
      <c r="B448" s="160">
        <f>'Original-E2E'!A50</f>
        <v>54</v>
      </c>
      <c r="C448" s="144">
        <f>IF('Original-E2E'!N50="x",5,0)</f>
        <v>5</v>
      </c>
      <c r="D448" s="144">
        <f>IF('E2E Combined OD + ZK'!N49="x",5,0)</f>
        <v>5</v>
      </c>
      <c r="E448" s="144">
        <f>IF('E2E Combined AB + TCF'!N49="x",5,0)</f>
        <v>5</v>
      </c>
    </row>
    <row r="449">
      <c r="B449" s="160">
        <f>'Original-E2E'!A51</f>
        <v>55</v>
      </c>
      <c r="C449" s="144">
        <f>IF('Original-E2E'!N51="x",5,0)</f>
        <v>0</v>
      </c>
      <c r="D449" s="144">
        <f>IF('E2E Combined OD + ZK'!N50="x",5,0)</f>
        <v>0</v>
      </c>
      <c r="E449" s="144">
        <f>IF('E2E Combined AB + TCF'!N50="x",5,0)</f>
        <v>0</v>
      </c>
    </row>
    <row r="450">
      <c r="B450" s="160">
        <f>'Original-E2E'!A52</f>
        <v>56</v>
      </c>
      <c r="C450" s="144">
        <f>IF('Original-E2E'!N52="x",5,0)</f>
        <v>0</v>
      </c>
      <c r="D450" s="144">
        <f>IF('E2E Combined OD + ZK'!N51="x",5,0)</f>
        <v>0</v>
      </c>
      <c r="E450" s="144">
        <f>IF('E2E Combined AB + TCF'!N51="x",5,0)</f>
        <v>0</v>
      </c>
    </row>
    <row r="451">
      <c r="B451" s="160">
        <f>'Original-E2E'!A53</f>
        <v>57</v>
      </c>
      <c r="C451" s="144">
        <f>IF('Original-E2E'!N53="x",5,0)</f>
        <v>0</v>
      </c>
      <c r="D451" s="144">
        <f>IF('E2E Combined OD + ZK'!N52="x",5,0)</f>
        <v>0</v>
      </c>
      <c r="E451" s="144">
        <f>IF('E2E Combined AB + TCF'!N52="x",5,0)</f>
        <v>0</v>
      </c>
    </row>
    <row r="452">
      <c r="B452" s="160">
        <f>'Original-E2E'!A54</f>
        <v>58</v>
      </c>
      <c r="C452" s="144">
        <f>IF('Original-E2E'!N54="x",5,0)</f>
        <v>0</v>
      </c>
      <c r="D452" s="144">
        <f>IF('E2E Combined OD + ZK'!N53="x",5,0)</f>
        <v>0</v>
      </c>
      <c r="E452" s="144">
        <f>IF('E2E Combined AB + TCF'!N53="x",5,0)</f>
        <v>0</v>
      </c>
    </row>
    <row r="453">
      <c r="B453" s="160">
        <f>'Original-E2E'!A55</f>
        <v>59</v>
      </c>
      <c r="C453" s="144">
        <f>IF('Original-E2E'!N55="x",5,0)</f>
        <v>0</v>
      </c>
      <c r="D453" s="144">
        <f>IF('E2E Combined OD + ZK'!N54="x",5,0)</f>
        <v>0</v>
      </c>
      <c r="E453" s="144">
        <f>IF('E2E Combined AB + TCF'!N54="x",5,0)</f>
        <v>0</v>
      </c>
    </row>
    <row r="454">
      <c r="B454" s="160">
        <f>'Original-E2E'!A56</f>
        <v>61</v>
      </c>
      <c r="C454" s="144">
        <f>IF('Original-E2E'!N56="x",5,0)</f>
        <v>0</v>
      </c>
      <c r="D454" s="144">
        <f>IF('E2E Combined OD + ZK'!N55="x",5,0)</f>
        <v>0</v>
      </c>
      <c r="E454" s="144">
        <f>IF('E2E Combined AB + TCF'!N55="x",5,0)</f>
        <v>0</v>
      </c>
    </row>
    <row r="455">
      <c r="B455" s="160">
        <f>'Original-E2E'!A57</f>
        <v>62</v>
      </c>
      <c r="C455" s="144">
        <f>IF('Original-E2E'!N57="x",5,0)</f>
        <v>0</v>
      </c>
      <c r="D455" s="144">
        <f>IF('E2E Combined OD + ZK'!N56="x",5,0)</f>
        <v>0</v>
      </c>
      <c r="E455" s="144">
        <f>IF('E2E Combined AB + TCF'!N56="x",5,0)</f>
        <v>0</v>
      </c>
    </row>
    <row r="456">
      <c r="B456" s="160">
        <f>'Original-E2E'!A58</f>
        <v>63</v>
      </c>
      <c r="C456" s="144">
        <f>IF('Original-E2E'!N58="x",5,0)</f>
        <v>0</v>
      </c>
      <c r="D456" s="144">
        <f>IF('E2E Combined OD + ZK'!N57="x",5,0)</f>
        <v>0</v>
      </c>
      <c r="E456" s="144">
        <f>IF('E2E Combined AB + TCF'!N57="x",5,0)</f>
        <v>0</v>
      </c>
    </row>
    <row r="457">
      <c r="B457" s="160">
        <f>'Original-E2E'!A59</f>
        <v>64</v>
      </c>
      <c r="C457" s="144">
        <f>IF('Original-E2E'!N59="x",5,0)</f>
        <v>5</v>
      </c>
      <c r="D457" s="144">
        <f>IF('E2E Combined OD + ZK'!N58="x",5,0)</f>
        <v>0</v>
      </c>
      <c r="E457" s="144">
        <f>IF('E2E Combined AB + TCF'!N58="x",5,0)</f>
        <v>0</v>
      </c>
    </row>
    <row r="458">
      <c r="B458" s="160">
        <f>'Original-E2E'!A60</f>
        <v>66</v>
      </c>
      <c r="C458" s="144">
        <f>IF('Original-E2E'!N60="x",5,0)</f>
        <v>0</v>
      </c>
      <c r="D458" s="144">
        <f>IF('E2E Combined OD + ZK'!N59="x",5,0)</f>
        <v>0</v>
      </c>
      <c r="E458" s="144">
        <f>IF('E2E Combined AB + TCF'!N59="x",5,0)</f>
        <v>5</v>
      </c>
    </row>
    <row r="459">
      <c r="B459" s="160">
        <f>'Original-E2E'!A61</f>
        <v>67</v>
      </c>
      <c r="C459" s="144">
        <f>IF('Original-E2E'!N61="x",5,0)</f>
        <v>0</v>
      </c>
      <c r="D459" s="144">
        <f>IF('E2E Combined OD + ZK'!N60="x",5,0)</f>
        <v>0</v>
      </c>
      <c r="E459" s="144">
        <f>IF('E2E Combined AB + TCF'!N60="x",5,0)</f>
        <v>0</v>
      </c>
    </row>
    <row r="460">
      <c r="B460" s="160">
        <f>'Original-E2E'!A62</f>
        <v>69</v>
      </c>
      <c r="C460" s="144">
        <f>IF('Original-E2E'!N62="x",5,0)</f>
        <v>0</v>
      </c>
      <c r="D460" s="144">
        <f>IF('E2E Combined OD + ZK'!N61="x",5,0)</f>
        <v>0</v>
      </c>
      <c r="E460" s="144">
        <f>IF('E2E Combined AB + TCF'!N61="x",5,0)</f>
        <v>0</v>
      </c>
    </row>
    <row r="461">
      <c r="B461" s="160">
        <f>'Original-E2E'!A63</f>
        <v>70</v>
      </c>
      <c r="C461" s="144">
        <f>IF('Original-E2E'!N63="x",5,0)</f>
        <v>0</v>
      </c>
      <c r="D461" s="144">
        <f>IF('E2E Combined OD + ZK'!N62="x",5,0)</f>
        <v>0</v>
      </c>
      <c r="E461" s="144">
        <f>IF('E2E Combined AB + TCF'!N62="x",5,0)</f>
        <v>0</v>
      </c>
    </row>
    <row r="462">
      <c r="B462" s="160">
        <f>'Original-E2E'!A64</f>
        <v>71</v>
      </c>
      <c r="C462" s="144">
        <f>IF('Original-E2E'!N64="x",5,0)</f>
        <v>0</v>
      </c>
      <c r="D462" s="144">
        <f>IF('E2E Combined OD + ZK'!N63="x",5,0)</f>
        <v>0</v>
      </c>
      <c r="E462" s="144">
        <f>IF('E2E Combined AB + TCF'!N63="x",5,0)</f>
        <v>0</v>
      </c>
    </row>
    <row r="463">
      <c r="B463" s="160">
        <f>'Original-E2E'!A65</f>
        <v>72</v>
      </c>
      <c r="C463" s="144">
        <f>IF('Original-E2E'!N65="x",5,0)</f>
        <v>0</v>
      </c>
      <c r="D463" s="144">
        <f>IF('E2E Combined OD + ZK'!N64="x",5,0)</f>
        <v>0</v>
      </c>
      <c r="E463" s="144">
        <f>IF('E2E Combined AB + TCF'!N64="x",5,0)</f>
        <v>0</v>
      </c>
    </row>
    <row r="464">
      <c r="B464" s="160">
        <f>'Original-E2E'!A66</f>
        <v>73</v>
      </c>
      <c r="C464" s="144">
        <f>IF('Original-E2E'!N66="x",5,0)</f>
        <v>5</v>
      </c>
      <c r="D464" s="144">
        <f>IF('E2E Combined OD + ZK'!N65="x",5,0)</f>
        <v>5</v>
      </c>
      <c r="E464" s="144">
        <f>IF('E2E Combined AB + TCF'!N65="x",5,0)</f>
        <v>0</v>
      </c>
    </row>
    <row r="465">
      <c r="B465" s="160">
        <f>'Original-E2E'!A67</f>
        <v>74</v>
      </c>
      <c r="C465" s="144">
        <f>IF('Original-E2E'!N67="x",5,0)</f>
        <v>0</v>
      </c>
      <c r="D465" s="144">
        <f>IF('E2E Combined OD + ZK'!N66="x",5,0)</f>
        <v>0</v>
      </c>
      <c r="E465" s="144">
        <f>IF('E2E Combined AB + TCF'!N66="x",5,0)</f>
        <v>5</v>
      </c>
    </row>
    <row r="466">
      <c r="B466" s="160">
        <f>'Original-E2E'!A68</f>
        <v>75</v>
      </c>
      <c r="C466" s="144">
        <f>IF('Original-E2E'!N68="x",5,0)</f>
        <v>0</v>
      </c>
      <c r="D466" s="144">
        <f>IF('E2E Combined OD + ZK'!N67="x",5,0)</f>
        <v>0</v>
      </c>
      <c r="E466" s="144">
        <f>IF('E2E Combined AB + TCF'!N67="x",5,0)</f>
        <v>0</v>
      </c>
    </row>
    <row r="467">
      <c r="B467" s="160">
        <f>'Original-E2E'!A69</f>
        <v>76</v>
      </c>
      <c r="C467" s="144">
        <f>IF('Original-E2E'!N69="x",5,0)</f>
        <v>5</v>
      </c>
      <c r="D467" s="144">
        <f>IF('E2E Combined OD + ZK'!N68="x",5,0)</f>
        <v>5</v>
      </c>
      <c r="E467" s="144">
        <f>IF('E2E Combined AB + TCF'!N68="x",5,0)</f>
        <v>0</v>
      </c>
    </row>
    <row r="468">
      <c r="B468" s="160">
        <f>'Original-E2E'!A70</f>
        <v>77</v>
      </c>
      <c r="C468" s="144">
        <f>IF('Original-E2E'!N70="x",5,0)</f>
        <v>0</v>
      </c>
      <c r="D468" s="144">
        <f>IF('E2E Combined OD + ZK'!N69="x",5,0)</f>
        <v>0</v>
      </c>
      <c r="E468" s="144">
        <f>IF('E2E Combined AB + TCF'!N69="x",5,0)</f>
        <v>0</v>
      </c>
    </row>
    <row r="469">
      <c r="B469" s="160">
        <f>'Original-E2E'!A71</f>
        <v>78</v>
      </c>
      <c r="C469" s="144">
        <f>IF('Original-E2E'!N71="x",5,0)</f>
        <v>0</v>
      </c>
      <c r="D469" s="144">
        <f>IF('E2E Combined OD + ZK'!N70="x",5,0)</f>
        <v>0</v>
      </c>
      <c r="E469" s="144">
        <f>IF('E2E Combined AB + TCF'!N70="x",5,0)</f>
        <v>0</v>
      </c>
    </row>
    <row r="470">
      <c r="B470" s="160">
        <f>'Original-E2E'!A72</f>
        <v>79</v>
      </c>
      <c r="C470" s="144">
        <f>IF('Original-E2E'!N72="x",5,0)</f>
        <v>0</v>
      </c>
      <c r="D470" s="144">
        <f>IF('E2E Combined OD + ZK'!N71="x",5,0)</f>
        <v>0</v>
      </c>
      <c r="E470" s="144">
        <f>IF('E2E Combined AB + TCF'!N71="x",5,0)</f>
        <v>0</v>
      </c>
    </row>
    <row r="471">
      <c r="B471" s="160">
        <f>'Original-E2E'!A73</f>
        <v>80</v>
      </c>
      <c r="C471" s="144">
        <f>IF('Original-E2E'!N73="x",5,0)</f>
        <v>0</v>
      </c>
      <c r="D471" s="144">
        <f>IF('E2E Combined OD + ZK'!N72="x",5,0)</f>
        <v>0</v>
      </c>
      <c r="E471" s="144">
        <f>IF('E2E Combined AB + TCF'!N72="x",5,0)</f>
        <v>0</v>
      </c>
    </row>
    <row r="472">
      <c r="B472" s="160">
        <f>'Original-E2E'!A74</f>
        <v>81</v>
      </c>
      <c r="C472" s="144">
        <f>IF('Original-E2E'!N74="x",5,0)</f>
        <v>5</v>
      </c>
      <c r="D472" s="144">
        <f>IF('E2E Combined OD + ZK'!N73="x",5,0)</f>
        <v>0</v>
      </c>
      <c r="E472" s="144">
        <f>IF('E2E Combined AB + TCF'!N73="x",5,0)</f>
        <v>0</v>
      </c>
    </row>
    <row r="473">
      <c r="B473" s="160">
        <f>'Original-E2E'!A75</f>
        <v>82</v>
      </c>
      <c r="C473" s="144">
        <f>IF('Original-E2E'!N75="x",5,0)</f>
        <v>5</v>
      </c>
      <c r="D473" s="144">
        <f>IF('E2E Combined OD + ZK'!N74="x",5,0)</f>
        <v>0</v>
      </c>
      <c r="E473" s="144">
        <f>IF('E2E Combined AB + TCF'!N74="x",5,0)</f>
        <v>0</v>
      </c>
    </row>
    <row r="474">
      <c r="B474" s="160">
        <f>'Original-E2E'!A76</f>
        <v>83</v>
      </c>
      <c r="C474" s="144">
        <f>IF('Original-E2E'!N76="x",5,0)</f>
        <v>0</v>
      </c>
      <c r="D474" s="144">
        <f>IF('E2E Combined OD + ZK'!N75="x",5,0)</f>
        <v>0</v>
      </c>
      <c r="E474" s="144">
        <f>IF('E2E Combined AB + TCF'!N75="x",5,0)</f>
        <v>0</v>
      </c>
    </row>
    <row r="475">
      <c r="B475" s="160">
        <f>'Original-E2E'!A77</f>
        <v>86</v>
      </c>
      <c r="C475" s="144">
        <f>IF('Original-E2E'!N77="x",5,0)</f>
        <v>0</v>
      </c>
      <c r="D475" s="144">
        <f>IF('E2E Combined OD + ZK'!N76="x",5,0)</f>
        <v>0</v>
      </c>
      <c r="E475" s="144">
        <f>IF('E2E Combined AB + TCF'!N76="x",5,0)</f>
        <v>0</v>
      </c>
    </row>
    <row r="476">
      <c r="B476" s="160">
        <f>'Original-E2E'!A78</f>
        <v>89</v>
      </c>
      <c r="C476" s="144">
        <f>IF('Original-E2E'!N78="x",5,0)</f>
        <v>0</v>
      </c>
      <c r="D476" s="144">
        <f>IF('E2E Combined OD + ZK'!N77="x",5,0)</f>
        <v>0</v>
      </c>
      <c r="E476" s="144">
        <f>IF('E2E Combined AB + TCF'!N77="x",5,0)</f>
        <v>0</v>
      </c>
    </row>
    <row r="477">
      <c r="B477" s="160">
        <f>'Original-E2E'!A79</f>
        <v>90</v>
      </c>
      <c r="C477" s="144">
        <f>IF('Original-E2E'!N79="x",5,0)</f>
        <v>0</v>
      </c>
      <c r="D477" s="144">
        <f>IF('E2E Combined OD + ZK'!N78="x",5,0)</f>
        <v>0</v>
      </c>
      <c r="E477" s="144">
        <f>IF('E2E Combined AB + TCF'!N78="x",5,0)</f>
        <v>0</v>
      </c>
    </row>
    <row r="478">
      <c r="B478" s="160">
        <f>'Original-E2E'!A80</f>
        <v>91</v>
      </c>
      <c r="C478" s="144">
        <f>IF('Original-E2E'!N80="x",5,0)</f>
        <v>5</v>
      </c>
      <c r="D478" s="144">
        <f>IF('E2E Combined OD + ZK'!N79="x",5,0)</f>
        <v>5</v>
      </c>
      <c r="E478" s="144">
        <f>IF('E2E Combined AB + TCF'!N79="x",5,0)</f>
        <v>0</v>
      </c>
    </row>
    <row r="479">
      <c r="B479" s="160">
        <f>'Original-E2E'!A81</f>
        <v>92</v>
      </c>
      <c r="C479" s="144">
        <f>IF('Original-E2E'!N81="x",5,0)</f>
        <v>0</v>
      </c>
      <c r="D479" s="144">
        <f>IF('E2E Combined OD + ZK'!N80="x",5,0)</f>
        <v>0</v>
      </c>
      <c r="E479" s="144">
        <f>IF('E2E Combined AB + TCF'!N80="x",5,0)</f>
        <v>0</v>
      </c>
    </row>
    <row r="480">
      <c r="B480" s="160">
        <f>'Original-E2E'!A82</f>
        <v>94</v>
      </c>
      <c r="C480" s="144">
        <f>IF('Original-E2E'!N82="x",5,0)</f>
        <v>0</v>
      </c>
      <c r="D480" s="144">
        <f>IF('E2E Combined OD + ZK'!N81="x",5,0)</f>
        <v>0</v>
      </c>
      <c r="E480" s="144">
        <f>IF('E2E Combined AB + TCF'!N81="x",5,0)</f>
        <v>0</v>
      </c>
    </row>
    <row r="481">
      <c r="B481" s="160">
        <f>'Original-E2E'!A83</f>
        <v>95</v>
      </c>
      <c r="C481" s="144">
        <f>IF('Original-E2E'!N83="x",5,0)</f>
        <v>0</v>
      </c>
      <c r="D481" s="144">
        <f>IF('E2E Combined OD + ZK'!N82="x",5,0)</f>
        <v>0</v>
      </c>
      <c r="E481" s="144">
        <f>IF('E2E Combined AB + TCF'!N82="x",5,0)</f>
        <v>0</v>
      </c>
    </row>
    <row r="482">
      <c r="B482" s="160">
        <f>'Original-E2E'!A84</f>
        <v>96</v>
      </c>
      <c r="C482" s="144">
        <f>IF('Original-E2E'!N84="x",5,0)</f>
        <v>0</v>
      </c>
      <c r="D482" s="144">
        <f>IF('E2E Combined OD + ZK'!N83="x",5,0)</f>
        <v>0</v>
      </c>
      <c r="E482" s="144">
        <f>IF('E2E Combined AB + TCF'!N83="x",5,0)</f>
        <v>5</v>
      </c>
    </row>
    <row r="483">
      <c r="B483" s="160">
        <f>'Original-E2E'!A85</f>
        <v>98</v>
      </c>
      <c r="C483" s="144">
        <f>IF('Original-E2E'!N85="x",5,0)</f>
        <v>0</v>
      </c>
      <c r="D483" s="144">
        <f>IF('E2E Combined OD + ZK'!N84="x",5,0)</f>
        <v>0</v>
      </c>
      <c r="E483" s="144">
        <f>IF('E2E Combined AB + TCF'!N84="x",5,0)</f>
        <v>5</v>
      </c>
    </row>
    <row r="484">
      <c r="B484" s="160">
        <f>'Original-E2E'!A86</f>
        <v>99</v>
      </c>
      <c r="C484" s="144">
        <f>IF('Original-E2E'!N86="x",5,0)</f>
        <v>0</v>
      </c>
      <c r="D484" s="144">
        <f>IF('E2E Combined OD + ZK'!N85="x",5,0)</f>
        <v>0</v>
      </c>
      <c r="E484" s="144">
        <f>IF('E2E Combined AB + TCF'!N85="x",5,0)</f>
        <v>0</v>
      </c>
    </row>
    <row r="485">
      <c r="B485" s="160">
        <f>'Original-E2E'!A87</f>
        <v>100</v>
      </c>
      <c r="C485" s="144">
        <f>IF('Original-E2E'!N87="x",5,0)</f>
        <v>0</v>
      </c>
      <c r="D485" s="144">
        <f>IF('E2E Combined OD + ZK'!N86="x",5,0)</f>
        <v>0</v>
      </c>
      <c r="E485" s="144">
        <f>IF('E2E Combined AB + TCF'!N86="x",5,0)</f>
        <v>0</v>
      </c>
    </row>
    <row r="486">
      <c r="B486" s="160">
        <f>'Original-E2E'!A88</f>
        <v>101</v>
      </c>
      <c r="C486" s="144">
        <f>IF('Original-E2E'!N88="x",5,0)</f>
        <v>0</v>
      </c>
      <c r="D486" s="144">
        <f>IF('E2E Combined OD + ZK'!N87="x",5,0)</f>
        <v>0</v>
      </c>
      <c r="E486" s="144">
        <f>IF('E2E Combined AB + TCF'!N87="x",5,0)</f>
        <v>0</v>
      </c>
    </row>
    <row r="487">
      <c r="B487" s="160">
        <f>'Original-E2E'!A89</f>
        <v>102</v>
      </c>
      <c r="C487" s="144">
        <f>IF('Original-E2E'!N89="x",5,0)</f>
        <v>0</v>
      </c>
      <c r="D487" s="144">
        <f>IF('E2E Combined OD + ZK'!N88="x",5,0)</f>
        <v>0</v>
      </c>
      <c r="E487" s="144">
        <f>IF('E2E Combined AB + TCF'!N88="x",5,0)</f>
        <v>0</v>
      </c>
    </row>
    <row r="488">
      <c r="B488" s="160">
        <f>'Original-E2E'!A90</f>
        <v>103</v>
      </c>
      <c r="C488" s="144">
        <f>IF('Original-E2E'!N90="x",5,0)</f>
        <v>0</v>
      </c>
      <c r="D488" s="144">
        <f>IF('E2E Combined OD + ZK'!N89="x",5,0)</f>
        <v>0</v>
      </c>
      <c r="E488" s="144">
        <f>IF('E2E Combined AB + TCF'!N89="x",5,0)</f>
        <v>0</v>
      </c>
    </row>
    <row r="489">
      <c r="B489" s="160">
        <f>'Original-E2E'!A91</f>
        <v>104</v>
      </c>
      <c r="C489" s="144">
        <f>IF('Original-E2E'!N91="x",5,0)</f>
        <v>0</v>
      </c>
      <c r="D489" s="144">
        <f>IF('E2E Combined OD + ZK'!N90="x",5,0)</f>
        <v>0</v>
      </c>
      <c r="E489" s="144">
        <f>IF('E2E Combined AB + TCF'!N90="x",5,0)</f>
        <v>0</v>
      </c>
    </row>
    <row r="490">
      <c r="B490" s="160">
        <f>'Original-E2E'!A92</f>
        <v>105</v>
      </c>
      <c r="C490" s="144">
        <f>IF('Original-E2E'!N92="x",5,0)</f>
        <v>5</v>
      </c>
      <c r="D490" s="144">
        <f>IF('E2E Combined OD + ZK'!N91="x",5,0)</f>
        <v>0</v>
      </c>
      <c r="E490" s="144">
        <f>IF('E2E Combined AB + TCF'!N91="x",5,0)</f>
        <v>0</v>
      </c>
    </row>
    <row r="491">
      <c r="B491" s="160">
        <f>'Original-E2E'!A93</f>
        <v>106</v>
      </c>
      <c r="C491" s="144">
        <f>IF('Original-E2E'!N93="x",5,0)</f>
        <v>0</v>
      </c>
      <c r="D491" s="144">
        <f>IF('E2E Combined OD + ZK'!N92="x",5,0)</f>
        <v>0</v>
      </c>
      <c r="E491" s="144">
        <f>IF('E2E Combined AB + TCF'!N92="x",5,0)</f>
        <v>0</v>
      </c>
    </row>
    <row r="492">
      <c r="B492" s="160">
        <f>'Original-E2E'!A94</f>
        <v>107</v>
      </c>
      <c r="C492" s="144">
        <f>IF('Original-E2E'!N94="x",5,0)</f>
        <v>5</v>
      </c>
      <c r="D492" s="144">
        <f>IF('E2E Combined OD + ZK'!N93="x",5,0)</f>
        <v>0</v>
      </c>
      <c r="E492" s="144">
        <f>IF('E2E Combined AB + TCF'!N93="x",5,0)</f>
        <v>5</v>
      </c>
    </row>
    <row r="493">
      <c r="B493" s="160">
        <f>'Original-E2E'!A95</f>
        <v>110</v>
      </c>
      <c r="C493" s="144">
        <f>IF('Original-E2E'!N95="x",5,0)</f>
        <v>0</v>
      </c>
      <c r="D493" s="144">
        <f>IF('E2E Combined OD + ZK'!N94="x",5,0)</f>
        <v>0</v>
      </c>
      <c r="E493" s="144">
        <f>IF('E2E Combined AB + TCF'!N94="x",5,0)</f>
        <v>5</v>
      </c>
    </row>
    <row r="494">
      <c r="B494" s="160">
        <f>'Original-E2E'!A96</f>
        <v>111</v>
      </c>
      <c r="C494" s="144">
        <f>IF('Original-E2E'!N96="x",5,0)</f>
        <v>0</v>
      </c>
      <c r="D494" s="144">
        <f>IF('E2E Combined OD + ZK'!N95="x",5,0)</f>
        <v>5</v>
      </c>
      <c r="E494" s="144">
        <f>IF('E2E Combined AB + TCF'!N95="x",5,0)</f>
        <v>0</v>
      </c>
    </row>
    <row r="495">
      <c r="B495" s="160">
        <f>'Original-E2E'!A97</f>
        <v>112</v>
      </c>
      <c r="C495" s="144">
        <f>IF('Original-E2E'!N97="x",5,0)</f>
        <v>0</v>
      </c>
      <c r="D495" s="144">
        <f>IF('E2E Combined OD + ZK'!N96="x",5,0)</f>
        <v>0</v>
      </c>
      <c r="E495" s="144">
        <f>IF('E2E Combined AB + TCF'!N96="x",5,0)</f>
        <v>0</v>
      </c>
    </row>
    <row r="496">
      <c r="B496" s="160">
        <f>'Original-E2E'!A98</f>
        <v>113</v>
      </c>
      <c r="C496" s="144">
        <f>IF('Original-E2E'!N98="x",5,0)</f>
        <v>0</v>
      </c>
      <c r="D496" s="144">
        <f>IF('E2E Combined OD + ZK'!N97="x",5,0)</f>
        <v>0</v>
      </c>
      <c r="E496" s="144">
        <f>IF('E2E Combined AB + TCF'!N97="x",5,0)</f>
        <v>5</v>
      </c>
    </row>
    <row r="497">
      <c r="B497" s="160">
        <f>'Original-E2E'!A99</f>
        <v>114</v>
      </c>
      <c r="C497" s="144">
        <f>IF('Original-E2E'!N99="x",5,0)</f>
        <v>0</v>
      </c>
      <c r="D497" s="144">
        <f>IF('E2E Combined OD + ZK'!N98="x",5,0)</f>
        <v>0</v>
      </c>
      <c r="E497" s="144">
        <f>IF('E2E Combined AB + TCF'!N98="x",5,0)</f>
        <v>0</v>
      </c>
    </row>
    <row r="498">
      <c r="B498" s="160">
        <f>'Original-E2E'!A100</f>
        <v>115</v>
      </c>
      <c r="C498" s="144">
        <f>IF('Original-E2E'!N100="x",5,0)</f>
        <v>5</v>
      </c>
      <c r="D498" s="144">
        <f>IF('E2E Combined OD + ZK'!N99="x",5,0)</f>
        <v>5</v>
      </c>
      <c r="E498" s="144">
        <f>IF('E2E Combined AB + TCF'!N99="x",5,0)</f>
        <v>0</v>
      </c>
    </row>
    <row r="499">
      <c r="B499" s="160">
        <f>'Original-E2E'!A101</f>
        <v>116</v>
      </c>
      <c r="C499" s="144">
        <f>IF('Original-E2E'!N101="x",5,0)</f>
        <v>0</v>
      </c>
      <c r="D499" s="144">
        <f>IF('E2E Combined OD + ZK'!N100="x",5,0)</f>
        <v>0</v>
      </c>
      <c r="E499" s="144">
        <f>IF('E2E Combined AB + TCF'!N100="x",5,0)</f>
        <v>0</v>
      </c>
    </row>
    <row r="500">
      <c r="B500" s="160">
        <f>'Original-E2E'!A102</f>
        <v>117</v>
      </c>
      <c r="C500" s="144">
        <f>IF('Original-E2E'!N102="x",5,0)</f>
        <v>0</v>
      </c>
      <c r="D500" s="144">
        <f>IF('E2E Combined OD + ZK'!N101="x",5,0)</f>
        <v>0</v>
      </c>
      <c r="E500" s="144">
        <f>IF('E2E Combined AB + TCF'!N101="x",5,0)</f>
        <v>0</v>
      </c>
    </row>
    <row r="501">
      <c r="B501" s="160">
        <f>'Original-E2E'!A103</f>
        <v>118</v>
      </c>
      <c r="C501" s="144">
        <f>IF('Original-E2E'!N103="x",5,0)</f>
        <v>0</v>
      </c>
      <c r="D501" s="144">
        <f>IF('E2E Combined OD + ZK'!N102="x",5,0)</f>
        <v>5</v>
      </c>
      <c r="E501" s="144">
        <f>IF('E2E Combined AB + TCF'!N102="x",5,0)</f>
        <v>0</v>
      </c>
    </row>
    <row r="502">
      <c r="A502" s="98" t="s">
        <v>1047</v>
      </c>
      <c r="B502" s="161">
        <f>'Original-E2E'!A4</f>
        <v>2</v>
      </c>
      <c r="C502" s="144">
        <f>IF('Original-E2E'!O4="x",6,0)</f>
        <v>0</v>
      </c>
      <c r="D502" s="144">
        <f>IF('E2E Combined OD + ZK'!O3="x",6,0)</f>
        <v>0</v>
      </c>
      <c r="E502" s="144">
        <f>IF('E2E Combined AB + TCF'!O3="x",6,0)</f>
        <v>0</v>
      </c>
    </row>
    <row r="503">
      <c r="B503" s="161">
        <f>'Original-E2E'!A5</f>
        <v>3</v>
      </c>
      <c r="C503" s="144">
        <f>IF('Original-E2E'!O5="x",6,0)</f>
        <v>0</v>
      </c>
      <c r="D503" s="144">
        <f>IF('E2E Combined OD + ZK'!O4="x",6,0)</f>
        <v>0</v>
      </c>
      <c r="E503" s="144">
        <f>IF('E2E Combined AB + TCF'!O4="x",6,0)</f>
        <v>0</v>
      </c>
    </row>
    <row r="504">
      <c r="B504" s="161">
        <f>'Original-E2E'!A6</f>
        <v>4</v>
      </c>
      <c r="C504" s="144">
        <f>IF('Original-E2E'!O6="x",6,0)</f>
        <v>6</v>
      </c>
      <c r="D504" s="144">
        <f>IF('E2E Combined OD + ZK'!O5="x",6,0)</f>
        <v>6</v>
      </c>
      <c r="E504" s="144">
        <f>IF('E2E Combined AB + TCF'!O5="x",6,0)</f>
        <v>0</v>
      </c>
    </row>
    <row r="505">
      <c r="B505" s="161">
        <f>'Original-E2E'!A7</f>
        <v>5</v>
      </c>
      <c r="C505" s="144">
        <f>IF('Original-E2E'!O7="x",6,0)</f>
        <v>0</v>
      </c>
      <c r="D505" s="144">
        <f>IF('E2E Combined OD + ZK'!O6="x",6,0)</f>
        <v>0</v>
      </c>
      <c r="E505" s="144">
        <f>IF('E2E Combined AB + TCF'!O6="x",6,0)</f>
        <v>0</v>
      </c>
    </row>
    <row r="506">
      <c r="B506" s="161">
        <f>'Original-E2E'!A8</f>
        <v>6</v>
      </c>
      <c r="C506" s="144">
        <f>IF('Original-E2E'!O8="x",6,0)</f>
        <v>0</v>
      </c>
      <c r="D506" s="144">
        <f>IF('E2E Combined OD + ZK'!O7="x",6,0)</f>
        <v>0</v>
      </c>
      <c r="E506" s="144">
        <f>IF('E2E Combined AB + TCF'!O7="x",6,0)</f>
        <v>0</v>
      </c>
    </row>
    <row r="507">
      <c r="B507" s="161">
        <f>'Original-E2E'!A9</f>
        <v>7</v>
      </c>
      <c r="C507" s="144">
        <f>IF('Original-E2E'!O9="x",6,0)</f>
        <v>0</v>
      </c>
      <c r="D507" s="144">
        <f>IF('E2E Combined OD + ZK'!O8="x",6,0)</f>
        <v>0</v>
      </c>
      <c r="E507" s="144">
        <f>IF('E2E Combined AB + TCF'!O8="x",6,0)</f>
        <v>0</v>
      </c>
    </row>
    <row r="508">
      <c r="B508" s="161">
        <f>'Original-E2E'!A10</f>
        <v>8</v>
      </c>
      <c r="C508" s="144">
        <f>IF('Original-E2E'!O10="x",6,0)</f>
        <v>0</v>
      </c>
      <c r="D508" s="144">
        <f>IF('E2E Combined OD + ZK'!O9="x",6,0)</f>
        <v>0</v>
      </c>
      <c r="E508" s="144">
        <f>IF('E2E Combined AB + TCF'!O9="x",6,0)</f>
        <v>0</v>
      </c>
    </row>
    <row r="509">
      <c r="B509" s="161">
        <f>'Original-E2E'!A11</f>
        <v>9</v>
      </c>
      <c r="C509" s="144">
        <f>IF('Original-E2E'!O11="x",6,0)</f>
        <v>0</v>
      </c>
      <c r="D509" s="144">
        <f>IF('E2E Combined OD + ZK'!O10="x",6,0)</f>
        <v>0</v>
      </c>
      <c r="E509" s="144">
        <f>IF('E2E Combined AB + TCF'!O10="x",6,0)</f>
        <v>0</v>
      </c>
    </row>
    <row r="510">
      <c r="B510" s="161">
        <f>'Original-E2E'!A12</f>
        <v>10</v>
      </c>
      <c r="C510" s="144">
        <f>IF('Original-E2E'!O12="x",6,0)</f>
        <v>0</v>
      </c>
      <c r="D510" s="144">
        <f>IF('E2E Combined OD + ZK'!O11="x",6,0)</f>
        <v>0</v>
      </c>
      <c r="E510" s="144">
        <f>IF('E2E Combined AB + TCF'!O11="x",6,0)</f>
        <v>0</v>
      </c>
    </row>
    <row r="511">
      <c r="B511" s="161">
        <f>'Original-E2E'!A13</f>
        <v>11</v>
      </c>
      <c r="C511" s="144">
        <f>IF('Original-E2E'!O13="x",6,0)</f>
        <v>0</v>
      </c>
      <c r="D511" s="144">
        <f>IF('E2E Combined OD + ZK'!O12="x",6,0)</f>
        <v>0</v>
      </c>
      <c r="E511" s="144">
        <f>IF('E2E Combined AB + TCF'!O12="x",6,0)</f>
        <v>0</v>
      </c>
    </row>
    <row r="512">
      <c r="B512" s="161">
        <f>'Original-E2E'!A14</f>
        <v>12</v>
      </c>
      <c r="C512" s="144">
        <f>IF('Original-E2E'!O14="x",6,0)</f>
        <v>6</v>
      </c>
      <c r="D512" s="144">
        <f>IF('E2E Combined OD + ZK'!O13="x",6,0)</f>
        <v>6</v>
      </c>
      <c r="E512" s="144">
        <f>IF('E2E Combined AB + TCF'!O13="x",6,0)</f>
        <v>6</v>
      </c>
    </row>
    <row r="513">
      <c r="B513" s="161">
        <f>'Original-E2E'!A15</f>
        <v>13</v>
      </c>
      <c r="C513" s="144">
        <f>IF('Original-E2E'!O15="x",6,0)</f>
        <v>0</v>
      </c>
      <c r="D513" s="144">
        <f>IF('E2E Combined OD + ZK'!O14="x",6,0)</f>
        <v>0</v>
      </c>
      <c r="E513" s="144">
        <f>IF('E2E Combined AB + TCF'!O14="x",6,0)</f>
        <v>0</v>
      </c>
    </row>
    <row r="514">
      <c r="B514" s="161">
        <f>'Original-E2E'!A16</f>
        <v>14</v>
      </c>
      <c r="C514" s="144">
        <f>IF('Original-E2E'!O16="x",6,0)</f>
        <v>0</v>
      </c>
      <c r="D514" s="144">
        <f>IF('E2E Combined OD + ZK'!O15="x",6,0)</f>
        <v>0</v>
      </c>
      <c r="E514" s="144">
        <f>IF('E2E Combined AB + TCF'!O15="x",6,0)</f>
        <v>0</v>
      </c>
    </row>
    <row r="515">
      <c r="B515" s="161">
        <f>'Original-E2E'!A17</f>
        <v>15</v>
      </c>
      <c r="C515" s="144">
        <f>IF('Original-E2E'!O17="x",6,0)</f>
        <v>0</v>
      </c>
      <c r="D515" s="144">
        <f>IF('E2E Combined OD + ZK'!O16="x",6,0)</f>
        <v>0</v>
      </c>
      <c r="E515" s="144">
        <f>IF('E2E Combined AB + TCF'!O16="x",6,0)</f>
        <v>0</v>
      </c>
    </row>
    <row r="516">
      <c r="B516" s="161">
        <f>'Original-E2E'!A18</f>
        <v>16</v>
      </c>
      <c r="C516" s="144">
        <f>IF('Original-E2E'!O18="x",6,0)</f>
        <v>0</v>
      </c>
      <c r="D516" s="144">
        <f>IF('E2E Combined OD + ZK'!O17="x",6,0)</f>
        <v>0</v>
      </c>
      <c r="E516" s="144">
        <f>IF('E2E Combined AB + TCF'!O17="x",6,0)</f>
        <v>0</v>
      </c>
    </row>
    <row r="517">
      <c r="B517" s="161">
        <f>'Original-E2E'!A19</f>
        <v>17</v>
      </c>
      <c r="C517" s="144">
        <f>IF('Original-E2E'!O19="x",6,0)</f>
        <v>0</v>
      </c>
      <c r="D517" s="144">
        <f>IF('E2E Combined OD + ZK'!O18="x",6,0)</f>
        <v>0</v>
      </c>
      <c r="E517" s="144">
        <f>IF('E2E Combined AB + TCF'!O18="x",6,0)</f>
        <v>0</v>
      </c>
    </row>
    <row r="518">
      <c r="B518" s="161">
        <f>'Original-E2E'!A20</f>
        <v>18</v>
      </c>
      <c r="C518" s="144">
        <f>IF('Original-E2E'!O20="x",6,0)</f>
        <v>0</v>
      </c>
      <c r="D518" s="144">
        <f>IF('E2E Combined OD + ZK'!O19="x",6,0)</f>
        <v>0</v>
      </c>
      <c r="E518" s="144">
        <f>IF('E2E Combined AB + TCF'!O19="x",6,0)</f>
        <v>0</v>
      </c>
    </row>
    <row r="519">
      <c r="B519" s="161">
        <f>'Original-E2E'!A21</f>
        <v>19</v>
      </c>
      <c r="C519" s="144">
        <f>IF('Original-E2E'!O21="x",6,0)</f>
        <v>0</v>
      </c>
      <c r="D519" s="144">
        <f>IF('E2E Combined OD + ZK'!O20="x",6,0)</f>
        <v>0</v>
      </c>
      <c r="E519" s="144">
        <f>IF('E2E Combined AB + TCF'!O20="x",6,0)</f>
        <v>0</v>
      </c>
    </row>
    <row r="520">
      <c r="B520" s="161">
        <f>'Original-E2E'!A22</f>
        <v>20</v>
      </c>
      <c r="C520" s="144">
        <f>IF('Original-E2E'!O22="x",6,0)</f>
        <v>6</v>
      </c>
      <c r="D520" s="144">
        <f>IF('E2E Combined OD + ZK'!O21="x",6,0)</f>
        <v>6</v>
      </c>
      <c r="E520" s="144">
        <f>IF('E2E Combined AB + TCF'!O21="x",6,0)</f>
        <v>6</v>
      </c>
    </row>
    <row r="521">
      <c r="B521" s="161">
        <f>'Original-E2E'!A23</f>
        <v>21</v>
      </c>
      <c r="C521" s="144">
        <f>IF('Original-E2E'!O23="x",6,0)</f>
        <v>0</v>
      </c>
      <c r="D521" s="144">
        <f>IF('E2E Combined OD + ZK'!O22="x",6,0)</f>
        <v>0</v>
      </c>
      <c r="E521" s="144">
        <f>IF('E2E Combined AB + TCF'!O22="x",6,0)</f>
        <v>0</v>
      </c>
    </row>
    <row r="522">
      <c r="B522" s="161">
        <f>'Original-E2E'!A24</f>
        <v>22</v>
      </c>
      <c r="C522" s="144">
        <f>IF('Original-E2E'!O24="x",6,0)</f>
        <v>0</v>
      </c>
      <c r="D522" s="144">
        <f>IF('E2E Combined OD + ZK'!O23="x",6,0)</f>
        <v>6</v>
      </c>
      <c r="E522" s="144">
        <f>IF('E2E Combined AB + TCF'!O23="x",6,0)</f>
        <v>6</v>
      </c>
    </row>
    <row r="523">
      <c r="B523" s="161">
        <f>'Original-E2E'!A25</f>
        <v>23</v>
      </c>
      <c r="C523" s="144">
        <f>IF('Original-E2E'!O25="x",6,0)</f>
        <v>6</v>
      </c>
      <c r="D523" s="144">
        <f>IF('E2E Combined OD + ZK'!O24="x",6,0)</f>
        <v>0</v>
      </c>
      <c r="E523" s="144">
        <f>IF('E2E Combined AB + TCF'!O24="x",6,0)</f>
        <v>0</v>
      </c>
    </row>
    <row r="524">
      <c r="B524" s="161">
        <f>'Original-E2E'!A26</f>
        <v>24</v>
      </c>
      <c r="C524" s="144">
        <f>IF('Original-E2E'!O26="x",6,0)</f>
        <v>0</v>
      </c>
      <c r="D524" s="144">
        <f>IF('E2E Combined OD + ZK'!O25="x",6,0)</f>
        <v>0</v>
      </c>
      <c r="E524" s="144">
        <f>IF('E2E Combined AB + TCF'!O25="x",6,0)</f>
        <v>0</v>
      </c>
    </row>
    <row r="525">
      <c r="B525" s="161">
        <f>'Original-E2E'!A27</f>
        <v>25</v>
      </c>
      <c r="C525" s="144">
        <f>IF('Original-E2E'!O27="x",6,0)</f>
        <v>0</v>
      </c>
      <c r="D525" s="144">
        <f>IF('E2E Combined OD + ZK'!O26="x",6,0)</f>
        <v>0</v>
      </c>
      <c r="E525" s="144">
        <f>IF('E2E Combined AB + TCF'!O26="x",6,0)</f>
        <v>0</v>
      </c>
    </row>
    <row r="526">
      <c r="B526" s="161">
        <f>'Original-E2E'!A28</f>
        <v>27</v>
      </c>
      <c r="C526" s="144">
        <f>IF('Original-E2E'!O28="x",6,0)</f>
        <v>0</v>
      </c>
      <c r="D526" s="144">
        <f>IF('E2E Combined OD + ZK'!O27="x",6,0)</f>
        <v>0</v>
      </c>
      <c r="E526" s="144">
        <f>IF('E2E Combined AB + TCF'!O27="x",6,0)</f>
        <v>0</v>
      </c>
    </row>
    <row r="527">
      <c r="B527" s="161">
        <f>'Original-E2E'!A29</f>
        <v>28</v>
      </c>
      <c r="C527" s="144">
        <f>IF('Original-E2E'!O29="x",6,0)</f>
        <v>6</v>
      </c>
      <c r="D527" s="144">
        <f>IF('E2E Combined OD + ZK'!O28="x",6,0)</f>
        <v>6</v>
      </c>
      <c r="E527" s="144">
        <f>IF('E2E Combined AB + TCF'!O28="x",6,0)</f>
        <v>0</v>
      </c>
    </row>
    <row r="528">
      <c r="B528" s="161">
        <f>'Original-E2E'!A30</f>
        <v>29</v>
      </c>
      <c r="C528" s="144">
        <f>IF('Original-E2E'!O30="x",6,0)</f>
        <v>0</v>
      </c>
      <c r="D528" s="144">
        <f>IF('E2E Combined OD + ZK'!O29="x",6,0)</f>
        <v>0</v>
      </c>
      <c r="E528" s="144">
        <f>IF('E2E Combined AB + TCF'!O29="x",6,0)</f>
        <v>6</v>
      </c>
    </row>
    <row r="529">
      <c r="B529" s="161">
        <f>'Original-E2E'!A31</f>
        <v>30</v>
      </c>
      <c r="C529" s="144">
        <f>IF('Original-E2E'!O31="x",6,0)</f>
        <v>0</v>
      </c>
      <c r="D529" s="144">
        <f>IF('E2E Combined OD + ZK'!O30="x",6,0)</f>
        <v>0</v>
      </c>
      <c r="E529" s="144">
        <f>IF('E2E Combined AB + TCF'!O30="x",6,0)</f>
        <v>0</v>
      </c>
    </row>
    <row r="530">
      <c r="B530" s="161">
        <f>'Original-E2E'!A32</f>
        <v>31</v>
      </c>
      <c r="C530" s="144">
        <f>IF('Original-E2E'!O32="x",6,0)</f>
        <v>6</v>
      </c>
      <c r="D530" s="144">
        <f>IF('E2E Combined OD + ZK'!O31="x",6,0)</f>
        <v>6</v>
      </c>
      <c r="E530" s="144">
        <f>IF('E2E Combined AB + TCF'!O31="x",6,0)</f>
        <v>6</v>
      </c>
    </row>
    <row r="531">
      <c r="B531" s="161">
        <f>'Original-E2E'!A33</f>
        <v>33</v>
      </c>
      <c r="C531" s="144">
        <f>IF('Original-E2E'!O33="x",6,0)</f>
        <v>0</v>
      </c>
      <c r="D531" s="144">
        <f>IF('E2E Combined OD + ZK'!O32="x",6,0)</f>
        <v>0</v>
      </c>
      <c r="E531" s="144">
        <f>IF('E2E Combined AB + TCF'!O32="x",6,0)</f>
        <v>0</v>
      </c>
    </row>
    <row r="532">
      <c r="B532" s="161">
        <f>'Original-E2E'!A34</f>
        <v>34</v>
      </c>
      <c r="C532" s="144">
        <f>IF('Original-E2E'!O34="x",6,0)</f>
        <v>0</v>
      </c>
      <c r="D532" s="144">
        <f>IF('E2E Combined OD + ZK'!O33="x",6,0)</f>
        <v>0</v>
      </c>
      <c r="E532" s="144">
        <f>IF('E2E Combined AB + TCF'!O33="x",6,0)</f>
        <v>0</v>
      </c>
    </row>
    <row r="533">
      <c r="B533" s="161">
        <f>'Original-E2E'!A35</f>
        <v>36</v>
      </c>
      <c r="C533" s="144">
        <f>IF('Original-E2E'!O35="x",6,0)</f>
        <v>0</v>
      </c>
      <c r="D533" s="144">
        <f>IF('E2E Combined OD + ZK'!O34="x",6,0)</f>
        <v>0</v>
      </c>
      <c r="E533" s="144">
        <f>IF('E2E Combined AB + TCF'!O34="x",6,0)</f>
        <v>0</v>
      </c>
    </row>
    <row r="534">
      <c r="B534" s="161">
        <f>'Original-E2E'!A36</f>
        <v>37</v>
      </c>
      <c r="C534" s="144">
        <f>IF('Original-E2E'!O36="x",6,0)</f>
        <v>0</v>
      </c>
      <c r="D534" s="144">
        <f>IF('E2E Combined OD + ZK'!O35="x",6,0)</f>
        <v>0</v>
      </c>
      <c r="E534" s="144">
        <f>IF('E2E Combined AB + TCF'!O35="x",6,0)</f>
        <v>0</v>
      </c>
    </row>
    <row r="535">
      <c r="B535" s="161">
        <f>'Original-E2E'!A37</f>
        <v>38</v>
      </c>
      <c r="C535" s="144">
        <f>IF('Original-E2E'!O37="x",6,0)</f>
        <v>0</v>
      </c>
      <c r="D535" s="144">
        <f>IF('E2E Combined OD + ZK'!O36="x",6,0)</f>
        <v>0</v>
      </c>
      <c r="E535" s="144">
        <f>IF('E2E Combined AB + TCF'!O36="x",6,0)</f>
        <v>0</v>
      </c>
    </row>
    <row r="536">
      <c r="B536" s="161">
        <f>'Original-E2E'!A38</f>
        <v>40</v>
      </c>
      <c r="C536" s="144">
        <f>IF('Original-E2E'!O38="x",6,0)</f>
        <v>6</v>
      </c>
      <c r="D536" s="144">
        <f>IF('E2E Combined OD + ZK'!O37="x",6,0)</f>
        <v>6</v>
      </c>
      <c r="E536" s="144">
        <f>IF('E2E Combined AB + TCF'!O37="x",6,0)</f>
        <v>0</v>
      </c>
    </row>
    <row r="537">
      <c r="B537" s="161">
        <f>'Original-E2E'!A39</f>
        <v>41</v>
      </c>
      <c r="C537" s="144">
        <f>IF('Original-E2E'!O39="x",6,0)</f>
        <v>0</v>
      </c>
      <c r="D537" s="144">
        <f>IF('E2E Combined OD + ZK'!O38="x",6,0)</f>
        <v>0</v>
      </c>
      <c r="E537" s="144">
        <f>IF('E2E Combined AB + TCF'!O38="x",6,0)</f>
        <v>0</v>
      </c>
    </row>
    <row r="538">
      <c r="B538" s="161">
        <f>'Original-E2E'!A40</f>
        <v>42</v>
      </c>
      <c r="C538" s="144">
        <f>IF('Original-E2E'!O40="x",6,0)</f>
        <v>0</v>
      </c>
      <c r="D538" s="144">
        <f>IF('E2E Combined OD + ZK'!O39="x",6,0)</f>
        <v>0</v>
      </c>
      <c r="E538" s="144">
        <f>IF('E2E Combined AB + TCF'!O39="x",6,0)</f>
        <v>0</v>
      </c>
    </row>
    <row r="539">
      <c r="B539" s="161">
        <f>'Original-E2E'!A41</f>
        <v>43</v>
      </c>
      <c r="C539" s="144">
        <f>IF('Original-E2E'!O41="x",6,0)</f>
        <v>0</v>
      </c>
      <c r="D539" s="144">
        <f>IF('E2E Combined OD + ZK'!O40="x",6,0)</f>
        <v>0</v>
      </c>
      <c r="E539" s="144">
        <f>IF('E2E Combined AB + TCF'!O40="x",6,0)</f>
        <v>0</v>
      </c>
    </row>
    <row r="540">
      <c r="B540" s="161">
        <f>'Original-E2E'!A42</f>
        <v>44</v>
      </c>
      <c r="C540" s="144">
        <f>IF('Original-E2E'!O42="x",6,0)</f>
        <v>0</v>
      </c>
      <c r="D540" s="144">
        <f>IF('E2E Combined OD + ZK'!O41="x",6,0)</f>
        <v>0</v>
      </c>
      <c r="E540" s="144">
        <f>IF('E2E Combined AB + TCF'!O41="x",6,0)</f>
        <v>0</v>
      </c>
    </row>
    <row r="541">
      <c r="B541" s="161">
        <f>'Original-E2E'!A43</f>
        <v>45</v>
      </c>
      <c r="C541" s="144">
        <f>IF('Original-E2E'!O43="x",6,0)</f>
        <v>0</v>
      </c>
      <c r="D541" s="144">
        <f>IF('E2E Combined OD + ZK'!O42="x",6,0)</f>
        <v>0</v>
      </c>
      <c r="E541" s="144">
        <f>IF('E2E Combined AB + TCF'!O42="x",6,0)</f>
        <v>0</v>
      </c>
    </row>
    <row r="542">
      <c r="B542" s="161">
        <f>'Original-E2E'!A44</f>
        <v>46</v>
      </c>
      <c r="C542" s="144">
        <f>IF('Original-E2E'!O44="x",6,0)</f>
        <v>0</v>
      </c>
      <c r="D542" s="144">
        <f>IF('E2E Combined OD + ZK'!O43="x",6,0)</f>
        <v>0</v>
      </c>
      <c r="E542" s="144">
        <f>IF('E2E Combined AB + TCF'!O43="x",6,0)</f>
        <v>0</v>
      </c>
    </row>
    <row r="543">
      <c r="B543" s="161">
        <f>'Original-E2E'!A45</f>
        <v>47</v>
      </c>
      <c r="C543" s="144">
        <f>IF('Original-E2E'!O45="x",6,0)</f>
        <v>0</v>
      </c>
      <c r="D543" s="144">
        <f>IF('E2E Combined OD + ZK'!O44="x",6,0)</f>
        <v>0</v>
      </c>
      <c r="E543" s="144">
        <f>IF('E2E Combined AB + TCF'!O44="x",6,0)</f>
        <v>0</v>
      </c>
    </row>
    <row r="544">
      <c r="B544" s="161">
        <f>'Original-E2E'!A46</f>
        <v>48</v>
      </c>
      <c r="C544" s="144">
        <f>IF('Original-E2E'!O46="x",6,0)</f>
        <v>0</v>
      </c>
      <c r="D544" s="144">
        <f>IF('E2E Combined OD + ZK'!O45="x",6,0)</f>
        <v>0</v>
      </c>
      <c r="E544" s="144">
        <f>IF('E2E Combined AB + TCF'!O45="x",6,0)</f>
        <v>0</v>
      </c>
    </row>
    <row r="545">
      <c r="B545" s="161">
        <f>'Original-E2E'!A47</f>
        <v>49</v>
      </c>
      <c r="C545" s="144">
        <f>IF('Original-E2E'!O47="x",6,0)</f>
        <v>0</v>
      </c>
      <c r="D545" s="144">
        <f>IF('E2E Combined OD + ZK'!O46="x",6,0)</f>
        <v>0</v>
      </c>
      <c r="E545" s="144">
        <f>IF('E2E Combined AB + TCF'!O46="x",6,0)</f>
        <v>0</v>
      </c>
    </row>
    <row r="546">
      <c r="B546" s="161">
        <f>'Original-E2E'!A48</f>
        <v>51</v>
      </c>
      <c r="C546" s="144">
        <f>IF('Original-E2E'!O48="x",6,0)</f>
        <v>0</v>
      </c>
      <c r="D546" s="144">
        <f>IF('E2E Combined OD + ZK'!O47="x",6,0)</f>
        <v>0</v>
      </c>
      <c r="E546" s="144">
        <f>IF('E2E Combined AB + TCF'!O47="x",6,0)</f>
        <v>0</v>
      </c>
    </row>
    <row r="547">
      <c r="B547" s="161">
        <f>'Original-E2E'!A49</f>
        <v>52</v>
      </c>
      <c r="C547" s="144">
        <f>IF('Original-E2E'!O49="x",6,0)</f>
        <v>0</v>
      </c>
      <c r="D547" s="144">
        <f>IF('E2E Combined OD + ZK'!O48="x",6,0)</f>
        <v>0</v>
      </c>
      <c r="E547" s="144">
        <f>IF('E2E Combined AB + TCF'!O48="x",6,0)</f>
        <v>0</v>
      </c>
    </row>
    <row r="548">
      <c r="B548" s="161">
        <f>'Original-E2E'!A50</f>
        <v>54</v>
      </c>
      <c r="C548" s="144">
        <f>IF('Original-E2E'!O50="x",6,0)</f>
        <v>0</v>
      </c>
      <c r="D548" s="144">
        <f>IF('E2E Combined OD + ZK'!O49="x",6,0)</f>
        <v>0</v>
      </c>
      <c r="E548" s="144">
        <f>IF('E2E Combined AB + TCF'!O49="x",6,0)</f>
        <v>0</v>
      </c>
    </row>
    <row r="549">
      <c r="B549" s="161">
        <f>'Original-E2E'!A51</f>
        <v>55</v>
      </c>
      <c r="C549" s="144">
        <f>IF('Original-E2E'!O51="x",6,0)</f>
        <v>0</v>
      </c>
      <c r="D549" s="144">
        <f>IF('E2E Combined OD + ZK'!O50="x",6,0)</f>
        <v>0</v>
      </c>
      <c r="E549" s="144">
        <f>IF('E2E Combined AB + TCF'!O50="x",6,0)</f>
        <v>0</v>
      </c>
    </row>
    <row r="550">
      <c r="B550" s="161">
        <f>'Original-E2E'!A52</f>
        <v>56</v>
      </c>
      <c r="C550" s="144">
        <f>IF('Original-E2E'!O52="x",6,0)</f>
        <v>0</v>
      </c>
      <c r="D550" s="144">
        <f>IF('E2E Combined OD + ZK'!O51="x",6,0)</f>
        <v>0</v>
      </c>
      <c r="E550" s="144">
        <f>IF('E2E Combined AB + TCF'!O51="x",6,0)</f>
        <v>0</v>
      </c>
    </row>
    <row r="551">
      <c r="B551" s="161">
        <f>'Original-E2E'!A53</f>
        <v>57</v>
      </c>
      <c r="C551" s="144">
        <f>IF('Original-E2E'!O53="x",6,0)</f>
        <v>0</v>
      </c>
      <c r="D551" s="144">
        <f>IF('E2E Combined OD + ZK'!O52="x",6,0)</f>
        <v>0</v>
      </c>
      <c r="E551" s="144">
        <f>IF('E2E Combined AB + TCF'!O52="x",6,0)</f>
        <v>0</v>
      </c>
    </row>
    <row r="552">
      <c r="B552" s="161">
        <f>'Original-E2E'!A54</f>
        <v>58</v>
      </c>
      <c r="C552" s="144">
        <f>IF('Original-E2E'!O54="x",6,0)</f>
        <v>6</v>
      </c>
      <c r="D552" s="144">
        <f>IF('E2E Combined OD + ZK'!O53="x",6,0)</f>
        <v>6</v>
      </c>
      <c r="E552" s="144">
        <f>IF('E2E Combined AB + TCF'!O53="x",6,0)</f>
        <v>0</v>
      </c>
    </row>
    <row r="553">
      <c r="B553" s="161">
        <f>'Original-E2E'!A55</f>
        <v>59</v>
      </c>
      <c r="C553" s="144">
        <f>IF('Original-E2E'!O55="x",6,0)</f>
        <v>0</v>
      </c>
      <c r="D553" s="144">
        <f>IF('E2E Combined OD + ZK'!O54="x",6,0)</f>
        <v>0</v>
      </c>
      <c r="E553" s="144">
        <f>IF('E2E Combined AB + TCF'!O54="x",6,0)</f>
        <v>0</v>
      </c>
    </row>
    <row r="554">
      <c r="B554" s="161">
        <f>'Original-E2E'!A56</f>
        <v>61</v>
      </c>
      <c r="C554" s="144">
        <f>IF('Original-E2E'!O56="x",6,0)</f>
        <v>0</v>
      </c>
      <c r="D554" s="144">
        <f>IF('E2E Combined OD + ZK'!O55="x",6,0)</f>
        <v>0</v>
      </c>
      <c r="E554" s="144">
        <f>IF('E2E Combined AB + TCF'!O55="x",6,0)</f>
        <v>0</v>
      </c>
    </row>
    <row r="555">
      <c r="B555" s="161">
        <f>'Original-E2E'!A57</f>
        <v>62</v>
      </c>
      <c r="C555" s="144">
        <f>IF('Original-E2E'!O57="x",6,0)</f>
        <v>0</v>
      </c>
      <c r="D555" s="144">
        <f>IF('E2E Combined OD + ZK'!O56="x",6,0)</f>
        <v>0</v>
      </c>
      <c r="E555" s="144">
        <f>IF('E2E Combined AB + TCF'!O56="x",6,0)</f>
        <v>0</v>
      </c>
    </row>
    <row r="556">
      <c r="B556" s="161">
        <f>'Original-E2E'!A58</f>
        <v>63</v>
      </c>
      <c r="C556" s="144">
        <f>IF('Original-E2E'!O58="x",6,0)</f>
        <v>0</v>
      </c>
      <c r="D556" s="144">
        <f>IF('E2E Combined OD + ZK'!O57="x",6,0)</f>
        <v>0</v>
      </c>
      <c r="E556" s="144">
        <f>IF('E2E Combined AB + TCF'!O57="x",6,0)</f>
        <v>0</v>
      </c>
    </row>
    <row r="557">
      <c r="B557" s="161">
        <f>'Original-E2E'!A59</f>
        <v>64</v>
      </c>
      <c r="C557" s="144">
        <f>IF('Original-E2E'!O59="x",6,0)</f>
        <v>0</v>
      </c>
      <c r="D557" s="144">
        <f>IF('E2E Combined OD + ZK'!O58="x",6,0)</f>
        <v>0</v>
      </c>
      <c r="E557" s="144">
        <f>IF('E2E Combined AB + TCF'!O58="x",6,0)</f>
        <v>0</v>
      </c>
    </row>
    <row r="558">
      <c r="B558" s="161">
        <f>'Original-E2E'!A60</f>
        <v>66</v>
      </c>
      <c r="C558" s="144">
        <f>IF('Original-E2E'!O60="x",6,0)</f>
        <v>0</v>
      </c>
      <c r="D558" s="144">
        <f>IF('E2E Combined OD + ZK'!O59="x",6,0)</f>
        <v>0</v>
      </c>
      <c r="E558" s="144">
        <f>IF('E2E Combined AB + TCF'!O59="x",6,0)</f>
        <v>0</v>
      </c>
    </row>
    <row r="559">
      <c r="B559" s="161">
        <f>'Original-E2E'!A61</f>
        <v>67</v>
      </c>
      <c r="C559" s="144">
        <f>IF('Original-E2E'!O61="x",6,0)</f>
        <v>6</v>
      </c>
      <c r="D559" s="144">
        <f>IF('E2E Combined OD + ZK'!O60="x",6,0)</f>
        <v>6</v>
      </c>
      <c r="E559" s="144">
        <f>IF('E2E Combined AB + TCF'!O60="x",6,0)</f>
        <v>0</v>
      </c>
    </row>
    <row r="560">
      <c r="B560" s="161">
        <f>'Original-E2E'!A62</f>
        <v>69</v>
      </c>
      <c r="C560" s="144">
        <f>IF('Original-E2E'!O62="x",6,0)</f>
        <v>0</v>
      </c>
      <c r="D560" s="144">
        <f>IF('E2E Combined OD + ZK'!O61="x",6,0)</f>
        <v>0</v>
      </c>
      <c r="E560" s="144">
        <f>IF('E2E Combined AB + TCF'!O61="x",6,0)</f>
        <v>0</v>
      </c>
    </row>
    <row r="561">
      <c r="B561" s="161">
        <f>'Original-E2E'!A63</f>
        <v>70</v>
      </c>
      <c r="C561" s="144">
        <f>IF('Original-E2E'!O63="x",6,0)</f>
        <v>6</v>
      </c>
      <c r="D561" s="144">
        <f>IF('E2E Combined OD + ZK'!O62="x",6,0)</f>
        <v>6</v>
      </c>
      <c r="E561" s="144">
        <f>IF('E2E Combined AB + TCF'!O62="x",6,0)</f>
        <v>6</v>
      </c>
    </row>
    <row r="562">
      <c r="B562" s="161">
        <f>'Original-E2E'!A64</f>
        <v>71</v>
      </c>
      <c r="C562" s="144">
        <f>IF('Original-E2E'!O64="x",6,0)</f>
        <v>6</v>
      </c>
      <c r="D562" s="144">
        <f>IF('E2E Combined OD + ZK'!O63="x",6,0)</f>
        <v>6</v>
      </c>
      <c r="E562" s="144">
        <f>IF('E2E Combined AB + TCF'!O63="x",6,0)</f>
        <v>0</v>
      </c>
    </row>
    <row r="563">
      <c r="B563" s="161">
        <f>'Original-E2E'!A65</f>
        <v>72</v>
      </c>
      <c r="C563" s="144">
        <f>IF('Original-E2E'!O65="x",6,0)</f>
        <v>0</v>
      </c>
      <c r="D563" s="144">
        <f>IF('E2E Combined OD + ZK'!O64="x",6,0)</f>
        <v>0</v>
      </c>
      <c r="E563" s="144">
        <f>IF('E2E Combined AB + TCF'!O64="x",6,0)</f>
        <v>0</v>
      </c>
    </row>
    <row r="564">
      <c r="B564" s="161">
        <f>'Original-E2E'!A66</f>
        <v>73</v>
      </c>
      <c r="C564" s="144">
        <f>IF('Original-E2E'!O66="x",6,0)</f>
        <v>0</v>
      </c>
      <c r="D564" s="144">
        <f>IF('E2E Combined OD + ZK'!O65="x",6,0)</f>
        <v>0</v>
      </c>
      <c r="E564" s="144">
        <f>IF('E2E Combined AB + TCF'!O65="x",6,0)</f>
        <v>0</v>
      </c>
    </row>
    <row r="565">
      <c r="B565" s="161">
        <f>'Original-E2E'!A67</f>
        <v>74</v>
      </c>
      <c r="C565" s="144">
        <f>IF('Original-E2E'!O67="x",6,0)</f>
        <v>0</v>
      </c>
      <c r="D565" s="144">
        <f>IF('E2E Combined OD + ZK'!O66="x",6,0)</f>
        <v>0</v>
      </c>
      <c r="E565" s="144">
        <f>IF('E2E Combined AB + TCF'!O66="x",6,0)</f>
        <v>6</v>
      </c>
    </row>
    <row r="566">
      <c r="B566" s="161">
        <f>'Original-E2E'!A68</f>
        <v>75</v>
      </c>
      <c r="C566" s="144">
        <f>IF('Original-E2E'!O68="x",6,0)</f>
        <v>0</v>
      </c>
      <c r="D566" s="144">
        <f>IF('E2E Combined OD + ZK'!O67="x",6,0)</f>
        <v>0</v>
      </c>
      <c r="E566" s="144">
        <f>IF('E2E Combined AB + TCF'!O67="x",6,0)</f>
        <v>0</v>
      </c>
    </row>
    <row r="567">
      <c r="B567" s="161">
        <f>'Original-E2E'!A69</f>
        <v>76</v>
      </c>
      <c r="C567" s="144">
        <f>IF('Original-E2E'!O69="x",6,0)</f>
        <v>0</v>
      </c>
      <c r="D567" s="144">
        <f>IF('E2E Combined OD + ZK'!O68="x",6,0)</f>
        <v>0</v>
      </c>
      <c r="E567" s="144">
        <f>IF('E2E Combined AB + TCF'!O68="x",6,0)</f>
        <v>0</v>
      </c>
    </row>
    <row r="568">
      <c r="B568" s="161">
        <f>'Original-E2E'!A70</f>
        <v>77</v>
      </c>
      <c r="C568" s="144">
        <f>IF('Original-E2E'!O70="x",6,0)</f>
        <v>0</v>
      </c>
      <c r="D568" s="144">
        <f>IF('E2E Combined OD + ZK'!O69="x",6,0)</f>
        <v>0</v>
      </c>
      <c r="E568" s="144">
        <f>IF('E2E Combined AB + TCF'!O69="x",6,0)</f>
        <v>0</v>
      </c>
    </row>
    <row r="569">
      <c r="B569" s="161">
        <f>'Original-E2E'!A71</f>
        <v>78</v>
      </c>
      <c r="C569" s="144">
        <f>IF('Original-E2E'!O71="x",6,0)</f>
        <v>0</v>
      </c>
      <c r="D569" s="144">
        <f>IF('E2E Combined OD + ZK'!O70="x",6,0)</f>
        <v>0</v>
      </c>
      <c r="E569" s="144">
        <f>IF('E2E Combined AB + TCF'!O70="x",6,0)</f>
        <v>0</v>
      </c>
    </row>
    <row r="570">
      <c r="B570" s="161">
        <f>'Original-E2E'!A72</f>
        <v>79</v>
      </c>
      <c r="C570" s="144">
        <f>IF('Original-E2E'!O72="x",6,0)</f>
        <v>0</v>
      </c>
      <c r="D570" s="144">
        <f>IF('E2E Combined OD + ZK'!O71="x",6,0)</f>
        <v>0</v>
      </c>
      <c r="E570" s="144">
        <f>IF('E2E Combined AB + TCF'!O71="x",6,0)</f>
        <v>0</v>
      </c>
    </row>
    <row r="571">
      <c r="B571" s="161">
        <f>'Original-E2E'!A73</f>
        <v>80</v>
      </c>
      <c r="C571" s="144">
        <f>IF('Original-E2E'!O73="x",6,0)</f>
        <v>6</v>
      </c>
      <c r="D571" s="144">
        <f>IF('E2E Combined OD + ZK'!O72="x",6,0)</f>
        <v>6</v>
      </c>
      <c r="E571" s="144">
        <f>IF('E2E Combined AB + TCF'!O72="x",6,0)</f>
        <v>0</v>
      </c>
    </row>
    <row r="572">
      <c r="B572" s="161">
        <f>'Original-E2E'!A74</f>
        <v>81</v>
      </c>
      <c r="C572" s="144">
        <f>IF('Original-E2E'!O74="x",6,0)</f>
        <v>0</v>
      </c>
      <c r="D572" s="144">
        <f>IF('E2E Combined OD + ZK'!O73="x",6,0)</f>
        <v>0</v>
      </c>
      <c r="E572" s="144">
        <f>IF('E2E Combined AB + TCF'!O73="x",6,0)</f>
        <v>0</v>
      </c>
    </row>
    <row r="573">
      <c r="B573" s="161">
        <f>'Original-E2E'!A75</f>
        <v>82</v>
      </c>
      <c r="C573" s="144">
        <f>IF('Original-E2E'!O75="x",6,0)</f>
        <v>0</v>
      </c>
      <c r="D573" s="144">
        <f>IF('E2E Combined OD + ZK'!O74="x",6,0)</f>
        <v>0</v>
      </c>
      <c r="E573" s="144">
        <f>IF('E2E Combined AB + TCF'!O74="x",6,0)</f>
        <v>0</v>
      </c>
    </row>
    <row r="574">
      <c r="B574" s="161">
        <f>'Original-E2E'!A76</f>
        <v>83</v>
      </c>
      <c r="C574" s="144">
        <f>IF('Original-E2E'!O76="x",6,0)</f>
        <v>0</v>
      </c>
      <c r="D574" s="144">
        <f>IF('E2E Combined OD + ZK'!O75="x",6,0)</f>
        <v>0</v>
      </c>
      <c r="E574" s="144">
        <f>IF('E2E Combined AB + TCF'!O75="x",6,0)</f>
        <v>0</v>
      </c>
    </row>
    <row r="575">
      <c r="B575" s="161">
        <f>'Original-E2E'!A77</f>
        <v>86</v>
      </c>
      <c r="C575" s="144">
        <f>IF('Original-E2E'!O77="x",6,0)</f>
        <v>0</v>
      </c>
      <c r="D575" s="144">
        <f>IF('E2E Combined OD + ZK'!O76="x",6,0)</f>
        <v>0</v>
      </c>
      <c r="E575" s="144">
        <f>IF('E2E Combined AB + TCF'!O76="x",6,0)</f>
        <v>0</v>
      </c>
    </row>
    <row r="576">
      <c r="B576" s="161">
        <f>'Original-E2E'!A78</f>
        <v>89</v>
      </c>
      <c r="C576" s="144">
        <f>IF('Original-E2E'!O78="x",6,0)</f>
        <v>6</v>
      </c>
      <c r="D576" s="144">
        <f>IF('E2E Combined OD + ZK'!O77="x",6,0)</f>
        <v>6</v>
      </c>
      <c r="E576" s="144">
        <f>IF('E2E Combined AB + TCF'!O77="x",6,0)</f>
        <v>0</v>
      </c>
    </row>
    <row r="577">
      <c r="B577" s="161">
        <f>'Original-E2E'!A79</f>
        <v>90</v>
      </c>
      <c r="C577" s="144">
        <f>IF('Original-E2E'!O79="x",6,0)</f>
        <v>0</v>
      </c>
      <c r="D577" s="144">
        <f>IF('E2E Combined OD + ZK'!O78="x",6,0)</f>
        <v>0</v>
      </c>
      <c r="E577" s="144">
        <f>IF('E2E Combined AB + TCF'!O78="x",6,0)</f>
        <v>0</v>
      </c>
    </row>
    <row r="578">
      <c r="B578" s="161">
        <f>'Original-E2E'!A80</f>
        <v>91</v>
      </c>
      <c r="C578" s="144">
        <f>IF('Original-E2E'!O80="x",6,0)</f>
        <v>0</v>
      </c>
      <c r="D578" s="144">
        <f>IF('E2E Combined OD + ZK'!O79="x",6,0)</f>
        <v>0</v>
      </c>
      <c r="E578" s="144">
        <f>IF('E2E Combined AB + TCF'!O79="x",6,0)</f>
        <v>0</v>
      </c>
    </row>
    <row r="579">
      <c r="B579" s="161">
        <f>'Original-E2E'!A81</f>
        <v>92</v>
      </c>
      <c r="C579" s="144">
        <f>IF('Original-E2E'!O81="x",6,0)</f>
        <v>0</v>
      </c>
      <c r="D579" s="144">
        <f>IF('E2E Combined OD + ZK'!O80="x",6,0)</f>
        <v>0</v>
      </c>
      <c r="E579" s="144">
        <f>IF('E2E Combined AB + TCF'!O80="x",6,0)</f>
        <v>0</v>
      </c>
    </row>
    <row r="580">
      <c r="B580" s="161">
        <f>'Original-E2E'!A82</f>
        <v>94</v>
      </c>
      <c r="C580" s="144">
        <f>IF('Original-E2E'!O82="x",6,0)</f>
        <v>0</v>
      </c>
      <c r="D580" s="144">
        <f>IF('E2E Combined OD + ZK'!O81="x",6,0)</f>
        <v>0</v>
      </c>
      <c r="E580" s="144">
        <f>IF('E2E Combined AB + TCF'!O81="x",6,0)</f>
        <v>0</v>
      </c>
    </row>
    <row r="581">
      <c r="B581" s="161">
        <f>'Original-E2E'!A83</f>
        <v>95</v>
      </c>
      <c r="C581" s="144">
        <f>IF('Original-E2E'!O83="x",6,0)</f>
        <v>6</v>
      </c>
      <c r="D581" s="144">
        <f>IF('E2E Combined OD + ZK'!O82="x",6,0)</f>
        <v>6</v>
      </c>
      <c r="E581" s="144">
        <f>IF('E2E Combined AB + TCF'!O82="x",6,0)</f>
        <v>0</v>
      </c>
    </row>
    <row r="582">
      <c r="B582" s="161">
        <f>'Original-E2E'!A84</f>
        <v>96</v>
      </c>
      <c r="C582" s="144">
        <f>IF('Original-E2E'!O84="x",6,0)</f>
        <v>0</v>
      </c>
      <c r="D582" s="144">
        <f>IF('E2E Combined OD + ZK'!O83="x",6,0)</f>
        <v>0</v>
      </c>
      <c r="E582" s="144">
        <f>IF('E2E Combined AB + TCF'!O83="x",6,0)</f>
        <v>0</v>
      </c>
    </row>
    <row r="583">
      <c r="B583" s="161">
        <f>'Original-E2E'!A85</f>
        <v>98</v>
      </c>
      <c r="C583" s="144">
        <f>IF('Original-E2E'!O85="x",6,0)</f>
        <v>0</v>
      </c>
      <c r="D583" s="144">
        <f>IF('E2E Combined OD + ZK'!O84="x",6,0)</f>
        <v>0</v>
      </c>
      <c r="E583" s="144">
        <f>IF('E2E Combined AB + TCF'!O84="x",6,0)</f>
        <v>0</v>
      </c>
    </row>
    <row r="584">
      <c r="B584" s="161">
        <f>'Original-E2E'!A86</f>
        <v>99</v>
      </c>
      <c r="C584" s="144">
        <f>IF('Original-E2E'!O86="x",6,0)</f>
        <v>6</v>
      </c>
      <c r="D584" s="144">
        <f>IF('E2E Combined OD + ZK'!O85="x",6,0)</f>
        <v>6</v>
      </c>
      <c r="E584" s="144">
        <f>IF('E2E Combined AB + TCF'!O85="x",6,0)</f>
        <v>0</v>
      </c>
    </row>
    <row r="585">
      <c r="B585" s="161">
        <f>'Original-E2E'!A87</f>
        <v>100</v>
      </c>
      <c r="C585" s="144">
        <f>IF('Original-E2E'!O87="x",6,0)</f>
        <v>0</v>
      </c>
      <c r="D585" s="144">
        <f>IF('E2E Combined OD + ZK'!O86="x",6,0)</f>
        <v>0</v>
      </c>
      <c r="E585" s="144">
        <f>IF('E2E Combined AB + TCF'!O86="x",6,0)</f>
        <v>0</v>
      </c>
    </row>
    <row r="586">
      <c r="B586" s="161">
        <f>'Original-E2E'!A88</f>
        <v>101</v>
      </c>
      <c r="C586" s="144">
        <f>IF('Original-E2E'!O88="x",6,0)</f>
        <v>6</v>
      </c>
      <c r="D586" s="144">
        <f>IF('E2E Combined OD + ZK'!O87="x",6,0)</f>
        <v>0</v>
      </c>
      <c r="E586" s="144">
        <f>IF('E2E Combined AB + TCF'!O87="x",6,0)</f>
        <v>6</v>
      </c>
    </row>
    <row r="587">
      <c r="B587" s="161">
        <f>'Original-E2E'!A89</f>
        <v>102</v>
      </c>
      <c r="C587" s="144">
        <f>IF('Original-E2E'!O89="x",6,0)</f>
        <v>0</v>
      </c>
      <c r="D587" s="144">
        <f>IF('E2E Combined OD + ZK'!O88="x",6,0)</f>
        <v>0</v>
      </c>
      <c r="E587" s="144">
        <f>IF('E2E Combined AB + TCF'!O88="x",6,0)</f>
        <v>0</v>
      </c>
    </row>
    <row r="588">
      <c r="B588" s="161">
        <f>'Original-E2E'!A90</f>
        <v>103</v>
      </c>
      <c r="C588" s="144">
        <f>IF('Original-E2E'!O90="x",6,0)</f>
        <v>0</v>
      </c>
      <c r="D588" s="144">
        <f>IF('E2E Combined OD + ZK'!O89="x",6,0)</f>
        <v>0</v>
      </c>
      <c r="E588" s="144">
        <f>IF('E2E Combined AB + TCF'!O89="x",6,0)</f>
        <v>0</v>
      </c>
    </row>
    <row r="589">
      <c r="B589" s="161">
        <f>'Original-E2E'!A91</f>
        <v>104</v>
      </c>
      <c r="C589" s="144">
        <f>IF('Original-E2E'!O91="x",6,0)</f>
        <v>0</v>
      </c>
      <c r="D589" s="144">
        <f>IF('E2E Combined OD + ZK'!O90="x",6,0)</f>
        <v>0</v>
      </c>
      <c r="E589" s="144">
        <f>IF('E2E Combined AB + TCF'!O90="x",6,0)</f>
        <v>0</v>
      </c>
    </row>
    <row r="590">
      <c r="B590" s="161">
        <f>'Original-E2E'!A92</f>
        <v>105</v>
      </c>
      <c r="C590" s="144">
        <f>IF('Original-E2E'!O92="x",6,0)</f>
        <v>0</v>
      </c>
      <c r="D590" s="144">
        <f>IF('E2E Combined OD + ZK'!O91="x",6,0)</f>
        <v>0</v>
      </c>
      <c r="E590" s="144">
        <f>IF('E2E Combined AB + TCF'!O91="x",6,0)</f>
        <v>0</v>
      </c>
    </row>
    <row r="591">
      <c r="B591" s="161">
        <f>'Original-E2E'!A93</f>
        <v>106</v>
      </c>
      <c r="C591" s="144">
        <f>IF('Original-E2E'!O93="x",6,0)</f>
        <v>0</v>
      </c>
      <c r="D591" s="144">
        <f>IF('E2E Combined OD + ZK'!O92="x",6,0)</f>
        <v>6</v>
      </c>
      <c r="E591" s="144">
        <f>IF('E2E Combined AB + TCF'!O92="x",6,0)</f>
        <v>0</v>
      </c>
    </row>
    <row r="592">
      <c r="B592" s="161">
        <f>'Original-E2E'!A94</f>
        <v>107</v>
      </c>
      <c r="C592" s="144">
        <f>IF('Original-E2E'!O94="x",6,0)</f>
        <v>0</v>
      </c>
      <c r="D592" s="144">
        <f>IF('E2E Combined OD + ZK'!O93="x",6,0)</f>
        <v>0</v>
      </c>
      <c r="E592" s="144">
        <f>IF('E2E Combined AB + TCF'!O93="x",6,0)</f>
        <v>0</v>
      </c>
    </row>
    <row r="593">
      <c r="B593" s="161">
        <f>'Original-E2E'!A95</f>
        <v>110</v>
      </c>
      <c r="C593" s="144">
        <f>IF('Original-E2E'!O95="x",6,0)</f>
        <v>0</v>
      </c>
      <c r="D593" s="144">
        <f>IF('E2E Combined OD + ZK'!O94="x",6,0)</f>
        <v>0</v>
      </c>
      <c r="E593" s="144">
        <f>IF('E2E Combined AB + TCF'!O94="x",6,0)</f>
        <v>0</v>
      </c>
    </row>
    <row r="594">
      <c r="B594" s="161">
        <f>'Original-E2E'!A96</f>
        <v>111</v>
      </c>
      <c r="C594" s="144">
        <f>IF('Original-E2E'!O96="x",6,0)</f>
        <v>0</v>
      </c>
      <c r="D594" s="144">
        <f>IF('E2E Combined OD + ZK'!O95="x",6,0)</f>
        <v>0</v>
      </c>
      <c r="E594" s="144">
        <f>IF('E2E Combined AB + TCF'!O95="x",6,0)</f>
        <v>0</v>
      </c>
    </row>
    <row r="595">
      <c r="B595" s="161">
        <f>'Original-E2E'!A97</f>
        <v>112</v>
      </c>
      <c r="C595" s="144">
        <f>IF('Original-E2E'!O97="x",6,0)</f>
        <v>0</v>
      </c>
      <c r="D595" s="144">
        <f>IF('E2E Combined OD + ZK'!O96="x",6,0)</f>
        <v>0</v>
      </c>
      <c r="E595" s="144">
        <f>IF('E2E Combined AB + TCF'!O96="x",6,0)</f>
        <v>0</v>
      </c>
    </row>
    <row r="596">
      <c r="B596" s="161">
        <f>'Original-E2E'!A98</f>
        <v>113</v>
      </c>
      <c r="C596" s="144">
        <f>IF('Original-E2E'!O98="x",6,0)</f>
        <v>0</v>
      </c>
      <c r="D596" s="144">
        <f>IF('E2E Combined OD + ZK'!O97="x",6,0)</f>
        <v>0</v>
      </c>
      <c r="E596" s="144">
        <f>IF('E2E Combined AB + TCF'!O97="x",6,0)</f>
        <v>0</v>
      </c>
    </row>
    <row r="597">
      <c r="B597" s="161">
        <f>'Original-E2E'!A99</f>
        <v>114</v>
      </c>
      <c r="C597" s="144">
        <f>IF('Original-E2E'!O99="x",6,0)</f>
        <v>0</v>
      </c>
      <c r="D597" s="144">
        <f>IF('E2E Combined OD + ZK'!O98="x",6,0)</f>
        <v>6</v>
      </c>
      <c r="E597" s="144">
        <f>IF('E2E Combined AB + TCF'!O98="x",6,0)</f>
        <v>0</v>
      </c>
    </row>
    <row r="598">
      <c r="B598" s="161">
        <f>'Original-E2E'!A100</f>
        <v>115</v>
      </c>
      <c r="C598" s="144">
        <f>IF('Original-E2E'!O100="x",6,0)</f>
        <v>6</v>
      </c>
      <c r="D598" s="144">
        <f>IF('E2E Combined OD + ZK'!O99="x",6,0)</f>
        <v>6</v>
      </c>
      <c r="E598" s="144">
        <f>IF('E2E Combined AB + TCF'!O99="x",6,0)</f>
        <v>0</v>
      </c>
    </row>
    <row r="599">
      <c r="B599" s="161">
        <f>'Original-E2E'!A101</f>
        <v>116</v>
      </c>
      <c r="C599" s="144">
        <f>IF('Original-E2E'!O101="x",6,0)</f>
        <v>0</v>
      </c>
      <c r="D599" s="144">
        <f>IF('E2E Combined OD + ZK'!O100="x",6,0)</f>
        <v>0</v>
      </c>
      <c r="E599" s="144">
        <f>IF('E2E Combined AB + TCF'!O100="x",6,0)</f>
        <v>0</v>
      </c>
    </row>
    <row r="600">
      <c r="B600" s="161">
        <f>'Original-E2E'!A102</f>
        <v>117</v>
      </c>
      <c r="C600" s="144">
        <f>IF('Original-E2E'!O102="x",6,0)</f>
        <v>0</v>
      </c>
      <c r="D600" s="144">
        <f>IF('E2E Combined OD + ZK'!O101="x",6,0)</f>
        <v>6</v>
      </c>
      <c r="E600" s="144">
        <f>IF('E2E Combined AB + TCF'!O101="x",6,0)</f>
        <v>0</v>
      </c>
    </row>
    <row r="601">
      <c r="B601" s="161">
        <f>'Original-E2E'!A103</f>
        <v>118</v>
      </c>
      <c r="C601" s="144">
        <f>IF('Original-E2E'!O103="x",6,0)</f>
        <v>0</v>
      </c>
      <c r="D601" s="144">
        <f>IF('E2E Combined OD + ZK'!O102="x",6,0)</f>
        <v>6</v>
      </c>
      <c r="E601" s="144">
        <f>IF('E2E Combined AB + TCF'!O102="x",6,0)</f>
        <v>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8" t="s">
        <v>1041</v>
      </c>
      <c r="B1" s="98" t="s">
        <v>1042</v>
      </c>
      <c r="C1" s="98" t="s">
        <v>1015</v>
      </c>
      <c r="D1" s="98" t="s">
        <v>1016</v>
      </c>
      <c r="E1" s="98" t="s">
        <v>1017</v>
      </c>
    </row>
    <row r="2">
      <c r="B2" s="99">
        <f>'Original-WebNLG'!A4</f>
        <v>1</v>
      </c>
      <c r="C2" s="99">
        <f>IF('Original-WebNLG'!J4="x",1,0)</f>
        <v>1</v>
      </c>
      <c r="D2" s="99">
        <f>IF('WebNLG Combined OD + ZK'!J3="x",1,0)</f>
        <v>0</v>
      </c>
      <c r="E2" s="99">
        <f>IF('WebNLG Combined AB + TCF'!J3="x",1,0)</f>
        <v>0</v>
      </c>
    </row>
    <row r="3">
      <c r="B3" s="99">
        <f>'Original-WebNLG'!A5</f>
        <v>2</v>
      </c>
      <c r="C3" s="99">
        <f>IF('Original-WebNLG'!J5="x",1,0)</f>
        <v>0</v>
      </c>
      <c r="D3" s="99">
        <f>IF('WebNLG Combined OD + ZK'!J4="x",1,0)</f>
        <v>0</v>
      </c>
      <c r="E3" s="99">
        <f>IF('WebNLG Combined AB + TCF'!J4="x",1,0)</f>
        <v>0</v>
      </c>
    </row>
    <row r="4">
      <c r="B4" s="99">
        <f>'Original-WebNLG'!A6</f>
        <v>3</v>
      </c>
      <c r="C4" s="99">
        <f>IF('Original-WebNLG'!J6="x",1,0)</f>
        <v>0</v>
      </c>
      <c r="D4" s="99">
        <f>IF('WebNLG Combined OD + ZK'!J5="x",1,0)</f>
        <v>0</v>
      </c>
      <c r="E4" s="99">
        <f>IF('WebNLG Combined AB + TCF'!J5="x",1,0)</f>
        <v>0</v>
      </c>
    </row>
    <row r="5">
      <c r="B5" s="99">
        <f>'Original-WebNLG'!A7</f>
        <v>4</v>
      </c>
      <c r="C5" s="99">
        <f>IF('Original-WebNLG'!J7="x",1,0)</f>
        <v>0</v>
      </c>
      <c r="D5" s="99">
        <f>IF('WebNLG Combined OD + ZK'!J6="x",1,0)</f>
        <v>0</v>
      </c>
      <c r="E5" s="99">
        <f>IF('WebNLG Combined AB + TCF'!J6="x",1,0)</f>
        <v>0</v>
      </c>
    </row>
    <row r="6">
      <c r="B6" s="99">
        <f>'Original-WebNLG'!A8</f>
        <v>5</v>
      </c>
      <c r="C6" s="99">
        <f>IF('Original-WebNLG'!J8="x",1,0)</f>
        <v>0</v>
      </c>
      <c r="D6" s="99">
        <f>IF('WebNLG Combined OD + ZK'!J7="x",1,0)</f>
        <v>0</v>
      </c>
      <c r="E6" s="99">
        <f>IF('WebNLG Combined AB + TCF'!J7="x",1,0)</f>
        <v>0</v>
      </c>
    </row>
    <row r="7">
      <c r="B7" s="99">
        <f>'Original-WebNLG'!A9</f>
        <v>6</v>
      </c>
      <c r="C7" s="99">
        <f>IF('Original-WebNLG'!J9="x",1,0)</f>
        <v>0</v>
      </c>
      <c r="D7" s="99">
        <f>IF('WebNLG Combined OD + ZK'!J8="x",1,0)</f>
        <v>0</v>
      </c>
      <c r="E7" s="99">
        <f>IF('WebNLG Combined AB + TCF'!J8="x",1,0)</f>
        <v>0</v>
      </c>
    </row>
    <row r="8">
      <c r="B8" s="99">
        <f>'Original-WebNLG'!A10</f>
        <v>7</v>
      </c>
      <c r="C8" s="99">
        <f>IF('Original-WebNLG'!J10="x",1,0)</f>
        <v>1</v>
      </c>
      <c r="D8" s="99">
        <f>IF('WebNLG Combined OD + ZK'!J9="x",1,0)</f>
        <v>1</v>
      </c>
      <c r="E8" s="99">
        <f>IF('WebNLG Combined AB + TCF'!J9="x",1,0)</f>
        <v>0</v>
      </c>
    </row>
    <row r="9">
      <c r="B9" s="99">
        <f>'Original-WebNLG'!A11</f>
        <v>8</v>
      </c>
      <c r="C9" s="99">
        <f>IF('Original-WebNLG'!J11="x",1,0)</f>
        <v>0</v>
      </c>
      <c r="D9" s="99">
        <f>IF('WebNLG Combined OD + ZK'!J10="x",1,0)</f>
        <v>0</v>
      </c>
      <c r="E9" s="99">
        <f>IF('WebNLG Combined AB + TCF'!J10="x",1,0)</f>
        <v>0</v>
      </c>
    </row>
    <row r="10">
      <c r="B10" s="99">
        <f>'Original-WebNLG'!A12</f>
        <v>9</v>
      </c>
      <c r="C10" s="99">
        <f>IF('Original-WebNLG'!J12="x",1,0)</f>
        <v>0</v>
      </c>
      <c r="D10" s="99">
        <f>IF('WebNLG Combined OD + ZK'!J11="x",1,0)</f>
        <v>0</v>
      </c>
      <c r="E10" s="99">
        <f>IF('WebNLG Combined AB + TCF'!J11="x",1,0)</f>
        <v>0</v>
      </c>
    </row>
    <row r="11">
      <c r="B11" s="99">
        <f>'Original-WebNLG'!A13</f>
        <v>10</v>
      </c>
      <c r="C11" s="99">
        <f>IF('Original-WebNLG'!J13="x",1,0)</f>
        <v>0</v>
      </c>
      <c r="D11" s="99">
        <f>IF('WebNLG Combined OD + ZK'!J12="x",1,0)</f>
        <v>0</v>
      </c>
      <c r="E11" s="99">
        <f>IF('WebNLG Combined AB + TCF'!J12="x",1,0)</f>
        <v>0</v>
      </c>
    </row>
    <row r="12">
      <c r="B12" s="99">
        <f>'Original-WebNLG'!A14</f>
        <v>11</v>
      </c>
      <c r="C12" s="99">
        <f>IF('Original-WebNLG'!J14="x",1,0)</f>
        <v>0</v>
      </c>
      <c r="D12" s="99">
        <f>IF('WebNLG Combined OD + ZK'!J13="x",1,0)</f>
        <v>0</v>
      </c>
      <c r="E12" s="99">
        <f>IF('WebNLG Combined AB + TCF'!J13="x",1,0)</f>
        <v>0</v>
      </c>
    </row>
    <row r="13">
      <c r="B13" s="99">
        <f>'Original-WebNLG'!A15</f>
        <v>12</v>
      </c>
      <c r="C13" s="99">
        <f>IF('Original-WebNLG'!J15="x",1,0)</f>
        <v>0</v>
      </c>
      <c r="D13" s="99">
        <f>IF('WebNLG Combined OD + ZK'!J14="x",1,0)</f>
        <v>0</v>
      </c>
      <c r="E13" s="99">
        <f>IF('WebNLG Combined AB + TCF'!J14="x",1,0)</f>
        <v>0</v>
      </c>
    </row>
    <row r="14">
      <c r="B14" s="99">
        <f>'Original-WebNLG'!A16</f>
        <v>13</v>
      </c>
      <c r="C14" s="99">
        <f>IF('Original-WebNLG'!J16="x",1,0)</f>
        <v>1</v>
      </c>
      <c r="D14" s="99">
        <f>IF('WebNLG Combined OD + ZK'!J15="x",1,0)</f>
        <v>0</v>
      </c>
      <c r="E14" s="99">
        <f>IF('WebNLG Combined AB + TCF'!J15="x",1,0)</f>
        <v>0</v>
      </c>
    </row>
    <row r="15">
      <c r="B15" s="99">
        <f>'Original-WebNLG'!A17</f>
        <v>14</v>
      </c>
      <c r="C15" s="99">
        <f>IF('Original-WebNLG'!J17="x",1,0)</f>
        <v>0</v>
      </c>
      <c r="D15" s="99">
        <f>IF('WebNLG Combined OD + ZK'!J16="x",1,0)</f>
        <v>0</v>
      </c>
      <c r="E15" s="99">
        <f>IF('WebNLG Combined AB + TCF'!J16="x",1,0)</f>
        <v>0</v>
      </c>
    </row>
    <row r="16">
      <c r="B16" s="99">
        <f>'Original-WebNLG'!A18</f>
        <v>15</v>
      </c>
      <c r="C16" s="99">
        <f>IF('Original-WebNLG'!J18="x",1,0)</f>
        <v>0</v>
      </c>
      <c r="D16" s="99">
        <f>IF('WebNLG Combined OD + ZK'!J17="x",1,0)</f>
        <v>0</v>
      </c>
      <c r="E16" s="99">
        <f>IF('WebNLG Combined AB + TCF'!J17="x",1,0)</f>
        <v>0</v>
      </c>
    </row>
    <row r="17">
      <c r="B17" s="99">
        <f>'Original-WebNLG'!A19</f>
        <v>16</v>
      </c>
      <c r="C17" s="99">
        <f>IF('Original-WebNLG'!J19="x",1,0)</f>
        <v>1</v>
      </c>
      <c r="D17" s="99">
        <f>IF('WebNLG Combined OD + ZK'!J18="x",1,0)</f>
        <v>1</v>
      </c>
      <c r="E17" s="99">
        <f>IF('WebNLG Combined AB + TCF'!J18="x",1,0)</f>
        <v>0</v>
      </c>
    </row>
    <row r="18">
      <c r="B18" s="99">
        <f>'Original-WebNLG'!A20</f>
        <v>17</v>
      </c>
      <c r="C18" s="99">
        <f>IF('Original-WebNLG'!J20="x",1,0)</f>
        <v>1</v>
      </c>
      <c r="D18" s="99">
        <f>IF('WebNLG Combined OD + ZK'!J19="x",1,0)</f>
        <v>0</v>
      </c>
      <c r="E18" s="99">
        <f>IF('WebNLG Combined AB + TCF'!J19="x",1,0)</f>
        <v>0</v>
      </c>
    </row>
    <row r="19">
      <c r="B19" s="99">
        <f>'Original-WebNLG'!A21</f>
        <v>18</v>
      </c>
      <c r="C19" s="99">
        <f>IF('Original-WebNLG'!J21="x",1,0)</f>
        <v>0</v>
      </c>
      <c r="D19" s="99">
        <f>IF('WebNLG Combined OD + ZK'!J20="x",1,0)</f>
        <v>1</v>
      </c>
      <c r="E19" s="99">
        <f>IF('WebNLG Combined AB + TCF'!J20="x",1,0)</f>
        <v>0</v>
      </c>
    </row>
    <row r="20">
      <c r="B20" s="99">
        <f>'Original-WebNLG'!A22</f>
        <v>19</v>
      </c>
      <c r="C20" s="99">
        <f>IF('Original-WebNLG'!J22="x",1,0)</f>
        <v>1</v>
      </c>
      <c r="D20" s="99">
        <f>IF('WebNLG Combined OD + ZK'!J21="x",1,0)</f>
        <v>0</v>
      </c>
      <c r="E20" s="99">
        <f>IF('WebNLG Combined AB + TCF'!J21="x",1,0)</f>
        <v>0</v>
      </c>
    </row>
    <row r="21">
      <c r="B21" s="99">
        <f>'Original-WebNLG'!A23</f>
        <v>20</v>
      </c>
      <c r="C21" s="99">
        <f>IF('Original-WebNLG'!J23="x",1,0)</f>
        <v>0</v>
      </c>
      <c r="D21" s="99">
        <f>IF('WebNLG Combined OD + ZK'!J22="x",1,0)</f>
        <v>0</v>
      </c>
      <c r="E21" s="99">
        <f>IF('WebNLG Combined AB + TCF'!J22="x",1,0)</f>
        <v>0</v>
      </c>
    </row>
    <row r="22">
      <c r="B22" s="99">
        <f>'Original-WebNLG'!A24</f>
        <v>21</v>
      </c>
      <c r="C22" s="99">
        <f>IF('Original-WebNLG'!J24="x",1,0)</f>
        <v>0</v>
      </c>
      <c r="D22" s="99">
        <f>IF('WebNLG Combined OD + ZK'!J23="x",1,0)</f>
        <v>0</v>
      </c>
      <c r="E22" s="99">
        <f>IF('WebNLG Combined AB + TCF'!J23="x",1,0)</f>
        <v>0</v>
      </c>
    </row>
    <row r="23">
      <c r="B23" s="99">
        <f>'Original-WebNLG'!A25</f>
        <v>22</v>
      </c>
      <c r="C23" s="99">
        <f>IF('Original-WebNLG'!J25="x",1,0)</f>
        <v>1</v>
      </c>
      <c r="D23" s="99">
        <f>IF('WebNLG Combined OD + ZK'!J24="x",1,0)</f>
        <v>1</v>
      </c>
      <c r="E23" s="99">
        <f>IF('WebNLG Combined AB + TCF'!J24="x",1,0)</f>
        <v>0</v>
      </c>
    </row>
    <row r="24">
      <c r="B24" s="99">
        <f>'Original-WebNLG'!A26</f>
        <v>23</v>
      </c>
      <c r="C24" s="99">
        <f>IF('Original-WebNLG'!J26="x",1,0)</f>
        <v>1</v>
      </c>
      <c r="D24" s="99">
        <f>IF('WebNLG Combined OD + ZK'!J25="x",1,0)</f>
        <v>0</v>
      </c>
      <c r="E24" s="99">
        <f>IF('WebNLG Combined AB + TCF'!J25="x",1,0)</f>
        <v>0</v>
      </c>
    </row>
    <row r="25">
      <c r="B25" s="99">
        <f>'Original-WebNLG'!A27</f>
        <v>24</v>
      </c>
      <c r="C25" s="99">
        <f>IF('Original-WebNLG'!J27="x",1,0)</f>
        <v>0</v>
      </c>
      <c r="D25" s="99">
        <f>IF('WebNLG Combined OD + ZK'!J26="x",1,0)</f>
        <v>0</v>
      </c>
      <c r="E25" s="99">
        <f>IF('WebNLG Combined AB + TCF'!J26="x",1,0)</f>
        <v>0</v>
      </c>
    </row>
    <row r="26">
      <c r="B26" s="99">
        <f>'Original-WebNLG'!A28</f>
        <v>25</v>
      </c>
      <c r="C26" s="99">
        <f>IF('Original-WebNLG'!J28="x",1,0)</f>
        <v>1</v>
      </c>
      <c r="D26" s="99">
        <f>IF('WebNLG Combined OD + ZK'!J27="x",1,0)</f>
        <v>1</v>
      </c>
      <c r="E26" s="99">
        <f>IF('WebNLG Combined AB + TCF'!J27="x",1,0)</f>
        <v>0</v>
      </c>
    </row>
    <row r="27">
      <c r="B27" s="99">
        <f>'Original-WebNLG'!A29</f>
        <v>26</v>
      </c>
      <c r="C27" s="99">
        <f>IF('Original-WebNLG'!J29="x",1,0)</f>
        <v>1</v>
      </c>
      <c r="D27" s="99">
        <f>IF('WebNLG Combined OD + ZK'!J28="x",1,0)</f>
        <v>0</v>
      </c>
      <c r="E27" s="99">
        <f>IF('WebNLG Combined AB + TCF'!J28="x",1,0)</f>
        <v>0</v>
      </c>
    </row>
    <row r="28">
      <c r="B28" s="99">
        <f>'Original-WebNLG'!A30</f>
        <v>27</v>
      </c>
      <c r="C28" s="99">
        <f>IF('Original-WebNLG'!J30="x",1,0)</f>
        <v>0</v>
      </c>
      <c r="D28" s="99">
        <f>IF('WebNLG Combined OD + ZK'!J29="x",1,0)</f>
        <v>0</v>
      </c>
      <c r="E28" s="99">
        <f>IF('WebNLG Combined AB + TCF'!J29="x",1,0)</f>
        <v>0</v>
      </c>
    </row>
    <row r="29">
      <c r="B29" s="99">
        <f>'Original-WebNLG'!A31</f>
        <v>28</v>
      </c>
      <c r="C29" s="99">
        <f>IF('Original-WebNLG'!J31="x",1,0)</f>
        <v>0</v>
      </c>
      <c r="D29" s="99">
        <f>IF('WebNLG Combined OD + ZK'!J30="x",1,0)</f>
        <v>0</v>
      </c>
      <c r="E29" s="99">
        <f>IF('WebNLG Combined AB + TCF'!J30="x",1,0)</f>
        <v>0</v>
      </c>
    </row>
    <row r="30">
      <c r="B30" s="99">
        <f>'Original-WebNLG'!A32</f>
        <v>29</v>
      </c>
      <c r="C30" s="99">
        <f>IF('Original-WebNLG'!J32="x",1,0)</f>
        <v>0</v>
      </c>
      <c r="D30" s="99">
        <f>IF('WebNLG Combined OD + ZK'!J31="x",1,0)</f>
        <v>0</v>
      </c>
      <c r="E30" s="99">
        <f>IF('WebNLG Combined AB + TCF'!J31="x",1,0)</f>
        <v>0</v>
      </c>
    </row>
    <row r="31">
      <c r="B31" s="99">
        <f>'Original-WebNLG'!A33</f>
        <v>30</v>
      </c>
      <c r="C31" s="99">
        <f>IF('Original-WebNLG'!J33="x",1,0)</f>
        <v>0</v>
      </c>
      <c r="D31" s="99">
        <f>IF('WebNLG Combined OD + ZK'!J32="x",1,0)</f>
        <v>0</v>
      </c>
      <c r="E31" s="99">
        <f>IF('WebNLG Combined AB + TCF'!J32="x",1,0)</f>
        <v>0</v>
      </c>
    </row>
    <row r="32">
      <c r="B32" s="99">
        <f>'Original-WebNLG'!A34</f>
        <v>31</v>
      </c>
      <c r="C32" s="99">
        <f>IF('Original-WebNLG'!J34="x",1,0)</f>
        <v>0</v>
      </c>
      <c r="D32" s="99">
        <f>IF('WebNLG Combined OD + ZK'!J33="x",1,0)</f>
        <v>0</v>
      </c>
      <c r="E32" s="99">
        <f>IF('WebNLG Combined AB + TCF'!J33="x",1,0)</f>
        <v>0</v>
      </c>
    </row>
    <row r="33">
      <c r="B33" s="99">
        <f>'Original-WebNLG'!A35</f>
        <v>32</v>
      </c>
      <c r="C33" s="99">
        <f>IF('Original-WebNLG'!J35="x",1,0)</f>
        <v>0</v>
      </c>
      <c r="D33" s="99">
        <f>IF('WebNLG Combined OD + ZK'!J34="x",1,0)</f>
        <v>1</v>
      </c>
      <c r="E33" s="99">
        <f>IF('WebNLG Combined AB + TCF'!J34="x",1,0)</f>
        <v>0</v>
      </c>
    </row>
    <row r="34">
      <c r="B34" s="99">
        <f>'Original-WebNLG'!A36</f>
        <v>33</v>
      </c>
      <c r="C34" s="99">
        <f>IF('Original-WebNLG'!J36="x",1,0)</f>
        <v>0</v>
      </c>
      <c r="D34" s="99">
        <f>IF('WebNLG Combined OD + ZK'!J35="x",1,0)</f>
        <v>0</v>
      </c>
      <c r="E34" s="99">
        <f>IF('WebNLG Combined AB + TCF'!J35="x",1,0)</f>
        <v>0</v>
      </c>
    </row>
    <row r="35">
      <c r="B35" s="99">
        <f>'Original-WebNLG'!A37</f>
        <v>34</v>
      </c>
      <c r="C35" s="99">
        <f>IF('Original-WebNLG'!J37="x",1,0)</f>
        <v>1</v>
      </c>
      <c r="D35" s="99">
        <f>IF('WebNLG Combined OD + ZK'!J36="x",1,0)</f>
        <v>0</v>
      </c>
      <c r="E35" s="99">
        <f>IF('WebNLG Combined AB + TCF'!J36="x",1,0)</f>
        <v>0</v>
      </c>
    </row>
    <row r="36">
      <c r="B36" s="99">
        <f>'Original-WebNLG'!A38</f>
        <v>35</v>
      </c>
      <c r="C36" s="99">
        <f>IF('Original-WebNLG'!J38="x",1,0)</f>
        <v>0</v>
      </c>
      <c r="D36" s="99">
        <f>IF('WebNLG Combined OD + ZK'!J37="x",1,0)</f>
        <v>0</v>
      </c>
      <c r="E36" s="99">
        <f>IF('WebNLG Combined AB + TCF'!J37="x",1,0)</f>
        <v>0</v>
      </c>
    </row>
    <row r="37">
      <c r="B37" s="99">
        <f>'Original-WebNLG'!A39</f>
        <v>36</v>
      </c>
      <c r="C37" s="99">
        <f>IF('Original-WebNLG'!J39="x",1,0)</f>
        <v>0</v>
      </c>
      <c r="D37" s="99">
        <f>IF('WebNLG Combined OD + ZK'!J38="x",1,0)</f>
        <v>1</v>
      </c>
      <c r="E37" s="99">
        <f>IF('WebNLG Combined AB + TCF'!J38="x",1,0)</f>
        <v>0</v>
      </c>
    </row>
    <row r="38">
      <c r="B38" s="99">
        <f>'Original-WebNLG'!A40</f>
        <v>37</v>
      </c>
      <c r="C38" s="99">
        <f>IF('Original-WebNLG'!J40="x",1,0)</f>
        <v>0</v>
      </c>
      <c r="D38" s="99">
        <f>IF('WebNLG Combined OD + ZK'!J39="x",1,0)</f>
        <v>1</v>
      </c>
      <c r="E38" s="99">
        <f>IF('WebNLG Combined AB + TCF'!J39="x",1,0)</f>
        <v>0</v>
      </c>
    </row>
    <row r="39">
      <c r="B39" s="99">
        <f>'Original-WebNLG'!A41</f>
        <v>38</v>
      </c>
      <c r="C39" s="99">
        <f>IF('Original-WebNLG'!J41="x",1,0)</f>
        <v>1</v>
      </c>
      <c r="D39" s="99">
        <f>IF('WebNLG Combined OD + ZK'!J40="x",1,0)</f>
        <v>0</v>
      </c>
      <c r="E39" s="99">
        <f>IF('WebNLG Combined AB + TCF'!J40="x",1,0)</f>
        <v>0</v>
      </c>
    </row>
    <row r="40">
      <c r="B40" s="99">
        <f>'Original-WebNLG'!A42</f>
        <v>39</v>
      </c>
      <c r="C40" s="99">
        <f>IF('Original-WebNLG'!J42="x",1,0)</f>
        <v>0</v>
      </c>
      <c r="D40" s="99">
        <f>IF('WebNLG Combined OD + ZK'!J41="x",1,0)</f>
        <v>0</v>
      </c>
      <c r="E40" s="99">
        <f>IF('WebNLG Combined AB + TCF'!J41="x",1,0)</f>
        <v>0</v>
      </c>
    </row>
    <row r="41">
      <c r="B41" s="99">
        <f>'Original-WebNLG'!A43</f>
        <v>40</v>
      </c>
      <c r="C41" s="99">
        <f>IF('Original-WebNLG'!J43="x",1,0)</f>
        <v>0</v>
      </c>
      <c r="D41" s="99">
        <f>IF('WebNLG Combined OD + ZK'!J42="x",1,0)</f>
        <v>0</v>
      </c>
      <c r="E41" s="99">
        <f>IF('WebNLG Combined AB + TCF'!J42="x",1,0)</f>
        <v>0</v>
      </c>
    </row>
    <row r="42">
      <c r="B42" s="99">
        <f>'Original-WebNLG'!A44</f>
        <v>41</v>
      </c>
      <c r="C42" s="99">
        <f>IF('Original-WebNLG'!J44="x",1,0)</f>
        <v>0</v>
      </c>
      <c r="D42" s="99">
        <f>IF('WebNLG Combined OD + ZK'!J43="x",1,0)</f>
        <v>0</v>
      </c>
      <c r="E42" s="99">
        <f>IF('WebNLG Combined AB + TCF'!J43="x",1,0)</f>
        <v>1</v>
      </c>
    </row>
    <row r="43">
      <c r="B43" s="99">
        <f>'Original-WebNLG'!A45</f>
        <v>42</v>
      </c>
      <c r="C43" s="99">
        <f>IF('Original-WebNLG'!J45="x",1,0)</f>
        <v>0</v>
      </c>
      <c r="D43" s="99">
        <f>IF('WebNLG Combined OD + ZK'!J44="x",1,0)</f>
        <v>0</v>
      </c>
      <c r="E43" s="99">
        <f>IF('WebNLG Combined AB + TCF'!J44="x",1,0)</f>
        <v>0</v>
      </c>
    </row>
    <row r="44">
      <c r="B44" s="99">
        <f>'Original-WebNLG'!A46</f>
        <v>43</v>
      </c>
      <c r="C44" s="99">
        <f>IF('Original-WebNLG'!J46="x",1,0)</f>
        <v>0</v>
      </c>
      <c r="D44" s="99">
        <f>IF('WebNLG Combined OD + ZK'!J45="x",1,0)</f>
        <v>0</v>
      </c>
      <c r="E44" s="99">
        <f>IF('WebNLG Combined AB + TCF'!J45="x",1,0)</f>
        <v>0</v>
      </c>
    </row>
    <row r="45">
      <c r="B45" s="99">
        <f>'Original-WebNLG'!A47</f>
        <v>44</v>
      </c>
      <c r="C45" s="99">
        <f>IF('Original-WebNLG'!J47="x",1,0)</f>
        <v>0</v>
      </c>
      <c r="D45" s="99">
        <f>IF('WebNLG Combined OD + ZK'!J46="x",1,0)</f>
        <v>0</v>
      </c>
      <c r="E45" s="99">
        <f>IF('WebNLG Combined AB + TCF'!J46="x",1,0)</f>
        <v>0</v>
      </c>
    </row>
    <row r="46">
      <c r="B46" s="99">
        <f>'Original-WebNLG'!A48</f>
        <v>45</v>
      </c>
      <c r="C46" s="99">
        <f>IF('Original-WebNLG'!J48="x",1,0)</f>
        <v>0</v>
      </c>
      <c r="D46" s="99">
        <f>IF('WebNLG Combined OD + ZK'!J47="x",1,0)</f>
        <v>0</v>
      </c>
      <c r="E46" s="99">
        <f>IF('WebNLG Combined AB + TCF'!J47="x",1,0)</f>
        <v>0</v>
      </c>
    </row>
    <row r="47">
      <c r="B47" s="99">
        <f>'Original-WebNLG'!A49</f>
        <v>46</v>
      </c>
      <c r="C47" s="99">
        <f>IF('Original-WebNLG'!J49="x",1,0)</f>
        <v>1</v>
      </c>
      <c r="D47" s="99">
        <f>IF('WebNLG Combined OD + ZK'!J48="x",1,0)</f>
        <v>1</v>
      </c>
      <c r="E47" s="99">
        <f>IF('WebNLG Combined AB + TCF'!J48="x",1,0)</f>
        <v>0</v>
      </c>
    </row>
    <row r="48">
      <c r="B48" s="99">
        <f>'Original-WebNLG'!A50</f>
        <v>47</v>
      </c>
      <c r="C48" s="99">
        <f>IF('Original-WebNLG'!J50="x",1,0)</f>
        <v>0</v>
      </c>
      <c r="D48" s="99">
        <f>IF('WebNLG Combined OD + ZK'!J49="x",1,0)</f>
        <v>0</v>
      </c>
      <c r="E48" s="99">
        <f>IF('WebNLG Combined AB + TCF'!J49="x",1,0)</f>
        <v>0</v>
      </c>
    </row>
    <row r="49">
      <c r="B49" s="99">
        <f>'Original-WebNLG'!A51</f>
        <v>48</v>
      </c>
      <c r="C49" s="99">
        <f>IF('Original-WebNLG'!J51="x",1,0)</f>
        <v>0</v>
      </c>
      <c r="D49" s="99">
        <f>IF('WebNLG Combined OD + ZK'!J50="x",1,0)</f>
        <v>0</v>
      </c>
      <c r="E49" s="99">
        <f>IF('WebNLG Combined AB + TCF'!J50="x",1,0)</f>
        <v>0</v>
      </c>
    </row>
    <row r="50">
      <c r="B50" s="99">
        <f>'Original-WebNLG'!A52</f>
        <v>49</v>
      </c>
      <c r="C50" s="99">
        <f>IF('Original-WebNLG'!J52="x",1,0)</f>
        <v>0</v>
      </c>
      <c r="D50" s="99">
        <f>IF('WebNLG Combined OD + ZK'!J51="x",1,0)</f>
        <v>0</v>
      </c>
      <c r="E50" s="99">
        <f>IF('WebNLG Combined AB + TCF'!J51="x",1,0)</f>
        <v>0</v>
      </c>
    </row>
    <row r="51">
      <c r="B51" s="99">
        <f>'Original-WebNLG'!A53</f>
        <v>50</v>
      </c>
      <c r="C51" s="99">
        <f>IF('Original-WebNLG'!J53="x",1,0)</f>
        <v>0</v>
      </c>
      <c r="D51" s="99">
        <f>IF('WebNLG Combined OD + ZK'!J52="x",1,0)</f>
        <v>0</v>
      </c>
      <c r="E51" s="99">
        <f>IF('WebNLG Combined AB + TCF'!J52="x",1,0)</f>
        <v>0</v>
      </c>
    </row>
    <row r="52">
      <c r="B52" s="99">
        <f>'Original-WebNLG'!A54</f>
        <v>51</v>
      </c>
      <c r="C52" s="99">
        <f>IF('Original-WebNLG'!J54="x",1,0)</f>
        <v>0</v>
      </c>
      <c r="D52" s="99">
        <f>IF('WebNLG Combined OD + ZK'!J53="x",1,0)</f>
        <v>0</v>
      </c>
      <c r="E52" s="99">
        <f>IF('WebNLG Combined AB + TCF'!J53="x",1,0)</f>
        <v>0</v>
      </c>
    </row>
    <row r="53">
      <c r="B53" s="99">
        <f>'Original-WebNLG'!A55</f>
        <v>52</v>
      </c>
      <c r="C53" s="99">
        <f>IF('Original-WebNLG'!J55="x",1,0)</f>
        <v>0</v>
      </c>
      <c r="D53" s="99">
        <f>IF('WebNLG Combined OD + ZK'!J54="x",1,0)</f>
        <v>0</v>
      </c>
      <c r="E53" s="99">
        <f>IF('WebNLG Combined AB + TCF'!J54="x",1,0)</f>
        <v>0</v>
      </c>
    </row>
    <row r="54">
      <c r="B54" s="99">
        <f>'Original-WebNLG'!A56</f>
        <v>53</v>
      </c>
      <c r="C54" s="99">
        <f>IF('Original-WebNLG'!J56="x",1,0)</f>
        <v>0</v>
      </c>
      <c r="D54" s="99">
        <f>IF('WebNLG Combined OD + ZK'!J55="x",1,0)</f>
        <v>0</v>
      </c>
      <c r="E54" s="99">
        <f>IF('WebNLG Combined AB + TCF'!J55="x",1,0)</f>
        <v>0</v>
      </c>
    </row>
    <row r="55">
      <c r="B55" s="99">
        <f>'Original-WebNLG'!A57</f>
        <v>54</v>
      </c>
      <c r="C55" s="99">
        <f>IF('Original-WebNLG'!J57="x",1,0)</f>
        <v>0</v>
      </c>
      <c r="D55" s="99">
        <f>IF('WebNLG Combined OD + ZK'!J56="x",1,0)</f>
        <v>1</v>
      </c>
      <c r="E55" s="99">
        <f>IF('WebNLG Combined AB + TCF'!J56="x",1,0)</f>
        <v>0</v>
      </c>
    </row>
    <row r="56">
      <c r="B56" s="99">
        <f>'Original-WebNLG'!A58</f>
        <v>55</v>
      </c>
      <c r="C56" s="99">
        <f>IF('Original-WebNLG'!J58="x",1,0)</f>
        <v>0</v>
      </c>
      <c r="D56" s="99">
        <f>IF('WebNLG Combined OD + ZK'!J57="x",1,0)</f>
        <v>1</v>
      </c>
      <c r="E56" s="99">
        <f>IF('WebNLG Combined AB + TCF'!J57="x",1,0)</f>
        <v>0</v>
      </c>
    </row>
    <row r="57">
      <c r="B57" s="99">
        <f>'Original-WebNLG'!A59</f>
        <v>56</v>
      </c>
      <c r="C57" s="99">
        <f>IF('Original-WebNLG'!J59="x",1,0)</f>
        <v>0</v>
      </c>
      <c r="D57" s="99">
        <f>IF('WebNLG Combined OD + ZK'!J58="x",1,0)</f>
        <v>0</v>
      </c>
      <c r="E57" s="99">
        <f>IF('WebNLG Combined AB + TCF'!J58="x",1,0)</f>
        <v>0</v>
      </c>
    </row>
    <row r="58">
      <c r="B58" s="99">
        <f>'Original-WebNLG'!A60</f>
        <v>57</v>
      </c>
      <c r="C58" s="99">
        <f>IF('Original-WebNLG'!J60="x",1,0)</f>
        <v>0</v>
      </c>
      <c r="D58" s="99">
        <f>IF('WebNLG Combined OD + ZK'!J59="x",1,0)</f>
        <v>0</v>
      </c>
      <c r="E58" s="99">
        <f>IF('WebNLG Combined AB + TCF'!J59="x",1,0)</f>
        <v>1</v>
      </c>
    </row>
    <row r="59">
      <c r="B59" s="99">
        <f>'Original-WebNLG'!A61</f>
        <v>58</v>
      </c>
      <c r="C59" s="99">
        <f>IF('Original-WebNLG'!J61="x",1,0)</f>
        <v>0</v>
      </c>
      <c r="D59" s="99">
        <f>IF('WebNLG Combined OD + ZK'!J60="x",1,0)</f>
        <v>0</v>
      </c>
      <c r="E59" s="99">
        <f>IF('WebNLG Combined AB + TCF'!J60="x",1,0)</f>
        <v>0</v>
      </c>
    </row>
    <row r="60">
      <c r="B60" s="99">
        <f>'Original-WebNLG'!A62</f>
        <v>59</v>
      </c>
      <c r="C60" s="99">
        <f>IF('Original-WebNLG'!J62="x",1,0)</f>
        <v>0</v>
      </c>
      <c r="D60" s="99">
        <f>IF('WebNLG Combined OD + ZK'!J61="x",1,0)</f>
        <v>0</v>
      </c>
      <c r="E60" s="99">
        <f>IF('WebNLG Combined AB + TCF'!J61="x",1,0)</f>
        <v>0</v>
      </c>
    </row>
    <row r="61">
      <c r="B61" s="99">
        <f>'Original-WebNLG'!A63</f>
        <v>60</v>
      </c>
      <c r="C61" s="99">
        <f>IF('Original-WebNLG'!J63="x",1,0)</f>
        <v>0</v>
      </c>
      <c r="D61" s="99">
        <f>IF('WebNLG Combined OD + ZK'!J62="x",1,0)</f>
        <v>0</v>
      </c>
      <c r="E61" s="99">
        <f>IF('WebNLG Combined AB + TCF'!J62="x",1,0)</f>
        <v>0</v>
      </c>
    </row>
    <row r="62">
      <c r="B62" s="99">
        <f>'Original-WebNLG'!A64</f>
        <v>61</v>
      </c>
      <c r="C62" s="99">
        <f>IF('Original-WebNLG'!J64="x",1,0)</f>
        <v>0</v>
      </c>
      <c r="D62" s="99">
        <f>IF('WebNLG Combined OD + ZK'!J63="x",1,0)</f>
        <v>0</v>
      </c>
      <c r="E62" s="99">
        <f>IF('WebNLG Combined AB + TCF'!J63="x",1,0)</f>
        <v>0</v>
      </c>
    </row>
    <row r="63">
      <c r="B63" s="99">
        <f>'Original-WebNLG'!A65</f>
        <v>62</v>
      </c>
      <c r="C63" s="99">
        <f>IF('Original-WebNLG'!J65="x",1,0)</f>
        <v>0</v>
      </c>
      <c r="D63" s="99">
        <f>IF('WebNLG Combined OD + ZK'!J64="x",1,0)</f>
        <v>0</v>
      </c>
      <c r="E63" s="99">
        <f>IF('WebNLG Combined AB + TCF'!J64="x",1,0)</f>
        <v>0</v>
      </c>
    </row>
    <row r="64">
      <c r="B64" s="99">
        <f>'Original-WebNLG'!A66</f>
        <v>63</v>
      </c>
      <c r="C64" s="99">
        <f>IF('Original-WebNLG'!J66="x",1,0)</f>
        <v>1</v>
      </c>
      <c r="D64" s="99">
        <f>IF('WebNLG Combined OD + ZK'!J65="x",1,0)</f>
        <v>0</v>
      </c>
      <c r="E64" s="99">
        <f>IF('WebNLG Combined AB + TCF'!J65="x",1,0)</f>
        <v>0</v>
      </c>
    </row>
    <row r="65">
      <c r="B65" s="99">
        <f>'Original-WebNLG'!A67</f>
        <v>64</v>
      </c>
      <c r="C65" s="99">
        <f>IF('Original-WebNLG'!J67="x",1,0)</f>
        <v>0</v>
      </c>
      <c r="D65" s="99">
        <f>IF('WebNLG Combined OD + ZK'!J66="x",1,0)</f>
        <v>0</v>
      </c>
      <c r="E65" s="99">
        <f>IF('WebNLG Combined AB + TCF'!J66="x",1,0)</f>
        <v>1</v>
      </c>
    </row>
    <row r="66">
      <c r="B66" s="99">
        <f>'Original-WebNLG'!A68</f>
        <v>65</v>
      </c>
      <c r="C66" s="99">
        <f>IF('Original-WebNLG'!J68="x",1,0)</f>
        <v>1</v>
      </c>
      <c r="D66" s="99">
        <f>IF('WebNLG Combined OD + ZK'!J67="x",1,0)</f>
        <v>0</v>
      </c>
      <c r="E66" s="99">
        <f>IF('WebNLG Combined AB + TCF'!J67="x",1,0)</f>
        <v>0</v>
      </c>
    </row>
    <row r="67">
      <c r="B67" s="99">
        <f>'Original-WebNLG'!A69</f>
        <v>66</v>
      </c>
      <c r="C67" s="99">
        <f>IF('Original-WebNLG'!J69="x",1,0)</f>
        <v>0</v>
      </c>
      <c r="D67" s="99">
        <f>IF('WebNLG Combined OD + ZK'!J68="x",1,0)</f>
        <v>0</v>
      </c>
      <c r="E67" s="99">
        <f>IF('WebNLG Combined AB + TCF'!J68="x",1,0)</f>
        <v>0</v>
      </c>
    </row>
    <row r="68">
      <c r="B68" s="99">
        <f>'Original-WebNLG'!A70</f>
        <v>67</v>
      </c>
      <c r="C68" s="99">
        <f>IF('Original-WebNLG'!J70="x",1,0)</f>
        <v>0</v>
      </c>
      <c r="D68" s="99">
        <f>IF('WebNLG Combined OD + ZK'!J69="x",1,0)</f>
        <v>0</v>
      </c>
      <c r="E68" s="99">
        <f>IF('WebNLG Combined AB + TCF'!J69="x",1,0)</f>
        <v>0</v>
      </c>
    </row>
    <row r="69">
      <c r="B69" s="99">
        <f>'Original-WebNLG'!A71</f>
        <v>68</v>
      </c>
      <c r="C69" s="99">
        <f>IF('Original-WebNLG'!J71="x",1,0)</f>
        <v>0</v>
      </c>
      <c r="D69" s="99">
        <f>IF('WebNLG Combined OD + ZK'!J70="x",1,0)</f>
        <v>0</v>
      </c>
      <c r="E69" s="99">
        <f>IF('WebNLG Combined AB + TCF'!J70="x",1,0)</f>
        <v>0</v>
      </c>
    </row>
    <row r="70">
      <c r="B70" s="99">
        <f>'Original-WebNLG'!A72</f>
        <v>69</v>
      </c>
      <c r="C70" s="99">
        <f>IF('Original-WebNLG'!J72="x",1,0)</f>
        <v>0</v>
      </c>
      <c r="D70" s="99">
        <f>IF('WebNLG Combined OD + ZK'!J71="x",1,0)</f>
        <v>1</v>
      </c>
      <c r="E70" s="99">
        <f>IF('WebNLG Combined AB + TCF'!J71="x",1,0)</f>
        <v>0</v>
      </c>
    </row>
    <row r="71">
      <c r="B71" s="99">
        <f>'Original-WebNLG'!A73</f>
        <v>70</v>
      </c>
      <c r="C71" s="99">
        <f>IF('Original-WebNLG'!J73="x",1,0)</f>
        <v>0</v>
      </c>
      <c r="D71" s="99">
        <f>IF('WebNLG Combined OD + ZK'!J72="x",1,0)</f>
        <v>0</v>
      </c>
      <c r="E71" s="99">
        <f>IF('WebNLG Combined AB + TCF'!J72="x",1,0)</f>
        <v>0</v>
      </c>
    </row>
    <row r="72">
      <c r="B72" s="99">
        <f>'Original-WebNLG'!A74</f>
        <v>71</v>
      </c>
      <c r="C72" s="99">
        <f>IF('Original-WebNLG'!J74="x",1,0)</f>
        <v>0</v>
      </c>
      <c r="D72" s="99">
        <f>IF('WebNLG Combined OD + ZK'!J73="x",1,0)</f>
        <v>0</v>
      </c>
      <c r="E72" s="99">
        <f>IF('WebNLG Combined AB + TCF'!J73="x",1,0)</f>
        <v>1</v>
      </c>
    </row>
    <row r="73">
      <c r="B73" s="99">
        <f>'Original-WebNLG'!A75</f>
        <v>72</v>
      </c>
      <c r="C73" s="99">
        <f>IF('Original-WebNLG'!J75="x",1,0)</f>
        <v>0</v>
      </c>
      <c r="D73" s="99">
        <f>IF('WebNLG Combined OD + ZK'!J74="x",1,0)</f>
        <v>0</v>
      </c>
      <c r="E73" s="99">
        <f>IF('WebNLG Combined AB + TCF'!J74="x",1,0)</f>
        <v>0</v>
      </c>
    </row>
    <row r="74">
      <c r="B74" s="99">
        <f>'Original-WebNLG'!A76</f>
        <v>73</v>
      </c>
      <c r="C74" s="99">
        <f>IF('Original-WebNLG'!J76="x",1,0)</f>
        <v>0</v>
      </c>
      <c r="D74" s="99">
        <f>IF('WebNLG Combined OD + ZK'!J75="x",1,0)</f>
        <v>0</v>
      </c>
      <c r="E74" s="99">
        <f>IF('WebNLG Combined AB + TCF'!J75="x",1,0)</f>
        <v>0</v>
      </c>
    </row>
    <row r="75">
      <c r="B75" s="99">
        <f>'Original-WebNLG'!A77</f>
        <v>74</v>
      </c>
      <c r="C75" s="99">
        <f>IF('Original-WebNLG'!J77="x",1,0)</f>
        <v>0</v>
      </c>
      <c r="D75" s="99">
        <f>IF('WebNLG Combined OD + ZK'!J76="x",1,0)</f>
        <v>0</v>
      </c>
      <c r="E75" s="99">
        <f>IF('WebNLG Combined AB + TCF'!J76="x",1,0)</f>
        <v>0</v>
      </c>
    </row>
    <row r="76">
      <c r="B76" s="99">
        <f>'Original-WebNLG'!A78</f>
        <v>75</v>
      </c>
      <c r="C76" s="99">
        <f>IF('Original-WebNLG'!J78="x",1,0)</f>
        <v>0</v>
      </c>
      <c r="D76" s="99">
        <f>IF('WebNLG Combined OD + ZK'!J77="x",1,0)</f>
        <v>0</v>
      </c>
      <c r="E76" s="99">
        <f>IF('WebNLG Combined AB + TCF'!J77="x",1,0)</f>
        <v>0</v>
      </c>
    </row>
    <row r="77">
      <c r="B77" s="99">
        <f>'Original-WebNLG'!A79</f>
        <v>76</v>
      </c>
      <c r="C77" s="99">
        <f>IF('Original-WebNLG'!J79="x",1,0)</f>
        <v>0</v>
      </c>
      <c r="D77" s="99">
        <f>IF('WebNLG Combined OD + ZK'!J78="x",1,0)</f>
        <v>0</v>
      </c>
      <c r="E77" s="99">
        <f>IF('WebNLG Combined AB + TCF'!J78="x",1,0)</f>
        <v>0</v>
      </c>
    </row>
    <row r="78">
      <c r="B78" s="99">
        <f>'Original-WebNLG'!A80</f>
        <v>77</v>
      </c>
      <c r="C78" s="99">
        <f>IF('Original-WebNLG'!J80="x",1,0)</f>
        <v>1</v>
      </c>
      <c r="D78" s="99">
        <f>IF('WebNLG Combined OD + ZK'!J79="x",1,0)</f>
        <v>0</v>
      </c>
      <c r="E78" s="99">
        <f>IF('WebNLG Combined AB + TCF'!J79="x",1,0)</f>
        <v>0</v>
      </c>
    </row>
    <row r="79">
      <c r="B79" s="99">
        <f>'Original-WebNLG'!A81</f>
        <v>78</v>
      </c>
      <c r="C79" s="99">
        <f>IF('Original-WebNLG'!J81="x",1,0)</f>
        <v>1</v>
      </c>
      <c r="D79" s="99">
        <f>IF('WebNLG Combined OD + ZK'!J80="x",1,0)</f>
        <v>0</v>
      </c>
      <c r="E79" s="99">
        <f>IF('WebNLG Combined AB + TCF'!J80="x",1,0)</f>
        <v>1</v>
      </c>
    </row>
    <row r="80">
      <c r="B80" s="99">
        <f>'Original-WebNLG'!A82</f>
        <v>79</v>
      </c>
      <c r="C80" s="99">
        <f>IF('Original-WebNLG'!J82="x",1,0)</f>
        <v>0</v>
      </c>
      <c r="D80" s="99">
        <f>IF('WebNLG Combined OD + ZK'!J81="x",1,0)</f>
        <v>1</v>
      </c>
      <c r="E80" s="99">
        <f>IF('WebNLG Combined AB + TCF'!J81="x",1,0)</f>
        <v>0</v>
      </c>
    </row>
    <row r="81">
      <c r="B81" s="99">
        <f>'Original-WebNLG'!A83</f>
        <v>80</v>
      </c>
      <c r="C81" s="99">
        <f>IF('Original-WebNLG'!J83="x",1,0)</f>
        <v>0</v>
      </c>
      <c r="D81" s="99">
        <f>IF('WebNLG Combined OD + ZK'!J82="x",1,0)</f>
        <v>0</v>
      </c>
      <c r="E81" s="99">
        <f>IF('WebNLG Combined AB + TCF'!J82="x",1,0)</f>
        <v>0</v>
      </c>
    </row>
    <row r="82">
      <c r="B82" s="99">
        <f>'Original-WebNLG'!A84</f>
        <v>81</v>
      </c>
      <c r="C82" s="99">
        <f>IF('Original-WebNLG'!J84="x",1,0)</f>
        <v>0</v>
      </c>
      <c r="D82" s="99">
        <f>IF('WebNLG Combined OD + ZK'!J83="x",1,0)</f>
        <v>0</v>
      </c>
      <c r="E82" s="99">
        <f>IF('WebNLG Combined AB + TCF'!J83="x",1,0)</f>
        <v>0</v>
      </c>
    </row>
    <row r="83">
      <c r="B83" s="99">
        <f>'Original-WebNLG'!A85</f>
        <v>82</v>
      </c>
      <c r="C83" s="99">
        <f>IF('Original-WebNLG'!J85="x",1,0)</f>
        <v>1</v>
      </c>
      <c r="D83" s="99">
        <f>IF('WebNLG Combined OD + ZK'!J84="x",1,0)</f>
        <v>0</v>
      </c>
      <c r="E83" s="99">
        <f>IF('WebNLG Combined AB + TCF'!J84="x",1,0)</f>
        <v>0</v>
      </c>
    </row>
    <row r="84">
      <c r="B84" s="99">
        <f>'Original-WebNLG'!A86</f>
        <v>83</v>
      </c>
      <c r="C84" s="99">
        <f>IF('Original-WebNLG'!J86="x",1,0)</f>
        <v>0</v>
      </c>
      <c r="D84" s="99">
        <f>IF('WebNLG Combined OD + ZK'!J85="x",1,0)</f>
        <v>0</v>
      </c>
      <c r="E84" s="99">
        <f>IF('WebNLG Combined AB + TCF'!J85="x",1,0)</f>
        <v>0</v>
      </c>
    </row>
    <row r="85">
      <c r="B85" s="99">
        <f>'Original-WebNLG'!A87</f>
        <v>84</v>
      </c>
      <c r="C85" s="99">
        <f>IF('Original-WebNLG'!J87="x",1,0)</f>
        <v>0</v>
      </c>
      <c r="D85" s="99">
        <f>IF('WebNLG Combined OD + ZK'!J86="x",1,0)</f>
        <v>0</v>
      </c>
      <c r="E85" s="99">
        <f>IF('WebNLG Combined AB + TCF'!J86="x",1,0)</f>
        <v>0</v>
      </c>
    </row>
    <row r="86">
      <c r="B86" s="99">
        <f>'Original-WebNLG'!A88</f>
        <v>85</v>
      </c>
      <c r="C86" s="99">
        <f>IF('Original-WebNLG'!J88="x",1,0)</f>
        <v>0</v>
      </c>
      <c r="D86" s="99">
        <f>IF('WebNLG Combined OD + ZK'!J87="x",1,0)</f>
        <v>0</v>
      </c>
      <c r="E86" s="99">
        <f>IF('WebNLG Combined AB + TCF'!J87="x",1,0)</f>
        <v>0</v>
      </c>
    </row>
    <row r="87">
      <c r="B87" s="99">
        <f>'Original-WebNLG'!A89</f>
        <v>86</v>
      </c>
      <c r="C87" s="99">
        <f>IF('Original-WebNLG'!J89="x",1,0)</f>
        <v>0</v>
      </c>
      <c r="D87" s="99">
        <f>IF('WebNLG Combined OD + ZK'!J88="x",1,0)</f>
        <v>0</v>
      </c>
      <c r="E87" s="99">
        <f>IF('WebNLG Combined AB + TCF'!J88="x",1,0)</f>
        <v>0</v>
      </c>
    </row>
    <row r="88">
      <c r="B88" s="99">
        <f>'Original-WebNLG'!A90</f>
        <v>87</v>
      </c>
      <c r="C88" s="99">
        <f>IF('Original-WebNLG'!J90="x",1,0)</f>
        <v>1</v>
      </c>
      <c r="D88" s="99">
        <f>IF('WebNLG Combined OD + ZK'!J89="x",1,0)</f>
        <v>0</v>
      </c>
      <c r="E88" s="99">
        <f>IF('WebNLG Combined AB + TCF'!J89="x",1,0)</f>
        <v>0</v>
      </c>
    </row>
    <row r="89">
      <c r="B89" s="99">
        <f>'Original-WebNLG'!A91</f>
        <v>88</v>
      </c>
      <c r="C89" s="99">
        <f>IF('Original-WebNLG'!J91="x",1,0)</f>
        <v>0</v>
      </c>
      <c r="D89" s="99">
        <f>IF('WebNLG Combined OD + ZK'!J90="x",1,0)</f>
        <v>0</v>
      </c>
      <c r="E89" s="99">
        <f>IF('WebNLG Combined AB + TCF'!J90="x",1,0)</f>
        <v>0</v>
      </c>
    </row>
    <row r="90">
      <c r="B90" s="99">
        <f>'Original-WebNLG'!A92</f>
        <v>89</v>
      </c>
      <c r="C90" s="99">
        <f>IF('Original-WebNLG'!J92="x",1,0)</f>
        <v>1</v>
      </c>
      <c r="D90" s="99">
        <f>IF('WebNLG Combined OD + ZK'!J91="x",1,0)</f>
        <v>0</v>
      </c>
      <c r="E90" s="99">
        <f>IF('WebNLG Combined AB + TCF'!J91="x",1,0)</f>
        <v>0</v>
      </c>
    </row>
    <row r="91">
      <c r="B91" s="99">
        <f>'Original-WebNLG'!A93</f>
        <v>90</v>
      </c>
      <c r="C91" s="99">
        <f>IF('Original-WebNLG'!J93="x",1,0)</f>
        <v>0</v>
      </c>
      <c r="D91" s="99">
        <f>IF('WebNLG Combined OD + ZK'!J92="x",1,0)</f>
        <v>0</v>
      </c>
      <c r="E91" s="99">
        <f>IF('WebNLG Combined AB + TCF'!J92="x",1,0)</f>
        <v>0</v>
      </c>
    </row>
    <row r="92">
      <c r="B92" s="99">
        <f>'Original-WebNLG'!A94</f>
        <v>91</v>
      </c>
      <c r="C92" s="99">
        <f>IF('Original-WebNLG'!J94="x",1,0)</f>
        <v>1</v>
      </c>
      <c r="D92" s="99">
        <f>IF('WebNLG Combined OD + ZK'!J93="x",1,0)</f>
        <v>1</v>
      </c>
      <c r="E92" s="99">
        <f>IF('WebNLG Combined AB + TCF'!J93="x",1,0)</f>
        <v>0</v>
      </c>
    </row>
    <row r="93">
      <c r="B93" s="99">
        <f>'Original-WebNLG'!A95</f>
        <v>92</v>
      </c>
      <c r="C93" s="99">
        <f>IF('Original-WebNLG'!J95="x",1,0)</f>
        <v>0</v>
      </c>
      <c r="D93" s="99">
        <f>IF('WebNLG Combined OD + ZK'!J94="x",1,0)</f>
        <v>0</v>
      </c>
      <c r="E93" s="99">
        <f>IF('WebNLG Combined AB + TCF'!J94="x",1,0)</f>
        <v>0</v>
      </c>
    </row>
    <row r="94">
      <c r="B94" s="99">
        <f>'Original-WebNLG'!A96</f>
        <v>93</v>
      </c>
      <c r="C94" s="99">
        <f>IF('Original-WebNLG'!J96="x",1,0)</f>
        <v>0</v>
      </c>
      <c r="D94" s="99">
        <f>IF('WebNLG Combined OD + ZK'!J95="x",1,0)</f>
        <v>0</v>
      </c>
      <c r="E94" s="99">
        <f>IF('WebNLG Combined AB + TCF'!J95="x",1,0)</f>
        <v>0</v>
      </c>
    </row>
    <row r="95">
      <c r="B95" s="99">
        <f>'Original-WebNLG'!A97</f>
        <v>94</v>
      </c>
      <c r="C95" s="99">
        <f>IF('Original-WebNLG'!J97="x",1,0)</f>
        <v>0</v>
      </c>
      <c r="D95" s="99">
        <f>IF('WebNLG Combined OD + ZK'!J96="x",1,0)</f>
        <v>0</v>
      </c>
      <c r="E95" s="99">
        <f>IF('WebNLG Combined AB + TCF'!J96="x",1,0)</f>
        <v>0</v>
      </c>
    </row>
    <row r="96">
      <c r="B96" s="99">
        <f>'Original-WebNLG'!A98</f>
        <v>95</v>
      </c>
      <c r="C96" s="99">
        <f>IF('Original-WebNLG'!J98="x",1,0)</f>
        <v>1</v>
      </c>
      <c r="D96" s="99">
        <f>IF('WebNLG Combined OD + ZK'!J97="x",1,0)</f>
        <v>1</v>
      </c>
      <c r="E96" s="99">
        <f>IF('WebNLG Combined AB + TCF'!J97="x",1,0)</f>
        <v>0</v>
      </c>
    </row>
    <row r="97">
      <c r="B97" s="99">
        <f>'Original-WebNLG'!A99</f>
        <v>96</v>
      </c>
      <c r="C97" s="99">
        <f>IF('Original-WebNLG'!J99="x",1,0)</f>
        <v>0</v>
      </c>
      <c r="D97" s="99">
        <f>IF('WebNLG Combined OD + ZK'!J98="x",1,0)</f>
        <v>0</v>
      </c>
      <c r="E97" s="99">
        <f>IF('WebNLG Combined AB + TCF'!J98="x",1,0)</f>
        <v>0</v>
      </c>
    </row>
    <row r="98">
      <c r="B98" s="99">
        <f>'Original-WebNLG'!A100</f>
        <v>97</v>
      </c>
      <c r="C98" s="99">
        <f>IF('Original-WebNLG'!J100="x",1,0)</f>
        <v>0</v>
      </c>
      <c r="D98" s="99">
        <f>IF('WebNLG Combined OD + ZK'!J99="x",1,0)</f>
        <v>0</v>
      </c>
      <c r="E98" s="99">
        <f>IF('WebNLG Combined AB + TCF'!J99="x",1,0)</f>
        <v>0</v>
      </c>
    </row>
    <row r="99">
      <c r="B99" s="99">
        <f>'Original-WebNLG'!A101</f>
        <v>98</v>
      </c>
      <c r="C99" s="99">
        <f>IF('Original-WebNLG'!J101="x",1,0)</f>
        <v>0</v>
      </c>
      <c r="D99" s="99">
        <f>IF('WebNLG Combined OD + ZK'!J100="x",1,0)</f>
        <v>0</v>
      </c>
      <c r="E99" s="99">
        <f>IF('WebNLG Combined AB + TCF'!J100="x",1,0)</f>
        <v>0</v>
      </c>
    </row>
    <row r="100">
      <c r="B100" s="99">
        <f>'Original-WebNLG'!A102</f>
        <v>99</v>
      </c>
      <c r="C100" s="99">
        <f>IF('Original-WebNLG'!J102="x",1,0)</f>
        <v>0</v>
      </c>
      <c r="D100" s="99">
        <f>IF('WebNLG Combined OD + ZK'!J101="x",1,0)</f>
        <v>0</v>
      </c>
      <c r="E100" s="99">
        <f>IF('WebNLG Combined AB + TCF'!J101="x",1,0)</f>
        <v>0</v>
      </c>
    </row>
    <row r="101">
      <c r="B101" s="99">
        <f>'Original-WebNLG'!A103</f>
        <v>100</v>
      </c>
      <c r="C101" s="99">
        <f>IF('Original-WebNLG'!J103="x",1,0)</f>
        <v>0</v>
      </c>
      <c r="D101" s="99">
        <f>IF('WebNLG Combined OD + ZK'!J102="x",1,0)</f>
        <v>1</v>
      </c>
      <c r="E101" s="99">
        <f>IF('WebNLG Combined AB + TCF'!J102="x",1,0)</f>
        <v>0</v>
      </c>
    </row>
    <row r="102">
      <c r="A102" s="98" t="s">
        <v>1043</v>
      </c>
      <c r="B102" s="160">
        <f>'Original-WebNLG'!A4</f>
        <v>1</v>
      </c>
      <c r="C102" s="144">
        <f>IF('Original-WebNLG'!K4="x",2,0)</f>
        <v>0</v>
      </c>
      <c r="D102" s="144">
        <f>IF('WebNLG Combined OD + ZK'!K3="x",2,0)</f>
        <v>0</v>
      </c>
      <c r="E102" s="144">
        <f>IF('WebNLG Combined AB + TCF'!K3="x",2,0)</f>
        <v>0</v>
      </c>
    </row>
    <row r="103">
      <c r="B103" s="160">
        <f>'Original-WebNLG'!A5</f>
        <v>2</v>
      </c>
      <c r="C103" s="144">
        <f>IF('Original-WebNLG'!K5="x",2,0)</f>
        <v>0</v>
      </c>
      <c r="D103" s="144">
        <f>IF('WebNLG Combined OD + ZK'!K4="x",2,0)</f>
        <v>0</v>
      </c>
      <c r="E103" s="144">
        <f>IF('WebNLG Combined AB + TCF'!K4="x",2,0)</f>
        <v>0</v>
      </c>
    </row>
    <row r="104">
      <c r="B104" s="160">
        <f>'Original-WebNLG'!A6</f>
        <v>3</v>
      </c>
      <c r="C104" s="144">
        <f>IF('Original-WebNLG'!K6="x",2,0)</f>
        <v>0</v>
      </c>
      <c r="D104" s="144">
        <f>IF('WebNLG Combined OD + ZK'!K5="x",2,0)</f>
        <v>0</v>
      </c>
      <c r="E104" s="144">
        <f>IF('WebNLG Combined AB + TCF'!K5="x",2,0)</f>
        <v>0</v>
      </c>
    </row>
    <row r="105">
      <c r="B105" s="160">
        <f>'Original-WebNLG'!A7</f>
        <v>4</v>
      </c>
      <c r="C105" s="144">
        <f>IF('Original-WebNLG'!K7="x",2,0)</f>
        <v>0</v>
      </c>
      <c r="D105" s="144">
        <f>IF('WebNLG Combined OD + ZK'!K6="x",2,0)</f>
        <v>0</v>
      </c>
      <c r="E105" s="144">
        <f>IF('WebNLG Combined AB + TCF'!K6="x",2,0)</f>
        <v>0</v>
      </c>
    </row>
    <row r="106">
      <c r="B106" s="160">
        <f>'Original-WebNLG'!A8</f>
        <v>5</v>
      </c>
      <c r="C106" s="144">
        <f>IF('Original-WebNLG'!K8="x",2,0)</f>
        <v>0</v>
      </c>
      <c r="D106" s="144">
        <f>IF('WebNLG Combined OD + ZK'!K7="x",2,0)</f>
        <v>0</v>
      </c>
      <c r="E106" s="144">
        <f>IF('WebNLG Combined AB + TCF'!K7="x",2,0)</f>
        <v>0</v>
      </c>
    </row>
    <row r="107">
      <c r="B107" s="160">
        <f>'Original-WebNLG'!A9</f>
        <v>6</v>
      </c>
      <c r="C107" s="144">
        <f>IF('Original-WebNLG'!K9="x",2,0)</f>
        <v>0</v>
      </c>
      <c r="D107" s="144">
        <f>IF('WebNLG Combined OD + ZK'!K8="x",2,0)</f>
        <v>0</v>
      </c>
      <c r="E107" s="144">
        <f>IF('WebNLG Combined AB + TCF'!K8="x",2,0)</f>
        <v>0</v>
      </c>
    </row>
    <row r="108">
      <c r="B108" s="160">
        <f>'Original-WebNLG'!A10</f>
        <v>7</v>
      </c>
      <c r="C108" s="144">
        <f>IF('Original-WebNLG'!K10="x",2,0)</f>
        <v>0</v>
      </c>
      <c r="D108" s="144">
        <f>IF('WebNLG Combined OD + ZK'!K9="x",2,0)</f>
        <v>0</v>
      </c>
      <c r="E108" s="144">
        <f>IF('WebNLG Combined AB + TCF'!K9="x",2,0)</f>
        <v>0</v>
      </c>
    </row>
    <row r="109">
      <c r="B109" s="160">
        <f>'Original-WebNLG'!A11</f>
        <v>8</v>
      </c>
      <c r="C109" s="144">
        <f>IF('Original-WebNLG'!K11="x",2,0)</f>
        <v>0</v>
      </c>
      <c r="D109" s="144">
        <f>IF('WebNLG Combined OD + ZK'!K10="x",2,0)</f>
        <v>0</v>
      </c>
      <c r="E109" s="144">
        <f>IF('WebNLG Combined AB + TCF'!K10="x",2,0)</f>
        <v>0</v>
      </c>
    </row>
    <row r="110">
      <c r="B110" s="160">
        <f>'Original-WebNLG'!A12</f>
        <v>9</v>
      </c>
      <c r="C110" s="144">
        <f>IF('Original-WebNLG'!K12="x",2,0)</f>
        <v>0</v>
      </c>
      <c r="D110" s="144">
        <f>IF('WebNLG Combined OD + ZK'!K11="x",2,0)</f>
        <v>0</v>
      </c>
      <c r="E110" s="144">
        <f>IF('WebNLG Combined AB + TCF'!K11="x",2,0)</f>
        <v>0</v>
      </c>
    </row>
    <row r="111">
      <c r="B111" s="160">
        <f>'Original-WebNLG'!A13</f>
        <v>10</v>
      </c>
      <c r="C111" s="144">
        <f>IF('Original-WebNLG'!K13="x",2,0)</f>
        <v>0</v>
      </c>
      <c r="D111" s="144">
        <f>IF('WebNLG Combined OD + ZK'!K12="x",2,0)</f>
        <v>0</v>
      </c>
      <c r="E111" s="144">
        <f>IF('WebNLG Combined AB + TCF'!K12="x",2,0)</f>
        <v>0</v>
      </c>
    </row>
    <row r="112">
      <c r="B112" s="160">
        <f>'Original-WebNLG'!A14</f>
        <v>11</v>
      </c>
      <c r="C112" s="144">
        <f>IF('Original-WebNLG'!K14="x",2,0)</f>
        <v>0</v>
      </c>
      <c r="D112" s="144">
        <f>IF('WebNLG Combined OD + ZK'!K13="x",2,0)</f>
        <v>0</v>
      </c>
      <c r="E112" s="144">
        <f>IF('WebNLG Combined AB + TCF'!K13="x",2,0)</f>
        <v>0</v>
      </c>
    </row>
    <row r="113">
      <c r="B113" s="160">
        <f>'Original-WebNLG'!A15</f>
        <v>12</v>
      </c>
      <c r="C113" s="144">
        <f>IF('Original-WebNLG'!K15="x",2,0)</f>
        <v>0</v>
      </c>
      <c r="D113" s="144">
        <f>IF('WebNLG Combined OD + ZK'!K14="x",2,0)</f>
        <v>0</v>
      </c>
      <c r="E113" s="144">
        <f>IF('WebNLG Combined AB + TCF'!K14="x",2,0)</f>
        <v>0</v>
      </c>
    </row>
    <row r="114">
      <c r="B114" s="160">
        <f>'Original-WebNLG'!A16</f>
        <v>13</v>
      </c>
      <c r="C114" s="144">
        <f>IF('Original-WebNLG'!K16="x",2,0)</f>
        <v>0</v>
      </c>
      <c r="D114" s="144">
        <f>IF('WebNLG Combined OD + ZK'!K15="x",2,0)</f>
        <v>0</v>
      </c>
      <c r="E114" s="144">
        <f>IF('WebNLG Combined AB + TCF'!K15="x",2,0)</f>
        <v>0</v>
      </c>
    </row>
    <row r="115">
      <c r="B115" s="160">
        <f>'Original-WebNLG'!A17</f>
        <v>14</v>
      </c>
      <c r="C115" s="144">
        <f>IF('Original-WebNLG'!K17="x",2,0)</f>
        <v>0</v>
      </c>
      <c r="D115" s="144">
        <f>IF('WebNLG Combined OD + ZK'!K16="x",2,0)</f>
        <v>0</v>
      </c>
      <c r="E115" s="144">
        <f>IF('WebNLG Combined AB + TCF'!K16="x",2,0)</f>
        <v>0</v>
      </c>
    </row>
    <row r="116">
      <c r="B116" s="160">
        <f>'Original-WebNLG'!A18</f>
        <v>15</v>
      </c>
      <c r="C116" s="144">
        <f>IF('Original-WebNLG'!K18="x",2,0)</f>
        <v>0</v>
      </c>
      <c r="D116" s="144">
        <f>IF('WebNLG Combined OD + ZK'!K17="x",2,0)</f>
        <v>0</v>
      </c>
      <c r="E116" s="144">
        <f>IF('WebNLG Combined AB + TCF'!K17="x",2,0)</f>
        <v>0</v>
      </c>
    </row>
    <row r="117">
      <c r="B117" s="160">
        <f>'Original-WebNLG'!A19</f>
        <v>16</v>
      </c>
      <c r="C117" s="144">
        <f>IF('Original-WebNLG'!K19="x",2,0)</f>
        <v>0</v>
      </c>
      <c r="D117" s="144">
        <f>IF('WebNLG Combined OD + ZK'!K18="x",2,0)</f>
        <v>0</v>
      </c>
      <c r="E117" s="144">
        <f>IF('WebNLG Combined AB + TCF'!K18="x",2,0)</f>
        <v>0</v>
      </c>
    </row>
    <row r="118">
      <c r="B118" s="160">
        <f>'Original-WebNLG'!A20</f>
        <v>17</v>
      </c>
      <c r="C118" s="144">
        <f>IF('Original-WebNLG'!K20="x",2,0)</f>
        <v>0</v>
      </c>
      <c r="D118" s="144">
        <f>IF('WebNLG Combined OD + ZK'!K19="x",2,0)</f>
        <v>0</v>
      </c>
      <c r="E118" s="144">
        <f>IF('WebNLG Combined AB + TCF'!K19="x",2,0)</f>
        <v>0</v>
      </c>
    </row>
    <row r="119">
      <c r="B119" s="160">
        <f>'Original-WebNLG'!A21</f>
        <v>18</v>
      </c>
      <c r="C119" s="144">
        <f>IF('Original-WebNLG'!K21="x",2,0)</f>
        <v>2</v>
      </c>
      <c r="D119" s="144">
        <f>IF('WebNLG Combined OD + ZK'!K20="x",2,0)</f>
        <v>0</v>
      </c>
      <c r="E119" s="144">
        <f>IF('WebNLG Combined AB + TCF'!K20="x",2,0)</f>
        <v>0</v>
      </c>
    </row>
    <row r="120">
      <c r="B120" s="160">
        <f>'Original-WebNLG'!A22</f>
        <v>19</v>
      </c>
      <c r="C120" s="144">
        <f>IF('Original-WebNLG'!K22="x",2,0)</f>
        <v>0</v>
      </c>
      <c r="D120" s="144">
        <f>IF('WebNLG Combined OD + ZK'!K21="x",2,0)</f>
        <v>0</v>
      </c>
      <c r="E120" s="144">
        <f>IF('WebNLG Combined AB + TCF'!K21="x",2,0)</f>
        <v>2</v>
      </c>
    </row>
    <row r="121">
      <c r="B121" s="160">
        <f>'Original-WebNLG'!A23</f>
        <v>20</v>
      </c>
      <c r="C121" s="144">
        <f>IF('Original-WebNLG'!K23="x",2,0)</f>
        <v>0</v>
      </c>
      <c r="D121" s="144">
        <f>IF('WebNLG Combined OD + ZK'!K22="x",2,0)</f>
        <v>0</v>
      </c>
      <c r="E121" s="144">
        <f>IF('WebNLG Combined AB + TCF'!K22="x",2,0)</f>
        <v>0</v>
      </c>
    </row>
    <row r="122">
      <c r="B122" s="160">
        <f>'Original-WebNLG'!A24</f>
        <v>21</v>
      </c>
      <c r="C122" s="144">
        <f>IF('Original-WebNLG'!K24="x",2,0)</f>
        <v>2</v>
      </c>
      <c r="D122" s="144">
        <f>IF('WebNLG Combined OD + ZK'!K23="x",2,0)</f>
        <v>0</v>
      </c>
      <c r="E122" s="144">
        <f>IF('WebNLG Combined AB + TCF'!K23="x",2,0)</f>
        <v>2</v>
      </c>
    </row>
    <row r="123">
      <c r="B123" s="160">
        <f>'Original-WebNLG'!A25</f>
        <v>22</v>
      </c>
      <c r="C123" s="144">
        <f>IF('Original-WebNLG'!K25="x",2,0)</f>
        <v>0</v>
      </c>
      <c r="D123" s="144">
        <f>IF('WebNLG Combined OD + ZK'!K24="x",2,0)</f>
        <v>0</v>
      </c>
      <c r="E123" s="144">
        <f>IF('WebNLG Combined AB + TCF'!K24="x",2,0)</f>
        <v>0</v>
      </c>
    </row>
    <row r="124">
      <c r="B124" s="160">
        <f>'Original-WebNLG'!A26</f>
        <v>23</v>
      </c>
      <c r="C124" s="144">
        <f>IF('Original-WebNLG'!K26="x",2,0)</f>
        <v>0</v>
      </c>
      <c r="D124" s="144">
        <f>IF('WebNLG Combined OD + ZK'!K25="x",2,0)</f>
        <v>0</v>
      </c>
      <c r="E124" s="144">
        <f>IF('WebNLG Combined AB + TCF'!K25="x",2,0)</f>
        <v>0</v>
      </c>
    </row>
    <row r="125">
      <c r="B125" s="160">
        <f>'Original-WebNLG'!A27</f>
        <v>24</v>
      </c>
      <c r="C125" s="144">
        <f>IF('Original-WebNLG'!K27="x",2,0)</f>
        <v>0</v>
      </c>
      <c r="D125" s="144">
        <f>IF('WebNLG Combined OD + ZK'!K26="x",2,0)</f>
        <v>0</v>
      </c>
      <c r="E125" s="144">
        <f>IF('WebNLG Combined AB + TCF'!K26="x",2,0)</f>
        <v>0</v>
      </c>
    </row>
    <row r="126">
      <c r="B126" s="160">
        <f>'Original-WebNLG'!A28</f>
        <v>25</v>
      </c>
      <c r="C126" s="144">
        <f>IF('Original-WebNLG'!K28="x",2,0)</f>
        <v>0</v>
      </c>
      <c r="D126" s="144">
        <f>IF('WebNLG Combined OD + ZK'!K27="x",2,0)</f>
        <v>0</v>
      </c>
      <c r="E126" s="144">
        <f>IF('WebNLG Combined AB + TCF'!K27="x",2,0)</f>
        <v>0</v>
      </c>
    </row>
    <row r="127">
      <c r="B127" s="160">
        <f>'Original-WebNLG'!A29</f>
        <v>26</v>
      </c>
      <c r="C127" s="144">
        <f>IF('Original-WebNLG'!K29="x",2,0)</f>
        <v>0</v>
      </c>
      <c r="D127" s="144">
        <f>IF('WebNLG Combined OD + ZK'!K28="x",2,0)</f>
        <v>0</v>
      </c>
      <c r="E127" s="144">
        <f>IF('WebNLG Combined AB + TCF'!K28="x",2,0)</f>
        <v>0</v>
      </c>
    </row>
    <row r="128">
      <c r="B128" s="160">
        <f>'Original-WebNLG'!A30</f>
        <v>27</v>
      </c>
      <c r="C128" s="144">
        <f>IF('Original-WebNLG'!K30="x",2,0)</f>
        <v>0</v>
      </c>
      <c r="D128" s="144">
        <f>IF('WebNLG Combined OD + ZK'!K29="x",2,0)</f>
        <v>0</v>
      </c>
      <c r="E128" s="144">
        <f>IF('WebNLG Combined AB + TCF'!K29="x",2,0)</f>
        <v>0</v>
      </c>
    </row>
    <row r="129">
      <c r="B129" s="160">
        <f>'Original-WebNLG'!A31</f>
        <v>28</v>
      </c>
      <c r="C129" s="144">
        <f>IF('Original-WebNLG'!K31="x",2,0)</f>
        <v>0</v>
      </c>
      <c r="D129" s="144">
        <f>IF('WebNLG Combined OD + ZK'!K30="x",2,0)</f>
        <v>0</v>
      </c>
      <c r="E129" s="144">
        <f>IF('WebNLG Combined AB + TCF'!K30="x",2,0)</f>
        <v>0</v>
      </c>
    </row>
    <row r="130">
      <c r="B130" s="160">
        <f>'Original-WebNLG'!A32</f>
        <v>29</v>
      </c>
      <c r="C130" s="144">
        <f>IF('Original-WebNLG'!K32="x",2,0)</f>
        <v>0</v>
      </c>
      <c r="D130" s="144">
        <f>IF('WebNLG Combined OD + ZK'!K31="x",2,0)</f>
        <v>0</v>
      </c>
      <c r="E130" s="144">
        <f>IF('WebNLG Combined AB + TCF'!K31="x",2,0)</f>
        <v>0</v>
      </c>
    </row>
    <row r="131">
      <c r="B131" s="160">
        <f>'Original-WebNLG'!A33</f>
        <v>30</v>
      </c>
      <c r="C131" s="144">
        <f>IF('Original-WebNLG'!K33="x",2,0)</f>
        <v>0</v>
      </c>
      <c r="D131" s="144">
        <f>IF('WebNLG Combined OD + ZK'!K32="x",2,0)</f>
        <v>0</v>
      </c>
      <c r="E131" s="144">
        <f>IF('WebNLG Combined AB + TCF'!K32="x",2,0)</f>
        <v>0</v>
      </c>
    </row>
    <row r="132">
      <c r="B132" s="160">
        <f>'Original-WebNLG'!A34</f>
        <v>31</v>
      </c>
      <c r="C132" s="144">
        <f>IF('Original-WebNLG'!K34="x",2,0)</f>
        <v>0</v>
      </c>
      <c r="D132" s="144">
        <f>IF('WebNLG Combined OD + ZK'!K33="x",2,0)</f>
        <v>0</v>
      </c>
      <c r="E132" s="144">
        <f>IF('WebNLG Combined AB + TCF'!K33="x",2,0)</f>
        <v>0</v>
      </c>
    </row>
    <row r="133">
      <c r="B133" s="160">
        <f>'Original-WebNLG'!A35</f>
        <v>32</v>
      </c>
      <c r="C133" s="144">
        <f>IF('Original-WebNLG'!K35="x",2,0)</f>
        <v>0</v>
      </c>
      <c r="D133" s="144">
        <f>IF('WebNLG Combined OD + ZK'!K34="x",2,0)</f>
        <v>0</v>
      </c>
      <c r="E133" s="144">
        <f>IF('WebNLG Combined AB + TCF'!K34="x",2,0)</f>
        <v>0</v>
      </c>
    </row>
    <row r="134">
      <c r="B134" s="160">
        <f>'Original-WebNLG'!A36</f>
        <v>33</v>
      </c>
      <c r="C134" s="144">
        <f>IF('Original-WebNLG'!K36="x",2,0)</f>
        <v>0</v>
      </c>
      <c r="D134" s="144">
        <f>IF('WebNLG Combined OD + ZK'!K35="x",2,0)</f>
        <v>0</v>
      </c>
      <c r="E134" s="144">
        <f>IF('WebNLG Combined AB + TCF'!K35="x",2,0)</f>
        <v>2</v>
      </c>
    </row>
    <row r="135">
      <c r="B135" s="160">
        <f>'Original-WebNLG'!A37</f>
        <v>34</v>
      </c>
      <c r="C135" s="144">
        <f>IF('Original-WebNLG'!K37="x",2,0)</f>
        <v>0</v>
      </c>
      <c r="D135" s="144">
        <f>IF('WebNLG Combined OD + ZK'!K36="x",2,0)</f>
        <v>0</v>
      </c>
      <c r="E135" s="144">
        <f>IF('WebNLG Combined AB + TCF'!K36="x",2,0)</f>
        <v>2</v>
      </c>
    </row>
    <row r="136">
      <c r="B136" s="160">
        <f>'Original-WebNLG'!A38</f>
        <v>35</v>
      </c>
      <c r="C136" s="144">
        <f>IF('Original-WebNLG'!K38="x",2,0)</f>
        <v>0</v>
      </c>
      <c r="D136" s="144">
        <f>IF('WebNLG Combined OD + ZK'!K37="x",2,0)</f>
        <v>0</v>
      </c>
      <c r="E136" s="144">
        <f>IF('WebNLG Combined AB + TCF'!K37="x",2,0)</f>
        <v>0</v>
      </c>
    </row>
    <row r="137">
      <c r="B137" s="160">
        <f>'Original-WebNLG'!A39</f>
        <v>36</v>
      </c>
      <c r="C137" s="144">
        <f>IF('Original-WebNLG'!K39="x",2,0)</f>
        <v>0</v>
      </c>
      <c r="D137" s="144">
        <f>IF('WebNLG Combined OD + ZK'!K38="x",2,0)</f>
        <v>0</v>
      </c>
      <c r="E137" s="144">
        <f>IF('WebNLG Combined AB + TCF'!K38="x",2,0)</f>
        <v>2</v>
      </c>
    </row>
    <row r="138">
      <c r="B138" s="160">
        <f>'Original-WebNLG'!A40</f>
        <v>37</v>
      </c>
      <c r="C138" s="144">
        <f>IF('Original-WebNLG'!K40="x",2,0)</f>
        <v>0</v>
      </c>
      <c r="D138" s="144">
        <f>IF('WebNLG Combined OD + ZK'!K39="x",2,0)</f>
        <v>0</v>
      </c>
      <c r="E138" s="144">
        <f>IF('WebNLG Combined AB + TCF'!K39="x",2,0)</f>
        <v>2</v>
      </c>
    </row>
    <row r="139">
      <c r="B139" s="160">
        <f>'Original-WebNLG'!A41</f>
        <v>38</v>
      </c>
      <c r="C139" s="144">
        <f>IF('Original-WebNLG'!K41="x",2,0)</f>
        <v>0</v>
      </c>
      <c r="D139" s="144">
        <f>IF('WebNLG Combined OD + ZK'!K40="x",2,0)</f>
        <v>0</v>
      </c>
      <c r="E139" s="144">
        <f>IF('WebNLG Combined AB + TCF'!K40="x",2,0)</f>
        <v>2</v>
      </c>
    </row>
    <row r="140">
      <c r="B140" s="160">
        <f>'Original-WebNLG'!A42</f>
        <v>39</v>
      </c>
      <c r="C140" s="144">
        <f>IF('Original-WebNLG'!K42="x",2,0)</f>
        <v>0</v>
      </c>
      <c r="D140" s="144">
        <f>IF('WebNLG Combined OD + ZK'!K41="x",2,0)</f>
        <v>0</v>
      </c>
      <c r="E140" s="144">
        <f>IF('WebNLG Combined AB + TCF'!K41="x",2,0)</f>
        <v>0</v>
      </c>
    </row>
    <row r="141">
      <c r="B141" s="160">
        <f>'Original-WebNLG'!A43</f>
        <v>40</v>
      </c>
      <c r="C141" s="144">
        <f>IF('Original-WebNLG'!K43="x",2,0)</f>
        <v>2</v>
      </c>
      <c r="D141" s="144">
        <f>IF('WebNLG Combined OD + ZK'!K42="x",2,0)</f>
        <v>0</v>
      </c>
      <c r="E141" s="144">
        <f>IF('WebNLG Combined AB + TCF'!K42="x",2,0)</f>
        <v>0</v>
      </c>
    </row>
    <row r="142">
      <c r="B142" s="160">
        <f>'Original-WebNLG'!A44</f>
        <v>41</v>
      </c>
      <c r="C142" s="144">
        <f>IF('Original-WebNLG'!K44="x",2,0)</f>
        <v>0</v>
      </c>
      <c r="D142" s="144">
        <f>IF('WebNLG Combined OD + ZK'!K43="x",2,0)</f>
        <v>0</v>
      </c>
      <c r="E142" s="144">
        <f>IF('WebNLG Combined AB + TCF'!K43="x",2,0)</f>
        <v>0</v>
      </c>
    </row>
    <row r="143">
      <c r="B143" s="160">
        <f>'Original-WebNLG'!A45</f>
        <v>42</v>
      </c>
      <c r="C143" s="144">
        <f>IF('Original-WebNLG'!K45="x",2,0)</f>
        <v>0</v>
      </c>
      <c r="D143" s="144">
        <f>IF('WebNLG Combined OD + ZK'!K44="x",2,0)</f>
        <v>0</v>
      </c>
      <c r="E143" s="144">
        <f>IF('WebNLG Combined AB + TCF'!K44="x",2,0)</f>
        <v>0</v>
      </c>
    </row>
    <row r="144">
      <c r="B144" s="160">
        <f>'Original-WebNLG'!A46</f>
        <v>43</v>
      </c>
      <c r="C144" s="144">
        <f>IF('Original-WebNLG'!K46="x",2,0)</f>
        <v>0</v>
      </c>
      <c r="D144" s="144">
        <f>IF('WebNLG Combined OD + ZK'!K45="x",2,0)</f>
        <v>0</v>
      </c>
      <c r="E144" s="144">
        <f>IF('WebNLG Combined AB + TCF'!K45="x",2,0)</f>
        <v>0</v>
      </c>
    </row>
    <row r="145">
      <c r="B145" s="160">
        <f>'Original-WebNLG'!A47</f>
        <v>44</v>
      </c>
      <c r="C145" s="144">
        <f>IF('Original-WebNLG'!K47="x",2,0)</f>
        <v>0</v>
      </c>
      <c r="D145" s="144">
        <f>IF('WebNLG Combined OD + ZK'!K46="x",2,0)</f>
        <v>0</v>
      </c>
      <c r="E145" s="144">
        <f>IF('WebNLG Combined AB + TCF'!K46="x",2,0)</f>
        <v>0</v>
      </c>
    </row>
    <row r="146">
      <c r="B146" s="160">
        <f>'Original-WebNLG'!A48</f>
        <v>45</v>
      </c>
      <c r="C146" s="144">
        <f>IF('Original-WebNLG'!K48="x",2,0)</f>
        <v>0</v>
      </c>
      <c r="D146" s="144">
        <f>IF('WebNLG Combined OD + ZK'!K47="x",2,0)</f>
        <v>0</v>
      </c>
      <c r="E146" s="144">
        <f>IF('WebNLG Combined AB + TCF'!K47="x",2,0)</f>
        <v>0</v>
      </c>
    </row>
    <row r="147">
      <c r="B147" s="160">
        <f>'Original-WebNLG'!A49</f>
        <v>46</v>
      </c>
      <c r="C147" s="144">
        <f>IF('Original-WebNLG'!K49="x",2,0)</f>
        <v>0</v>
      </c>
      <c r="D147" s="144">
        <f>IF('WebNLG Combined OD + ZK'!K48="x",2,0)</f>
        <v>0</v>
      </c>
      <c r="E147" s="144">
        <f>IF('WebNLG Combined AB + TCF'!K48="x",2,0)</f>
        <v>0</v>
      </c>
    </row>
    <row r="148">
      <c r="B148" s="160">
        <f>'Original-WebNLG'!A50</f>
        <v>47</v>
      </c>
      <c r="C148" s="144">
        <f>IF('Original-WebNLG'!K50="x",2,0)</f>
        <v>0</v>
      </c>
      <c r="D148" s="144">
        <f>IF('WebNLG Combined OD + ZK'!K49="x",2,0)</f>
        <v>0</v>
      </c>
      <c r="E148" s="144">
        <f>IF('WebNLG Combined AB + TCF'!K49="x",2,0)</f>
        <v>0</v>
      </c>
    </row>
    <row r="149">
      <c r="B149" s="160">
        <f>'Original-WebNLG'!A51</f>
        <v>48</v>
      </c>
      <c r="C149" s="144">
        <f>IF('Original-WebNLG'!K51="x",2,0)</f>
        <v>0</v>
      </c>
      <c r="D149" s="144">
        <f>IF('WebNLG Combined OD + ZK'!K50="x",2,0)</f>
        <v>0</v>
      </c>
      <c r="E149" s="144">
        <f>IF('WebNLG Combined AB + TCF'!K50="x",2,0)</f>
        <v>0</v>
      </c>
    </row>
    <row r="150">
      <c r="B150" s="160">
        <f>'Original-WebNLG'!A52</f>
        <v>49</v>
      </c>
      <c r="C150" s="144">
        <f>IF('Original-WebNLG'!K52="x",2,0)</f>
        <v>0</v>
      </c>
      <c r="D150" s="144">
        <f>IF('WebNLG Combined OD + ZK'!K51="x",2,0)</f>
        <v>0</v>
      </c>
      <c r="E150" s="144">
        <f>IF('WebNLG Combined AB + TCF'!K51="x",2,0)</f>
        <v>0</v>
      </c>
    </row>
    <row r="151">
      <c r="B151" s="160">
        <f>'Original-WebNLG'!A53</f>
        <v>50</v>
      </c>
      <c r="C151" s="144">
        <f>IF('Original-WebNLG'!K53="x",2,0)</f>
        <v>0</v>
      </c>
      <c r="D151" s="144">
        <f>IF('WebNLG Combined OD + ZK'!K52="x",2,0)</f>
        <v>0</v>
      </c>
      <c r="E151" s="144">
        <f>IF('WebNLG Combined AB + TCF'!K52="x",2,0)</f>
        <v>0</v>
      </c>
    </row>
    <row r="152">
      <c r="B152" s="160">
        <f>'Original-WebNLG'!A54</f>
        <v>51</v>
      </c>
      <c r="C152" s="144">
        <f>IF('Original-WebNLG'!K54="x",2,0)</f>
        <v>0</v>
      </c>
      <c r="D152" s="144">
        <f>IF('WebNLG Combined OD + ZK'!K53="x",2,0)</f>
        <v>0</v>
      </c>
      <c r="E152" s="144">
        <f>IF('WebNLG Combined AB + TCF'!K53="x",2,0)</f>
        <v>0</v>
      </c>
    </row>
    <row r="153">
      <c r="B153" s="160">
        <f>'Original-WebNLG'!A55</f>
        <v>52</v>
      </c>
      <c r="C153" s="144">
        <f>IF('Original-WebNLG'!K55="x",2,0)</f>
        <v>0</v>
      </c>
      <c r="D153" s="144">
        <f>IF('WebNLG Combined OD + ZK'!K54="x",2,0)</f>
        <v>0</v>
      </c>
      <c r="E153" s="144">
        <f>IF('WebNLG Combined AB + TCF'!K54="x",2,0)</f>
        <v>0</v>
      </c>
    </row>
    <row r="154">
      <c r="B154" s="160">
        <f>'Original-WebNLG'!A56</f>
        <v>53</v>
      </c>
      <c r="C154" s="144">
        <f>IF('Original-WebNLG'!K56="x",2,0)</f>
        <v>2</v>
      </c>
      <c r="D154" s="144">
        <f>IF('WebNLG Combined OD + ZK'!K55="x",2,0)</f>
        <v>0</v>
      </c>
      <c r="E154" s="144">
        <f>IF('WebNLG Combined AB + TCF'!K55="x",2,0)</f>
        <v>0</v>
      </c>
    </row>
    <row r="155">
      <c r="B155" s="160">
        <f>'Original-WebNLG'!A57</f>
        <v>54</v>
      </c>
      <c r="C155" s="144">
        <f>IF('Original-WebNLG'!K57="x",2,0)</f>
        <v>0</v>
      </c>
      <c r="D155" s="144">
        <f>IF('WebNLG Combined OD + ZK'!K56="x",2,0)</f>
        <v>0</v>
      </c>
      <c r="E155" s="144">
        <f>IF('WebNLG Combined AB + TCF'!K56="x",2,0)</f>
        <v>0</v>
      </c>
    </row>
    <row r="156">
      <c r="B156" s="160">
        <f>'Original-WebNLG'!A58</f>
        <v>55</v>
      </c>
      <c r="C156" s="144">
        <f>IF('Original-WebNLG'!K58="x",2,0)</f>
        <v>0</v>
      </c>
      <c r="D156" s="144">
        <f>IF('WebNLG Combined OD + ZK'!K57="x",2,0)</f>
        <v>0</v>
      </c>
      <c r="E156" s="144">
        <f>IF('WebNLG Combined AB + TCF'!K57="x",2,0)</f>
        <v>0</v>
      </c>
    </row>
    <row r="157">
      <c r="B157" s="160">
        <f>'Original-WebNLG'!A59</f>
        <v>56</v>
      </c>
      <c r="C157" s="144">
        <f>IF('Original-WebNLG'!K59="x",2,0)</f>
        <v>0</v>
      </c>
      <c r="D157" s="144">
        <f>IF('WebNLG Combined OD + ZK'!K58="x",2,0)</f>
        <v>0</v>
      </c>
      <c r="E157" s="144">
        <f>IF('WebNLG Combined AB + TCF'!K58="x",2,0)</f>
        <v>0</v>
      </c>
    </row>
    <row r="158">
      <c r="B158" s="160">
        <f>'Original-WebNLG'!A60</f>
        <v>57</v>
      </c>
      <c r="C158" s="144">
        <f>IF('Original-WebNLG'!K60="x",2,0)</f>
        <v>0</v>
      </c>
      <c r="D158" s="144">
        <f>IF('WebNLG Combined OD + ZK'!K59="x",2,0)</f>
        <v>0</v>
      </c>
      <c r="E158" s="144">
        <f>IF('WebNLG Combined AB + TCF'!K59="x",2,0)</f>
        <v>0</v>
      </c>
    </row>
    <row r="159">
      <c r="B159" s="160">
        <f>'Original-WebNLG'!A61</f>
        <v>58</v>
      </c>
      <c r="C159" s="144">
        <f>IF('Original-WebNLG'!K61="x",2,0)</f>
        <v>0</v>
      </c>
      <c r="D159" s="144">
        <f>IF('WebNLG Combined OD + ZK'!K60="x",2,0)</f>
        <v>0</v>
      </c>
      <c r="E159" s="144">
        <f>IF('WebNLG Combined AB + TCF'!K60="x",2,0)</f>
        <v>0</v>
      </c>
    </row>
    <row r="160">
      <c r="B160" s="160">
        <f>'Original-WebNLG'!A62</f>
        <v>59</v>
      </c>
      <c r="C160" s="144">
        <f>IF('Original-WebNLG'!K62="x",2,0)</f>
        <v>0</v>
      </c>
      <c r="D160" s="144">
        <f>IF('WebNLG Combined OD + ZK'!K61="x",2,0)</f>
        <v>0</v>
      </c>
      <c r="E160" s="144">
        <f>IF('WebNLG Combined AB + TCF'!K61="x",2,0)</f>
        <v>0</v>
      </c>
    </row>
    <row r="161">
      <c r="B161" s="160">
        <f>'Original-WebNLG'!A63</f>
        <v>60</v>
      </c>
      <c r="C161" s="144">
        <f>IF('Original-WebNLG'!K63="x",2,0)</f>
        <v>0</v>
      </c>
      <c r="D161" s="144">
        <f>IF('WebNLG Combined OD + ZK'!K62="x",2,0)</f>
        <v>0</v>
      </c>
      <c r="E161" s="144">
        <f>IF('WebNLG Combined AB + TCF'!K62="x",2,0)</f>
        <v>0</v>
      </c>
    </row>
    <row r="162">
      <c r="B162" s="160">
        <f>'Original-WebNLG'!A64</f>
        <v>61</v>
      </c>
      <c r="C162" s="144">
        <f>IF('Original-WebNLG'!K64="x",2,0)</f>
        <v>0</v>
      </c>
      <c r="D162" s="144">
        <f>IF('WebNLG Combined OD + ZK'!K63="x",2,0)</f>
        <v>2</v>
      </c>
      <c r="E162" s="144">
        <f>IF('WebNLG Combined AB + TCF'!K63="x",2,0)</f>
        <v>0</v>
      </c>
    </row>
    <row r="163">
      <c r="B163" s="160">
        <f>'Original-WebNLG'!A65</f>
        <v>62</v>
      </c>
      <c r="C163" s="144">
        <f>IF('Original-WebNLG'!K65="x",2,0)</f>
        <v>0</v>
      </c>
      <c r="D163" s="144">
        <f>IF('WebNLG Combined OD + ZK'!K64="x",2,0)</f>
        <v>0</v>
      </c>
      <c r="E163" s="144">
        <f>IF('WebNLG Combined AB + TCF'!K64="x",2,0)</f>
        <v>0</v>
      </c>
    </row>
    <row r="164">
      <c r="B164" s="160">
        <f>'Original-WebNLG'!A66</f>
        <v>63</v>
      </c>
      <c r="C164" s="144">
        <f>IF('Original-WebNLG'!K66="x",2,0)</f>
        <v>0</v>
      </c>
      <c r="D164" s="144">
        <f>IF('WebNLG Combined OD + ZK'!K65="x",2,0)</f>
        <v>0</v>
      </c>
      <c r="E164" s="144">
        <f>IF('WebNLG Combined AB + TCF'!K65="x",2,0)</f>
        <v>0</v>
      </c>
    </row>
    <row r="165">
      <c r="B165" s="160">
        <f>'Original-WebNLG'!A67</f>
        <v>64</v>
      </c>
      <c r="C165" s="144">
        <f>IF('Original-WebNLG'!K67="x",2,0)</f>
        <v>0</v>
      </c>
      <c r="D165" s="144">
        <f>IF('WebNLG Combined OD + ZK'!K66="x",2,0)</f>
        <v>0</v>
      </c>
      <c r="E165" s="144">
        <f>IF('WebNLG Combined AB + TCF'!K66="x",2,0)</f>
        <v>0</v>
      </c>
    </row>
    <row r="166">
      <c r="B166" s="160">
        <f>'Original-WebNLG'!A68</f>
        <v>65</v>
      </c>
      <c r="C166" s="144">
        <f>IF('Original-WebNLG'!K68="x",2,0)</f>
        <v>0</v>
      </c>
      <c r="D166" s="144">
        <f>IF('WebNLG Combined OD + ZK'!K67="x",2,0)</f>
        <v>0</v>
      </c>
      <c r="E166" s="144">
        <f>IF('WebNLG Combined AB + TCF'!K67="x",2,0)</f>
        <v>0</v>
      </c>
    </row>
    <row r="167">
      <c r="B167" s="160">
        <f>'Original-WebNLG'!A69</f>
        <v>66</v>
      </c>
      <c r="C167" s="144">
        <f>IF('Original-WebNLG'!K69="x",2,0)</f>
        <v>0</v>
      </c>
      <c r="D167" s="144">
        <f>IF('WebNLG Combined OD + ZK'!K68="x",2,0)</f>
        <v>0</v>
      </c>
      <c r="E167" s="144">
        <f>IF('WebNLG Combined AB + TCF'!K68="x",2,0)</f>
        <v>0</v>
      </c>
    </row>
    <row r="168">
      <c r="B168" s="160">
        <f>'Original-WebNLG'!A70</f>
        <v>67</v>
      </c>
      <c r="C168" s="144">
        <f>IF('Original-WebNLG'!K70="x",2,0)</f>
        <v>0</v>
      </c>
      <c r="D168" s="144">
        <f>IF('WebNLG Combined OD + ZK'!K69="x",2,0)</f>
        <v>0</v>
      </c>
      <c r="E168" s="144">
        <f>IF('WebNLG Combined AB + TCF'!K69="x",2,0)</f>
        <v>0</v>
      </c>
    </row>
    <row r="169">
      <c r="B169" s="160">
        <f>'Original-WebNLG'!A71</f>
        <v>68</v>
      </c>
      <c r="C169" s="144">
        <f>IF('Original-WebNLG'!K71="x",2,0)</f>
        <v>0</v>
      </c>
      <c r="D169" s="144">
        <f>IF('WebNLG Combined OD + ZK'!K70="x",2,0)</f>
        <v>0</v>
      </c>
      <c r="E169" s="144">
        <f>IF('WebNLG Combined AB + TCF'!K70="x",2,0)</f>
        <v>0</v>
      </c>
    </row>
    <row r="170">
      <c r="B170" s="160">
        <f>'Original-WebNLG'!A72</f>
        <v>69</v>
      </c>
      <c r="C170" s="144">
        <f>IF('Original-WebNLG'!K72="x",2,0)</f>
        <v>0</v>
      </c>
      <c r="D170" s="144">
        <f>IF('WebNLG Combined OD + ZK'!K71="x",2,0)</f>
        <v>0</v>
      </c>
      <c r="E170" s="144">
        <f>IF('WebNLG Combined AB + TCF'!K71="x",2,0)</f>
        <v>0</v>
      </c>
    </row>
    <row r="171">
      <c r="B171" s="160">
        <f>'Original-WebNLG'!A73</f>
        <v>70</v>
      </c>
      <c r="C171" s="144">
        <f>IF('Original-WebNLG'!K73="x",2,0)</f>
        <v>0</v>
      </c>
      <c r="D171" s="144">
        <f>IF('WebNLG Combined OD + ZK'!K72="x",2,0)</f>
        <v>0</v>
      </c>
      <c r="E171" s="144">
        <f>IF('WebNLG Combined AB + TCF'!K72="x",2,0)</f>
        <v>0</v>
      </c>
    </row>
    <row r="172">
      <c r="B172" s="160">
        <f>'Original-WebNLG'!A74</f>
        <v>71</v>
      </c>
      <c r="C172" s="144">
        <f>IF('Original-WebNLG'!K74="x",2,0)</f>
        <v>0</v>
      </c>
      <c r="D172" s="144">
        <f>IF('WebNLG Combined OD + ZK'!K73="x",2,0)</f>
        <v>0</v>
      </c>
      <c r="E172" s="144">
        <f>IF('WebNLG Combined AB + TCF'!K73="x",2,0)</f>
        <v>0</v>
      </c>
    </row>
    <row r="173">
      <c r="B173" s="160">
        <f>'Original-WebNLG'!A75</f>
        <v>72</v>
      </c>
      <c r="C173" s="144">
        <f>IF('Original-WebNLG'!K75="x",2,0)</f>
        <v>0</v>
      </c>
      <c r="D173" s="144">
        <f>IF('WebNLG Combined OD + ZK'!K74="x",2,0)</f>
        <v>0</v>
      </c>
      <c r="E173" s="144">
        <f>IF('WebNLG Combined AB + TCF'!K74="x",2,0)</f>
        <v>0</v>
      </c>
    </row>
    <row r="174">
      <c r="B174" s="160">
        <f>'Original-WebNLG'!A76</f>
        <v>73</v>
      </c>
      <c r="C174" s="144">
        <f>IF('Original-WebNLG'!K76="x",2,0)</f>
        <v>0</v>
      </c>
      <c r="D174" s="144">
        <f>IF('WebNLG Combined OD + ZK'!K75="x",2,0)</f>
        <v>0</v>
      </c>
      <c r="E174" s="144">
        <f>IF('WebNLG Combined AB + TCF'!K75="x",2,0)</f>
        <v>0</v>
      </c>
    </row>
    <row r="175">
      <c r="B175" s="160">
        <f>'Original-WebNLG'!A77</f>
        <v>74</v>
      </c>
      <c r="C175" s="144">
        <f>IF('Original-WebNLG'!K77="x",2,0)</f>
        <v>0</v>
      </c>
      <c r="D175" s="144">
        <f>IF('WebNLG Combined OD + ZK'!K76="x",2,0)</f>
        <v>0</v>
      </c>
      <c r="E175" s="144">
        <f>IF('WebNLG Combined AB + TCF'!K76="x",2,0)</f>
        <v>0</v>
      </c>
    </row>
    <row r="176">
      <c r="B176" s="160">
        <f>'Original-WebNLG'!A78</f>
        <v>75</v>
      </c>
      <c r="C176" s="144">
        <f>IF('Original-WebNLG'!K78="x",2,0)</f>
        <v>0</v>
      </c>
      <c r="D176" s="144">
        <f>IF('WebNLG Combined OD + ZK'!K77="x",2,0)</f>
        <v>0</v>
      </c>
      <c r="E176" s="144">
        <f>IF('WebNLG Combined AB + TCF'!K77="x",2,0)</f>
        <v>0</v>
      </c>
    </row>
    <row r="177">
      <c r="B177" s="160">
        <f>'Original-WebNLG'!A79</f>
        <v>76</v>
      </c>
      <c r="C177" s="144">
        <f>IF('Original-WebNLG'!K79="x",2,0)</f>
        <v>0</v>
      </c>
      <c r="D177" s="144">
        <f>IF('WebNLG Combined OD + ZK'!K78="x",2,0)</f>
        <v>0</v>
      </c>
      <c r="E177" s="144">
        <f>IF('WebNLG Combined AB + TCF'!K78="x",2,0)</f>
        <v>2</v>
      </c>
    </row>
    <row r="178">
      <c r="B178" s="160">
        <f>'Original-WebNLG'!A80</f>
        <v>77</v>
      </c>
      <c r="C178" s="144">
        <f>IF('Original-WebNLG'!K80="x",2,0)</f>
        <v>0</v>
      </c>
      <c r="D178" s="144">
        <f>IF('WebNLG Combined OD + ZK'!K79="x",2,0)</f>
        <v>0</v>
      </c>
      <c r="E178" s="144">
        <f>IF('WebNLG Combined AB + TCF'!K79="x",2,0)</f>
        <v>0</v>
      </c>
    </row>
    <row r="179">
      <c r="B179" s="160">
        <f>'Original-WebNLG'!A81</f>
        <v>78</v>
      </c>
      <c r="C179" s="144">
        <f>IF('Original-WebNLG'!K81="x",2,0)</f>
        <v>0</v>
      </c>
      <c r="D179" s="144">
        <f>IF('WebNLG Combined OD + ZK'!K80="x",2,0)</f>
        <v>0</v>
      </c>
      <c r="E179" s="144">
        <f>IF('WebNLG Combined AB + TCF'!K80="x",2,0)</f>
        <v>0</v>
      </c>
    </row>
    <row r="180">
      <c r="B180" s="160">
        <f>'Original-WebNLG'!A82</f>
        <v>79</v>
      </c>
      <c r="C180" s="144">
        <f>IF('Original-WebNLG'!K82="x",2,0)</f>
        <v>2</v>
      </c>
      <c r="D180" s="144">
        <f>IF('WebNLG Combined OD + ZK'!K81="x",2,0)</f>
        <v>0</v>
      </c>
      <c r="E180" s="144">
        <f>IF('WebNLG Combined AB + TCF'!K81="x",2,0)</f>
        <v>0</v>
      </c>
    </row>
    <row r="181">
      <c r="B181" s="160">
        <f>'Original-WebNLG'!A83</f>
        <v>80</v>
      </c>
      <c r="C181" s="144">
        <f>IF('Original-WebNLG'!K83="x",2,0)</f>
        <v>0</v>
      </c>
      <c r="D181" s="144">
        <f>IF('WebNLG Combined OD + ZK'!K82="x",2,0)</f>
        <v>0</v>
      </c>
      <c r="E181" s="144">
        <f>IF('WebNLG Combined AB + TCF'!K82="x",2,0)</f>
        <v>0</v>
      </c>
    </row>
    <row r="182">
      <c r="B182" s="160">
        <f>'Original-WebNLG'!A84</f>
        <v>81</v>
      </c>
      <c r="C182" s="144">
        <f>IF('Original-WebNLG'!K84="x",2,0)</f>
        <v>0</v>
      </c>
      <c r="D182" s="144">
        <f>IF('WebNLG Combined OD + ZK'!K83="x",2,0)</f>
        <v>0</v>
      </c>
      <c r="E182" s="144">
        <f>IF('WebNLG Combined AB + TCF'!K83="x",2,0)</f>
        <v>0</v>
      </c>
    </row>
    <row r="183">
      <c r="B183" s="160">
        <f>'Original-WebNLG'!A85</f>
        <v>82</v>
      </c>
      <c r="C183" s="144">
        <f>IF('Original-WebNLG'!K85="x",2,0)</f>
        <v>0</v>
      </c>
      <c r="D183" s="144">
        <f>IF('WebNLG Combined OD + ZK'!K84="x",2,0)</f>
        <v>0</v>
      </c>
      <c r="E183" s="144">
        <f>IF('WebNLG Combined AB + TCF'!K84="x",2,0)</f>
        <v>0</v>
      </c>
    </row>
    <row r="184">
      <c r="B184" s="160">
        <f>'Original-WebNLG'!A86</f>
        <v>83</v>
      </c>
      <c r="C184" s="144">
        <f>IF('Original-WebNLG'!K86="x",2,0)</f>
        <v>2</v>
      </c>
      <c r="D184" s="144">
        <f>IF('WebNLG Combined OD + ZK'!K85="x",2,0)</f>
        <v>0</v>
      </c>
      <c r="E184" s="144">
        <f>IF('WebNLG Combined AB + TCF'!K85="x",2,0)</f>
        <v>0</v>
      </c>
    </row>
    <row r="185">
      <c r="B185" s="160">
        <f>'Original-WebNLG'!A87</f>
        <v>84</v>
      </c>
      <c r="C185" s="144">
        <f>IF('Original-WebNLG'!K87="x",2,0)</f>
        <v>0</v>
      </c>
      <c r="D185" s="144">
        <f>IF('WebNLG Combined OD + ZK'!K86="x",2,0)</f>
        <v>0</v>
      </c>
      <c r="E185" s="144">
        <f>IF('WebNLG Combined AB + TCF'!K86="x",2,0)</f>
        <v>0</v>
      </c>
    </row>
    <row r="186">
      <c r="B186" s="160">
        <f>'Original-WebNLG'!A88</f>
        <v>85</v>
      </c>
      <c r="C186" s="144">
        <f>IF('Original-WebNLG'!K88="x",2,0)</f>
        <v>0</v>
      </c>
      <c r="D186" s="144">
        <f>IF('WebNLG Combined OD + ZK'!K87="x",2,0)</f>
        <v>0</v>
      </c>
      <c r="E186" s="144">
        <f>IF('WebNLG Combined AB + TCF'!K87="x",2,0)</f>
        <v>0</v>
      </c>
    </row>
    <row r="187">
      <c r="B187" s="160">
        <f>'Original-WebNLG'!A89</f>
        <v>86</v>
      </c>
      <c r="C187" s="144">
        <f>IF('Original-WebNLG'!K89="x",2,0)</f>
        <v>0</v>
      </c>
      <c r="D187" s="144">
        <f>IF('WebNLG Combined OD + ZK'!K88="x",2,0)</f>
        <v>2</v>
      </c>
      <c r="E187" s="144">
        <f>IF('WebNLG Combined AB + TCF'!K88="x",2,0)</f>
        <v>0</v>
      </c>
    </row>
    <row r="188">
      <c r="B188" s="160">
        <f>'Original-WebNLG'!A90</f>
        <v>87</v>
      </c>
      <c r="C188" s="144">
        <f>IF('Original-WebNLG'!K90="x",2,0)</f>
        <v>0</v>
      </c>
      <c r="D188" s="144">
        <f>IF('WebNLG Combined OD + ZK'!K89="x",2,0)</f>
        <v>0</v>
      </c>
      <c r="E188" s="144">
        <f>IF('WebNLG Combined AB + TCF'!K89="x",2,0)</f>
        <v>0</v>
      </c>
    </row>
    <row r="189">
      <c r="B189" s="160">
        <f>'Original-WebNLG'!A91</f>
        <v>88</v>
      </c>
      <c r="C189" s="144">
        <f>IF('Original-WebNLG'!K91="x",2,0)</f>
        <v>0</v>
      </c>
      <c r="D189" s="144">
        <f>IF('WebNLG Combined OD + ZK'!K90="x",2,0)</f>
        <v>0</v>
      </c>
      <c r="E189" s="144">
        <f>IF('WebNLG Combined AB + TCF'!K90="x",2,0)</f>
        <v>0</v>
      </c>
    </row>
    <row r="190">
      <c r="B190" s="160">
        <f>'Original-WebNLG'!A92</f>
        <v>89</v>
      </c>
      <c r="C190" s="144">
        <f>IF('Original-WebNLG'!K92="x",2,0)</f>
        <v>0</v>
      </c>
      <c r="D190" s="144">
        <f>IF('WebNLG Combined OD + ZK'!K91="x",2,0)</f>
        <v>0</v>
      </c>
      <c r="E190" s="144">
        <f>IF('WebNLG Combined AB + TCF'!K91="x",2,0)</f>
        <v>0</v>
      </c>
    </row>
    <row r="191">
      <c r="B191" s="160">
        <f>'Original-WebNLG'!A93</f>
        <v>90</v>
      </c>
      <c r="C191" s="144">
        <f>IF('Original-WebNLG'!K93="x",2,0)</f>
        <v>0</v>
      </c>
      <c r="D191" s="144">
        <f>IF('WebNLG Combined OD + ZK'!K92="x",2,0)</f>
        <v>0</v>
      </c>
      <c r="E191" s="144">
        <f>IF('WebNLG Combined AB + TCF'!K92="x",2,0)</f>
        <v>0</v>
      </c>
    </row>
    <row r="192">
      <c r="B192" s="160">
        <f>'Original-WebNLG'!A94</f>
        <v>91</v>
      </c>
      <c r="C192" s="144">
        <f>IF('Original-WebNLG'!K94="x",2,0)</f>
        <v>0</v>
      </c>
      <c r="D192" s="144">
        <f>IF('WebNLG Combined OD + ZK'!K93="x",2,0)</f>
        <v>0</v>
      </c>
      <c r="E192" s="144">
        <f>IF('WebNLG Combined AB + TCF'!K93="x",2,0)</f>
        <v>0</v>
      </c>
    </row>
    <row r="193">
      <c r="B193" s="160">
        <f>'Original-WebNLG'!A95</f>
        <v>92</v>
      </c>
      <c r="C193" s="144">
        <f>IF('Original-WebNLG'!K95="x",2,0)</f>
        <v>0</v>
      </c>
      <c r="D193" s="144">
        <f>IF('WebNLG Combined OD + ZK'!K94="x",2,0)</f>
        <v>0</v>
      </c>
      <c r="E193" s="144">
        <f>IF('WebNLG Combined AB + TCF'!K94="x",2,0)</f>
        <v>0</v>
      </c>
    </row>
    <row r="194">
      <c r="B194" s="160">
        <f>'Original-WebNLG'!A96</f>
        <v>93</v>
      </c>
      <c r="C194" s="144">
        <f>IF('Original-WebNLG'!K96="x",2,0)</f>
        <v>0</v>
      </c>
      <c r="D194" s="144">
        <f>IF('WebNLG Combined OD + ZK'!K95="x",2,0)</f>
        <v>0</v>
      </c>
      <c r="E194" s="144">
        <f>IF('WebNLG Combined AB + TCF'!K95="x",2,0)</f>
        <v>0</v>
      </c>
    </row>
    <row r="195">
      <c r="B195" s="160">
        <f>'Original-WebNLG'!A97</f>
        <v>94</v>
      </c>
      <c r="C195" s="144">
        <f>IF('Original-WebNLG'!K97="x",2,0)</f>
        <v>0</v>
      </c>
      <c r="D195" s="144">
        <f>IF('WebNLG Combined OD + ZK'!K96="x",2,0)</f>
        <v>0</v>
      </c>
      <c r="E195" s="144">
        <f>IF('WebNLG Combined AB + TCF'!K96="x",2,0)</f>
        <v>0</v>
      </c>
    </row>
    <row r="196">
      <c r="B196" s="160">
        <f>'Original-WebNLG'!A98</f>
        <v>95</v>
      </c>
      <c r="C196" s="144">
        <f>IF('Original-WebNLG'!K98="x",2,0)</f>
        <v>0</v>
      </c>
      <c r="D196" s="144">
        <f>IF('WebNLG Combined OD + ZK'!K97="x",2,0)</f>
        <v>0</v>
      </c>
      <c r="E196" s="144">
        <f>IF('WebNLG Combined AB + TCF'!K97="x",2,0)</f>
        <v>2</v>
      </c>
    </row>
    <row r="197">
      <c r="B197" s="160">
        <f>'Original-WebNLG'!A99</f>
        <v>96</v>
      </c>
      <c r="C197" s="144">
        <f>IF('Original-WebNLG'!K99="x",2,0)</f>
        <v>2</v>
      </c>
      <c r="D197" s="144">
        <f>IF('WebNLG Combined OD + ZK'!K98="x",2,0)</f>
        <v>0</v>
      </c>
      <c r="E197" s="144">
        <f>IF('WebNLG Combined AB + TCF'!K98="x",2,0)</f>
        <v>0</v>
      </c>
    </row>
    <row r="198">
      <c r="B198" s="160">
        <f>'Original-WebNLG'!A100</f>
        <v>97</v>
      </c>
      <c r="C198" s="144">
        <f>IF('Original-WebNLG'!K100="x",2,0)</f>
        <v>0</v>
      </c>
      <c r="D198" s="144">
        <f>IF('WebNLG Combined OD + ZK'!K99="x",2,0)</f>
        <v>0</v>
      </c>
      <c r="E198" s="144">
        <f>IF('WebNLG Combined AB + TCF'!K99="x",2,0)</f>
        <v>0</v>
      </c>
    </row>
    <row r="199">
      <c r="B199" s="160">
        <f>'Original-WebNLG'!A101</f>
        <v>98</v>
      </c>
      <c r="C199" s="144">
        <f>IF('Original-WebNLG'!K101="x",2,0)</f>
        <v>0</v>
      </c>
      <c r="D199" s="144">
        <f>IF('WebNLG Combined OD + ZK'!K100="x",2,0)</f>
        <v>0</v>
      </c>
      <c r="E199" s="144">
        <f>IF('WebNLG Combined AB + TCF'!K100="x",2,0)</f>
        <v>2</v>
      </c>
    </row>
    <row r="200">
      <c r="B200" s="160">
        <f>'Original-WebNLG'!A102</f>
        <v>99</v>
      </c>
      <c r="C200" s="144">
        <f>IF('Original-WebNLG'!K102="x",2,0)</f>
        <v>0</v>
      </c>
      <c r="D200" s="144">
        <f>IF('WebNLG Combined OD + ZK'!K101="x",2,0)</f>
        <v>2</v>
      </c>
      <c r="E200" s="144">
        <f>IF('WebNLG Combined AB + TCF'!K101="x",2,0)</f>
        <v>0</v>
      </c>
    </row>
    <row r="201">
      <c r="B201" s="160">
        <f>'Original-WebNLG'!A103</f>
        <v>100</v>
      </c>
      <c r="C201" s="144">
        <f>IF('Original-WebNLG'!K103="x",2,0)</f>
        <v>0</v>
      </c>
      <c r="D201" s="144">
        <f>IF('WebNLG Combined OD + ZK'!K102="x",2,0)</f>
        <v>0</v>
      </c>
      <c r="E201" s="144">
        <f>IF('WebNLG Combined AB + TCF'!K102="x",2,0)</f>
        <v>0</v>
      </c>
    </row>
    <row r="202">
      <c r="A202" s="98" t="s">
        <v>1044</v>
      </c>
      <c r="B202" s="161">
        <f>'Original-WebNLG'!A4</f>
        <v>1</v>
      </c>
      <c r="C202" s="144">
        <f>IF('Original-WebNLG'!L4="x",3,0)</f>
        <v>0</v>
      </c>
      <c r="D202" s="144">
        <f>IF('WebNLG Combined OD + ZK'!L3="x",3,0)</f>
        <v>0</v>
      </c>
      <c r="E202" s="144">
        <f>IF('WebNLG Combined AB + TCF'!L3="x",3,0)</f>
        <v>0</v>
      </c>
    </row>
    <row r="203">
      <c r="B203" s="161">
        <f>'Original-WebNLG'!A5</f>
        <v>2</v>
      </c>
      <c r="C203" s="144">
        <f>IF('Original-WebNLG'!L5="x",3,0)</f>
        <v>3</v>
      </c>
      <c r="D203" s="144">
        <f>IF('WebNLG Combined OD + ZK'!L4="x",3,0)</f>
        <v>3</v>
      </c>
      <c r="E203" s="144">
        <f>IF('WebNLG Combined AB + TCF'!L4="x",3,0)</f>
        <v>0</v>
      </c>
    </row>
    <row r="204">
      <c r="B204" s="161">
        <f>'Original-WebNLG'!A6</f>
        <v>3</v>
      </c>
      <c r="C204" s="144">
        <f>IF('Original-WebNLG'!L6="x",3,0)</f>
        <v>0</v>
      </c>
      <c r="D204" s="144">
        <f>IF('WebNLG Combined OD + ZK'!L5="x",3,0)</f>
        <v>0</v>
      </c>
      <c r="E204" s="144">
        <f>IF('WebNLG Combined AB + TCF'!L5="x",3,0)</f>
        <v>0</v>
      </c>
    </row>
    <row r="205">
      <c r="B205" s="161">
        <f>'Original-WebNLG'!A7</f>
        <v>4</v>
      </c>
      <c r="C205" s="144">
        <f>IF('Original-WebNLG'!L7="x",3,0)</f>
        <v>0</v>
      </c>
      <c r="D205" s="144">
        <f>IF('WebNLG Combined OD + ZK'!L6="x",3,0)</f>
        <v>0</v>
      </c>
      <c r="E205" s="144">
        <f>IF('WebNLG Combined AB + TCF'!L6="x",3,0)</f>
        <v>0</v>
      </c>
    </row>
    <row r="206">
      <c r="B206" s="161">
        <f>'Original-WebNLG'!A8</f>
        <v>5</v>
      </c>
      <c r="C206" s="144">
        <f>IF('Original-WebNLG'!L8="x",3,0)</f>
        <v>0</v>
      </c>
      <c r="D206" s="144">
        <f>IF('WebNLG Combined OD + ZK'!L7="x",3,0)</f>
        <v>0</v>
      </c>
      <c r="E206" s="144">
        <f>IF('WebNLG Combined AB + TCF'!L7="x",3,0)</f>
        <v>0</v>
      </c>
    </row>
    <row r="207">
      <c r="B207" s="161">
        <f>'Original-WebNLG'!A9</f>
        <v>6</v>
      </c>
      <c r="C207" s="144">
        <f>IF('Original-WebNLG'!L9="x",3,0)</f>
        <v>0</v>
      </c>
      <c r="D207" s="144">
        <f>IF('WebNLG Combined OD + ZK'!L8="x",3,0)</f>
        <v>0</v>
      </c>
      <c r="E207" s="144">
        <f>IF('WebNLG Combined AB + TCF'!L8="x",3,0)</f>
        <v>0</v>
      </c>
    </row>
    <row r="208">
      <c r="B208" s="161">
        <f>'Original-WebNLG'!A10</f>
        <v>7</v>
      </c>
      <c r="C208" s="144">
        <f>IF('Original-WebNLG'!L10="x",3,0)</f>
        <v>0</v>
      </c>
      <c r="D208" s="144">
        <f>IF('WebNLG Combined OD + ZK'!L9="x",3,0)</f>
        <v>0</v>
      </c>
      <c r="E208" s="144">
        <f>IF('WebNLG Combined AB + TCF'!L9="x",3,0)</f>
        <v>3</v>
      </c>
    </row>
    <row r="209">
      <c r="B209" s="161">
        <f>'Original-WebNLG'!A11</f>
        <v>8</v>
      </c>
      <c r="C209" s="144">
        <f>IF('Original-WebNLG'!L11="x",3,0)</f>
        <v>0</v>
      </c>
      <c r="D209" s="144">
        <f>IF('WebNLG Combined OD + ZK'!L10="x",3,0)</f>
        <v>0</v>
      </c>
      <c r="E209" s="144">
        <f>IF('WebNLG Combined AB + TCF'!L10="x",3,0)</f>
        <v>3</v>
      </c>
    </row>
    <row r="210">
      <c r="B210" s="161">
        <f>'Original-WebNLG'!A12</f>
        <v>9</v>
      </c>
      <c r="C210" s="144">
        <f>IF('Original-WebNLG'!L12="x",3,0)</f>
        <v>0</v>
      </c>
      <c r="D210" s="144">
        <f>IF('WebNLG Combined OD + ZK'!L11="x",3,0)</f>
        <v>0</v>
      </c>
      <c r="E210" s="144">
        <f>IF('WebNLG Combined AB + TCF'!L11="x",3,0)</f>
        <v>0</v>
      </c>
    </row>
    <row r="211">
      <c r="B211" s="161">
        <f>'Original-WebNLG'!A13</f>
        <v>10</v>
      </c>
      <c r="C211" s="144">
        <f>IF('Original-WebNLG'!L13="x",3,0)</f>
        <v>0</v>
      </c>
      <c r="D211" s="144">
        <f>IF('WebNLG Combined OD + ZK'!L12="x",3,0)</f>
        <v>0</v>
      </c>
      <c r="E211" s="144">
        <f>IF('WebNLG Combined AB + TCF'!L12="x",3,0)</f>
        <v>0</v>
      </c>
    </row>
    <row r="212">
      <c r="B212" s="161">
        <f>'Original-WebNLG'!A14</f>
        <v>11</v>
      </c>
      <c r="C212" s="144">
        <f>IF('Original-WebNLG'!L14="x",3,0)</f>
        <v>0</v>
      </c>
      <c r="D212" s="144">
        <f>IF('WebNLG Combined OD + ZK'!L13="x",3,0)</f>
        <v>0</v>
      </c>
      <c r="E212" s="144">
        <f>IF('WebNLG Combined AB + TCF'!L13="x",3,0)</f>
        <v>0</v>
      </c>
    </row>
    <row r="213">
      <c r="B213" s="161">
        <f>'Original-WebNLG'!A15</f>
        <v>12</v>
      </c>
      <c r="C213" s="144">
        <f>IF('Original-WebNLG'!L15="x",3,0)</f>
        <v>0</v>
      </c>
      <c r="D213" s="144">
        <f>IF('WebNLG Combined OD + ZK'!L14="x",3,0)</f>
        <v>0</v>
      </c>
      <c r="E213" s="144">
        <f>IF('WebNLG Combined AB + TCF'!L14="x",3,0)</f>
        <v>0</v>
      </c>
    </row>
    <row r="214">
      <c r="B214" s="161">
        <f>'Original-WebNLG'!A16</f>
        <v>13</v>
      </c>
      <c r="C214" s="144">
        <f>IF('Original-WebNLG'!L16="x",3,0)</f>
        <v>0</v>
      </c>
      <c r="D214" s="144">
        <f>IF('WebNLG Combined OD + ZK'!L15="x",3,0)</f>
        <v>3</v>
      </c>
      <c r="E214" s="144">
        <f>IF('WebNLG Combined AB + TCF'!L15="x",3,0)</f>
        <v>0</v>
      </c>
    </row>
    <row r="215">
      <c r="B215" s="161">
        <f>'Original-WebNLG'!A17</f>
        <v>14</v>
      </c>
      <c r="C215" s="144">
        <f>IF('Original-WebNLG'!L17="x",3,0)</f>
        <v>3</v>
      </c>
      <c r="D215" s="144">
        <f>IF('WebNLG Combined OD + ZK'!L16="x",3,0)</f>
        <v>0</v>
      </c>
      <c r="E215" s="144">
        <f>IF('WebNLG Combined AB + TCF'!L16="x",3,0)</f>
        <v>0</v>
      </c>
    </row>
    <row r="216">
      <c r="B216" s="161">
        <f>'Original-WebNLG'!A18</f>
        <v>15</v>
      </c>
      <c r="C216" s="144">
        <f>IF('Original-WebNLG'!L18="x",3,0)</f>
        <v>0</v>
      </c>
      <c r="D216" s="144">
        <f>IF('WebNLG Combined OD + ZK'!L17="x",3,0)</f>
        <v>0</v>
      </c>
      <c r="E216" s="144">
        <f>IF('WebNLG Combined AB + TCF'!L17="x",3,0)</f>
        <v>0</v>
      </c>
    </row>
    <row r="217">
      <c r="B217" s="161">
        <f>'Original-WebNLG'!A19</f>
        <v>16</v>
      </c>
      <c r="C217" s="144">
        <f>IF('Original-WebNLG'!L19="x",3,0)</f>
        <v>0</v>
      </c>
      <c r="D217" s="144">
        <f>IF('WebNLG Combined OD + ZK'!L18="x",3,0)</f>
        <v>0</v>
      </c>
      <c r="E217" s="144">
        <f>IF('WebNLG Combined AB + TCF'!L18="x",3,0)</f>
        <v>0</v>
      </c>
    </row>
    <row r="218">
      <c r="B218" s="161">
        <f>'Original-WebNLG'!A20</f>
        <v>17</v>
      </c>
      <c r="C218" s="144">
        <f>IF('Original-WebNLG'!L20="x",3,0)</f>
        <v>0</v>
      </c>
      <c r="D218" s="144">
        <f>IF('WebNLG Combined OD + ZK'!L19="x",3,0)</f>
        <v>3</v>
      </c>
      <c r="E218" s="144">
        <f>IF('WebNLG Combined AB + TCF'!L19="x",3,0)</f>
        <v>0</v>
      </c>
    </row>
    <row r="219">
      <c r="B219" s="161">
        <f>'Original-WebNLG'!A21</f>
        <v>18</v>
      </c>
      <c r="C219" s="144">
        <f>IF('Original-WebNLG'!L21="x",3,0)</f>
        <v>0</v>
      </c>
      <c r="D219" s="144">
        <f>IF('WebNLG Combined OD + ZK'!L20="x",3,0)</f>
        <v>0</v>
      </c>
      <c r="E219" s="144">
        <f>IF('WebNLG Combined AB + TCF'!L20="x",3,0)</f>
        <v>0</v>
      </c>
    </row>
    <row r="220">
      <c r="B220" s="161">
        <f>'Original-WebNLG'!A22</f>
        <v>19</v>
      </c>
      <c r="C220" s="144">
        <f>IF('Original-WebNLG'!L22="x",3,0)</f>
        <v>0</v>
      </c>
      <c r="D220" s="144">
        <f>IF('WebNLG Combined OD + ZK'!L21="x",3,0)</f>
        <v>0</v>
      </c>
      <c r="E220" s="144">
        <f>IF('WebNLG Combined AB + TCF'!L21="x",3,0)</f>
        <v>0</v>
      </c>
    </row>
    <row r="221">
      <c r="B221" s="161">
        <f>'Original-WebNLG'!A23</f>
        <v>20</v>
      </c>
      <c r="C221" s="144">
        <f>IF('Original-WebNLG'!L23="x",3,0)</f>
        <v>3</v>
      </c>
      <c r="D221" s="144">
        <f>IF('WebNLG Combined OD + ZK'!L22="x",3,0)</f>
        <v>3</v>
      </c>
      <c r="E221" s="144">
        <f>IF('WebNLG Combined AB + TCF'!L22="x",3,0)</f>
        <v>0</v>
      </c>
    </row>
    <row r="222">
      <c r="B222" s="161">
        <f>'Original-WebNLG'!A24</f>
        <v>21</v>
      </c>
      <c r="C222" s="144">
        <f>IF('Original-WebNLG'!L24="x",3,0)</f>
        <v>0</v>
      </c>
      <c r="D222" s="144">
        <f>IF('WebNLG Combined OD + ZK'!L23="x",3,0)</f>
        <v>0</v>
      </c>
      <c r="E222" s="144">
        <f>IF('WebNLG Combined AB + TCF'!L23="x",3,0)</f>
        <v>0</v>
      </c>
    </row>
    <row r="223">
      <c r="B223" s="161">
        <f>'Original-WebNLG'!A25</f>
        <v>22</v>
      </c>
      <c r="C223" s="144">
        <f>IF('Original-WebNLG'!L25="x",3,0)</f>
        <v>0</v>
      </c>
      <c r="D223" s="144">
        <f>IF('WebNLG Combined OD + ZK'!L24="x",3,0)</f>
        <v>0</v>
      </c>
      <c r="E223" s="144">
        <f>IF('WebNLG Combined AB + TCF'!L24="x",3,0)</f>
        <v>0</v>
      </c>
    </row>
    <row r="224">
      <c r="B224" s="161">
        <f>'Original-WebNLG'!A26</f>
        <v>23</v>
      </c>
      <c r="C224" s="144">
        <f>IF('Original-WebNLG'!L26="x",3,0)</f>
        <v>0</v>
      </c>
      <c r="D224" s="144">
        <f>IF('WebNLG Combined OD + ZK'!L25="x",3,0)</f>
        <v>3</v>
      </c>
      <c r="E224" s="144">
        <f>IF('WebNLG Combined AB + TCF'!L25="x",3,0)</f>
        <v>0</v>
      </c>
    </row>
    <row r="225">
      <c r="B225" s="161">
        <f>'Original-WebNLG'!A27</f>
        <v>24</v>
      </c>
      <c r="C225" s="144">
        <f>IF('Original-WebNLG'!L27="x",3,0)</f>
        <v>3</v>
      </c>
      <c r="D225" s="144">
        <f>IF('WebNLG Combined OD + ZK'!L26="x",3,0)</f>
        <v>0</v>
      </c>
      <c r="E225" s="144">
        <f>IF('WebNLG Combined AB + TCF'!L26="x",3,0)</f>
        <v>0</v>
      </c>
    </row>
    <row r="226">
      <c r="B226" s="161">
        <f>'Original-WebNLG'!A28</f>
        <v>25</v>
      </c>
      <c r="C226" s="144">
        <f>IF('Original-WebNLG'!L28="x",3,0)</f>
        <v>0</v>
      </c>
      <c r="D226" s="144">
        <f>IF('WebNLG Combined OD + ZK'!L27="x",3,0)</f>
        <v>0</v>
      </c>
      <c r="E226" s="144">
        <f>IF('WebNLG Combined AB + TCF'!L27="x",3,0)</f>
        <v>0</v>
      </c>
    </row>
    <row r="227">
      <c r="B227" s="161">
        <f>'Original-WebNLG'!A29</f>
        <v>26</v>
      </c>
      <c r="C227" s="144">
        <f>IF('Original-WebNLG'!L29="x",3,0)</f>
        <v>0</v>
      </c>
      <c r="D227" s="144">
        <f>IF('WebNLG Combined OD + ZK'!L28="x",3,0)</f>
        <v>3</v>
      </c>
      <c r="E227" s="144">
        <f>IF('WebNLG Combined AB + TCF'!L28="x",3,0)</f>
        <v>0</v>
      </c>
    </row>
    <row r="228">
      <c r="B228" s="161">
        <f>'Original-WebNLG'!A30</f>
        <v>27</v>
      </c>
      <c r="C228" s="144">
        <f>IF('Original-WebNLG'!L30="x",3,0)</f>
        <v>3</v>
      </c>
      <c r="D228" s="144">
        <f>IF('WebNLG Combined OD + ZK'!L29="x",3,0)</f>
        <v>0</v>
      </c>
      <c r="E228" s="144">
        <f>IF('WebNLG Combined AB + TCF'!L29="x",3,0)</f>
        <v>0</v>
      </c>
    </row>
    <row r="229">
      <c r="B229" s="161">
        <f>'Original-WebNLG'!A31</f>
        <v>28</v>
      </c>
      <c r="C229" s="144">
        <f>IF('Original-WebNLG'!L31="x",3,0)</f>
        <v>0</v>
      </c>
      <c r="D229" s="144">
        <f>IF('WebNLG Combined OD + ZK'!L30="x",3,0)</f>
        <v>3</v>
      </c>
      <c r="E229" s="144">
        <f>IF('WebNLG Combined AB + TCF'!L30="x",3,0)</f>
        <v>0</v>
      </c>
    </row>
    <row r="230">
      <c r="B230" s="161">
        <f>'Original-WebNLG'!A32</f>
        <v>29</v>
      </c>
      <c r="C230" s="144">
        <f>IF('Original-WebNLG'!L32="x",3,0)</f>
        <v>3</v>
      </c>
      <c r="D230" s="144">
        <f>IF('WebNLG Combined OD + ZK'!L31="x",3,0)</f>
        <v>0</v>
      </c>
      <c r="E230" s="144">
        <f>IF('WebNLG Combined AB + TCF'!L31="x",3,0)</f>
        <v>0</v>
      </c>
    </row>
    <row r="231">
      <c r="B231" s="161">
        <f>'Original-WebNLG'!A33</f>
        <v>30</v>
      </c>
      <c r="C231" s="144">
        <f>IF('Original-WebNLG'!L33="x",3,0)</f>
        <v>0</v>
      </c>
      <c r="D231" s="144">
        <f>IF('WebNLG Combined OD + ZK'!L32="x",3,0)</f>
        <v>0</v>
      </c>
      <c r="E231" s="144">
        <f>IF('WebNLG Combined AB + TCF'!L32="x",3,0)</f>
        <v>0</v>
      </c>
    </row>
    <row r="232">
      <c r="B232" s="161">
        <f>'Original-WebNLG'!A34</f>
        <v>31</v>
      </c>
      <c r="C232" s="144">
        <f>IF('Original-WebNLG'!L34="x",3,0)</f>
        <v>0</v>
      </c>
      <c r="D232" s="144">
        <f>IF('WebNLG Combined OD + ZK'!L33="x",3,0)</f>
        <v>0</v>
      </c>
      <c r="E232" s="144">
        <f>IF('WebNLG Combined AB + TCF'!L33="x",3,0)</f>
        <v>3</v>
      </c>
    </row>
    <row r="233">
      <c r="B233" s="161">
        <f>'Original-WebNLG'!A35</f>
        <v>32</v>
      </c>
      <c r="C233" s="144">
        <f>IF('Original-WebNLG'!L35="x",3,0)</f>
        <v>0</v>
      </c>
      <c r="D233" s="144">
        <f>IF('WebNLG Combined OD + ZK'!L34="x",3,0)</f>
        <v>0</v>
      </c>
      <c r="E233" s="144">
        <f>IF('WebNLG Combined AB + TCF'!L34="x",3,0)</f>
        <v>0</v>
      </c>
    </row>
    <row r="234">
      <c r="B234" s="161">
        <f>'Original-WebNLG'!A36</f>
        <v>33</v>
      </c>
      <c r="C234" s="144">
        <f>IF('Original-WebNLG'!L36="x",3,0)</f>
        <v>0</v>
      </c>
      <c r="D234" s="144">
        <f>IF('WebNLG Combined OD + ZK'!L35="x",3,0)</f>
        <v>0</v>
      </c>
      <c r="E234" s="144">
        <f>IF('WebNLG Combined AB + TCF'!L35="x",3,0)</f>
        <v>0</v>
      </c>
    </row>
    <row r="235">
      <c r="B235" s="161">
        <f>'Original-WebNLG'!A37</f>
        <v>34</v>
      </c>
      <c r="C235" s="144">
        <f>IF('Original-WebNLG'!L37="x",3,0)</f>
        <v>0</v>
      </c>
      <c r="D235" s="144">
        <f>IF('WebNLG Combined OD + ZK'!L36="x",3,0)</f>
        <v>0</v>
      </c>
      <c r="E235" s="144">
        <f>IF('WebNLG Combined AB + TCF'!L36="x",3,0)</f>
        <v>0</v>
      </c>
    </row>
    <row r="236">
      <c r="B236" s="161">
        <f>'Original-WebNLG'!A38</f>
        <v>35</v>
      </c>
      <c r="C236" s="144">
        <f>IF('Original-WebNLG'!L38="x",3,0)</f>
        <v>0</v>
      </c>
      <c r="D236" s="144">
        <f>IF('WebNLG Combined OD + ZK'!L37="x",3,0)</f>
        <v>3</v>
      </c>
      <c r="E236" s="144">
        <f>IF('WebNLG Combined AB + TCF'!L37="x",3,0)</f>
        <v>0</v>
      </c>
    </row>
    <row r="237">
      <c r="B237" s="161">
        <f>'Original-WebNLG'!A39</f>
        <v>36</v>
      </c>
      <c r="C237" s="144">
        <f>IF('Original-WebNLG'!L39="x",3,0)</f>
        <v>3</v>
      </c>
      <c r="D237" s="144">
        <f>IF('WebNLG Combined OD + ZK'!L38="x",3,0)</f>
        <v>0</v>
      </c>
      <c r="E237" s="144">
        <f>IF('WebNLG Combined AB + TCF'!L38="x",3,0)</f>
        <v>0</v>
      </c>
    </row>
    <row r="238">
      <c r="B238" s="161">
        <f>'Original-WebNLG'!A40</f>
        <v>37</v>
      </c>
      <c r="C238" s="144">
        <f>IF('Original-WebNLG'!L40="x",3,0)</f>
        <v>0</v>
      </c>
      <c r="D238" s="144">
        <f>IF('WebNLG Combined OD + ZK'!L39="x",3,0)</f>
        <v>0</v>
      </c>
      <c r="E238" s="144">
        <f>IF('WebNLG Combined AB + TCF'!L39="x",3,0)</f>
        <v>0</v>
      </c>
    </row>
    <row r="239">
      <c r="B239" s="161">
        <f>'Original-WebNLG'!A41</f>
        <v>38</v>
      </c>
      <c r="C239" s="144">
        <f>IF('Original-WebNLG'!L41="x",3,0)</f>
        <v>0</v>
      </c>
      <c r="D239" s="144">
        <f>IF('WebNLG Combined OD + ZK'!L40="x",3,0)</f>
        <v>0</v>
      </c>
      <c r="E239" s="144">
        <f>IF('WebNLG Combined AB + TCF'!L40="x",3,0)</f>
        <v>0</v>
      </c>
    </row>
    <row r="240">
      <c r="B240" s="161">
        <f>'Original-WebNLG'!A42</f>
        <v>39</v>
      </c>
      <c r="C240" s="144">
        <f>IF('Original-WebNLG'!L42="x",3,0)</f>
        <v>0</v>
      </c>
      <c r="D240" s="144">
        <f>IF('WebNLG Combined OD + ZK'!L41="x",3,0)</f>
        <v>0</v>
      </c>
      <c r="E240" s="144">
        <f>IF('WebNLG Combined AB + TCF'!L41="x",3,0)</f>
        <v>3</v>
      </c>
    </row>
    <row r="241">
      <c r="B241" s="161">
        <f>'Original-WebNLG'!A43</f>
        <v>40</v>
      </c>
      <c r="C241" s="144">
        <f>IF('Original-WebNLG'!L43="x",3,0)</f>
        <v>0</v>
      </c>
      <c r="D241" s="144">
        <f>IF('WebNLG Combined OD + ZK'!L42="x",3,0)</f>
        <v>0</v>
      </c>
      <c r="E241" s="144">
        <f>IF('WebNLG Combined AB + TCF'!L42="x",3,0)</f>
        <v>0</v>
      </c>
    </row>
    <row r="242">
      <c r="B242" s="161">
        <f>'Original-WebNLG'!A44</f>
        <v>41</v>
      </c>
      <c r="C242" s="144">
        <f>IF('Original-WebNLG'!L44="x",3,0)</f>
        <v>3</v>
      </c>
      <c r="D242" s="144">
        <f>IF('WebNLG Combined OD + ZK'!L43="x",3,0)</f>
        <v>3</v>
      </c>
      <c r="E242" s="144">
        <f>IF('WebNLG Combined AB + TCF'!L43="x",3,0)</f>
        <v>0</v>
      </c>
    </row>
    <row r="243">
      <c r="B243" s="161">
        <f>'Original-WebNLG'!A45</f>
        <v>42</v>
      </c>
      <c r="C243" s="144">
        <f>IF('Original-WebNLG'!L45="x",3,0)</f>
        <v>0</v>
      </c>
      <c r="D243" s="144">
        <f>IF('WebNLG Combined OD + ZK'!L44="x",3,0)</f>
        <v>3</v>
      </c>
      <c r="E243" s="144">
        <f>IF('WebNLG Combined AB + TCF'!L44="x",3,0)</f>
        <v>3</v>
      </c>
    </row>
    <row r="244">
      <c r="B244" s="161">
        <f>'Original-WebNLG'!A46</f>
        <v>43</v>
      </c>
      <c r="C244" s="144">
        <f>IF('Original-WebNLG'!L46="x",3,0)</f>
        <v>0</v>
      </c>
      <c r="D244" s="144">
        <f>IF('WebNLG Combined OD + ZK'!L45="x",3,0)</f>
        <v>0</v>
      </c>
      <c r="E244" s="144">
        <f>IF('WebNLG Combined AB + TCF'!L45="x",3,0)</f>
        <v>3</v>
      </c>
    </row>
    <row r="245">
      <c r="B245" s="161">
        <f>'Original-WebNLG'!A47</f>
        <v>44</v>
      </c>
      <c r="C245" s="144">
        <f>IF('Original-WebNLG'!L47="x",3,0)</f>
        <v>0</v>
      </c>
      <c r="D245" s="144">
        <f>IF('WebNLG Combined OD + ZK'!L46="x",3,0)</f>
        <v>0</v>
      </c>
      <c r="E245" s="144">
        <f>IF('WebNLG Combined AB + TCF'!L46="x",3,0)</f>
        <v>0</v>
      </c>
    </row>
    <row r="246">
      <c r="B246" s="161">
        <f>'Original-WebNLG'!A48</f>
        <v>45</v>
      </c>
      <c r="C246" s="144">
        <f>IF('Original-WebNLG'!L48="x",3,0)</f>
        <v>0</v>
      </c>
      <c r="D246" s="144">
        <f>IF('WebNLG Combined OD + ZK'!L47="x",3,0)</f>
        <v>3</v>
      </c>
      <c r="E246" s="144">
        <f>IF('WebNLG Combined AB + TCF'!L47="x",3,0)</f>
        <v>3</v>
      </c>
    </row>
    <row r="247">
      <c r="B247" s="161">
        <f>'Original-WebNLG'!A49</f>
        <v>46</v>
      </c>
      <c r="C247" s="144">
        <f>IF('Original-WebNLG'!L49="x",3,0)</f>
        <v>0</v>
      </c>
      <c r="D247" s="144">
        <f>IF('WebNLG Combined OD + ZK'!L48="x",3,0)</f>
        <v>0</v>
      </c>
      <c r="E247" s="144">
        <f>IF('WebNLG Combined AB + TCF'!L48="x",3,0)</f>
        <v>0</v>
      </c>
    </row>
    <row r="248">
      <c r="B248" s="161">
        <f>'Original-WebNLG'!A50</f>
        <v>47</v>
      </c>
      <c r="C248" s="144">
        <f>IF('Original-WebNLG'!L50="x",3,0)</f>
        <v>0</v>
      </c>
      <c r="D248" s="144">
        <f>IF('WebNLG Combined OD + ZK'!L49="x",3,0)</f>
        <v>3</v>
      </c>
      <c r="E248" s="144">
        <f>IF('WebNLG Combined AB + TCF'!L49="x",3,0)</f>
        <v>0</v>
      </c>
    </row>
    <row r="249">
      <c r="B249" s="161">
        <f>'Original-WebNLG'!A51</f>
        <v>48</v>
      </c>
      <c r="C249" s="144">
        <f>IF('Original-WebNLG'!L51="x",3,0)</f>
        <v>0</v>
      </c>
      <c r="D249" s="144">
        <f>IF('WebNLG Combined OD + ZK'!L50="x",3,0)</f>
        <v>3</v>
      </c>
      <c r="E249" s="144">
        <f>IF('WebNLG Combined AB + TCF'!L50="x",3,0)</f>
        <v>0</v>
      </c>
    </row>
    <row r="250">
      <c r="B250" s="161">
        <f>'Original-WebNLG'!A52</f>
        <v>49</v>
      </c>
      <c r="C250" s="144">
        <f>IF('Original-WebNLG'!L52="x",3,0)</f>
        <v>0</v>
      </c>
      <c r="D250" s="144">
        <f>IF('WebNLG Combined OD + ZK'!L51="x",3,0)</f>
        <v>0</v>
      </c>
      <c r="E250" s="144">
        <f>IF('WebNLG Combined AB + TCF'!L51="x",3,0)</f>
        <v>0</v>
      </c>
    </row>
    <row r="251">
      <c r="B251" s="161">
        <f>'Original-WebNLG'!A53</f>
        <v>50</v>
      </c>
      <c r="C251" s="144">
        <f>IF('Original-WebNLG'!L53="x",3,0)</f>
        <v>0</v>
      </c>
      <c r="D251" s="144">
        <f>IF('WebNLG Combined OD + ZK'!L52="x",3,0)</f>
        <v>0</v>
      </c>
      <c r="E251" s="144">
        <f>IF('WebNLG Combined AB + TCF'!L52="x",3,0)</f>
        <v>0</v>
      </c>
    </row>
    <row r="252">
      <c r="B252" s="161">
        <f>'Original-WebNLG'!A54</f>
        <v>51</v>
      </c>
      <c r="C252" s="144">
        <f>IF('Original-WebNLG'!L54="x",3,0)</f>
        <v>0</v>
      </c>
      <c r="D252" s="144">
        <f>IF('WebNLG Combined OD + ZK'!L53="x",3,0)</f>
        <v>0</v>
      </c>
      <c r="E252" s="144">
        <f>IF('WebNLG Combined AB + TCF'!L53="x",3,0)</f>
        <v>0</v>
      </c>
    </row>
    <row r="253">
      <c r="B253" s="161">
        <f>'Original-WebNLG'!A55</f>
        <v>52</v>
      </c>
      <c r="C253" s="144">
        <f>IF('Original-WebNLG'!L55="x",3,0)</f>
        <v>0</v>
      </c>
      <c r="D253" s="144">
        <f>IF('WebNLG Combined OD + ZK'!L54="x",3,0)</f>
        <v>0</v>
      </c>
      <c r="E253" s="144">
        <f>IF('WebNLG Combined AB + TCF'!L54="x",3,0)</f>
        <v>0</v>
      </c>
    </row>
    <row r="254">
      <c r="B254" s="161">
        <f>'Original-WebNLG'!A56</f>
        <v>53</v>
      </c>
      <c r="C254" s="144">
        <f>IF('Original-WebNLG'!L56="x",3,0)</f>
        <v>0</v>
      </c>
      <c r="D254" s="144">
        <f>IF('WebNLG Combined OD + ZK'!L55="x",3,0)</f>
        <v>0</v>
      </c>
      <c r="E254" s="144">
        <f>IF('WebNLG Combined AB + TCF'!L55="x",3,0)</f>
        <v>0</v>
      </c>
    </row>
    <row r="255">
      <c r="B255" s="161">
        <f>'Original-WebNLG'!A57</f>
        <v>54</v>
      </c>
      <c r="C255" s="144">
        <f>IF('Original-WebNLG'!L57="x",3,0)</f>
        <v>3</v>
      </c>
      <c r="D255" s="144">
        <f>IF('WebNLG Combined OD + ZK'!L56="x",3,0)</f>
        <v>0</v>
      </c>
      <c r="E255" s="144">
        <f>IF('WebNLG Combined AB + TCF'!L56="x",3,0)</f>
        <v>0</v>
      </c>
    </row>
    <row r="256">
      <c r="B256" s="161">
        <f>'Original-WebNLG'!A58</f>
        <v>55</v>
      </c>
      <c r="C256" s="144">
        <f>IF('Original-WebNLG'!L58="x",3,0)</f>
        <v>0</v>
      </c>
      <c r="D256" s="144">
        <f>IF('WebNLG Combined OD + ZK'!L57="x",3,0)</f>
        <v>0</v>
      </c>
      <c r="E256" s="144">
        <f>IF('WebNLG Combined AB + TCF'!L57="x",3,0)</f>
        <v>3</v>
      </c>
    </row>
    <row r="257">
      <c r="B257" s="161">
        <f>'Original-WebNLG'!A59</f>
        <v>56</v>
      </c>
      <c r="C257" s="144">
        <f>IF('Original-WebNLG'!L59="x",3,0)</f>
        <v>0</v>
      </c>
      <c r="D257" s="144">
        <f>IF('WebNLG Combined OD + ZK'!L58="x",3,0)</f>
        <v>3</v>
      </c>
      <c r="E257" s="144">
        <f>IF('WebNLG Combined AB + TCF'!L58="x",3,0)</f>
        <v>0</v>
      </c>
    </row>
    <row r="258">
      <c r="B258" s="161">
        <f>'Original-WebNLG'!A60</f>
        <v>57</v>
      </c>
      <c r="C258" s="144">
        <f>IF('Original-WebNLG'!L60="x",3,0)</f>
        <v>0</v>
      </c>
      <c r="D258" s="144">
        <f>IF('WebNLG Combined OD + ZK'!L59="x",3,0)</f>
        <v>0</v>
      </c>
      <c r="E258" s="144">
        <f>IF('WebNLG Combined AB + TCF'!L59="x",3,0)</f>
        <v>0</v>
      </c>
    </row>
    <row r="259">
      <c r="B259" s="161">
        <f>'Original-WebNLG'!A61</f>
        <v>58</v>
      </c>
      <c r="C259" s="144">
        <f>IF('Original-WebNLG'!L61="x",3,0)</f>
        <v>3</v>
      </c>
      <c r="D259" s="144">
        <f>IF('WebNLG Combined OD + ZK'!L60="x",3,0)</f>
        <v>0</v>
      </c>
      <c r="E259" s="144">
        <f>IF('WebNLG Combined AB + TCF'!L60="x",3,0)</f>
        <v>0</v>
      </c>
    </row>
    <row r="260">
      <c r="B260" s="161">
        <f>'Original-WebNLG'!A62</f>
        <v>59</v>
      </c>
      <c r="C260" s="144">
        <f>IF('Original-WebNLG'!L62="x",3,0)</f>
        <v>0</v>
      </c>
      <c r="D260" s="144">
        <f>IF('WebNLG Combined OD + ZK'!L61="x",3,0)</f>
        <v>0</v>
      </c>
      <c r="E260" s="144">
        <f>IF('WebNLG Combined AB + TCF'!L61="x",3,0)</f>
        <v>0</v>
      </c>
    </row>
    <row r="261">
      <c r="B261" s="161">
        <f>'Original-WebNLG'!A63</f>
        <v>60</v>
      </c>
      <c r="C261" s="144">
        <f>IF('Original-WebNLG'!L63="x",3,0)</f>
        <v>0</v>
      </c>
      <c r="D261" s="144">
        <f>IF('WebNLG Combined OD + ZK'!L62="x",3,0)</f>
        <v>3</v>
      </c>
      <c r="E261" s="144">
        <f>IF('WebNLG Combined AB + TCF'!L62="x",3,0)</f>
        <v>0</v>
      </c>
    </row>
    <row r="262">
      <c r="B262" s="161">
        <f>'Original-WebNLG'!A64</f>
        <v>61</v>
      </c>
      <c r="C262" s="144">
        <f>IF('Original-WebNLG'!L64="x",3,0)</f>
        <v>0</v>
      </c>
      <c r="D262" s="144">
        <f>IF('WebNLG Combined OD + ZK'!L63="x",3,0)</f>
        <v>3</v>
      </c>
      <c r="E262" s="144">
        <f>IF('WebNLG Combined AB + TCF'!L63="x",3,0)</f>
        <v>0</v>
      </c>
    </row>
    <row r="263">
      <c r="B263" s="161">
        <f>'Original-WebNLG'!A65</f>
        <v>62</v>
      </c>
      <c r="C263" s="144">
        <f>IF('Original-WebNLG'!L65="x",3,0)</f>
        <v>3</v>
      </c>
      <c r="D263" s="144">
        <f>IF('WebNLG Combined OD + ZK'!L64="x",3,0)</f>
        <v>0</v>
      </c>
      <c r="E263" s="144">
        <f>IF('WebNLG Combined AB + TCF'!L64="x",3,0)</f>
        <v>0</v>
      </c>
    </row>
    <row r="264">
      <c r="B264" s="161">
        <f>'Original-WebNLG'!A66</f>
        <v>63</v>
      </c>
      <c r="C264" s="144">
        <f>IF('Original-WebNLG'!L66="x",3,0)</f>
        <v>0</v>
      </c>
      <c r="D264" s="144">
        <f>IF('WebNLG Combined OD + ZK'!L65="x",3,0)</f>
        <v>0</v>
      </c>
      <c r="E264" s="144">
        <f>IF('WebNLG Combined AB + TCF'!L65="x",3,0)</f>
        <v>0</v>
      </c>
    </row>
    <row r="265">
      <c r="B265" s="161">
        <f>'Original-WebNLG'!A67</f>
        <v>64</v>
      </c>
      <c r="C265" s="144">
        <f>IF('Original-WebNLG'!L67="x",3,0)</f>
        <v>0</v>
      </c>
      <c r="D265" s="144">
        <f>IF('WebNLG Combined OD + ZK'!L66="x",3,0)</f>
        <v>0</v>
      </c>
      <c r="E265" s="144">
        <f>IF('WebNLG Combined AB + TCF'!L66="x",3,0)</f>
        <v>0</v>
      </c>
    </row>
    <row r="266">
      <c r="B266" s="161">
        <f>'Original-WebNLG'!A68</f>
        <v>65</v>
      </c>
      <c r="C266" s="144">
        <f>IF('Original-WebNLG'!L68="x",3,0)</f>
        <v>0</v>
      </c>
      <c r="D266" s="144">
        <f>IF('WebNLG Combined OD + ZK'!L67="x",3,0)</f>
        <v>0</v>
      </c>
      <c r="E266" s="144">
        <f>IF('WebNLG Combined AB + TCF'!L67="x",3,0)</f>
        <v>0</v>
      </c>
    </row>
    <row r="267">
      <c r="B267" s="161">
        <f>'Original-WebNLG'!A69</f>
        <v>66</v>
      </c>
      <c r="C267" s="144">
        <f>IF('Original-WebNLG'!L69="x",3,0)</f>
        <v>0</v>
      </c>
      <c r="D267" s="144">
        <f>IF('WebNLG Combined OD + ZK'!L68="x",3,0)</f>
        <v>0</v>
      </c>
      <c r="E267" s="144">
        <f>IF('WebNLG Combined AB + TCF'!L68="x",3,0)</f>
        <v>0</v>
      </c>
    </row>
    <row r="268">
      <c r="B268" s="161">
        <f>'Original-WebNLG'!A70</f>
        <v>67</v>
      </c>
      <c r="C268" s="144">
        <f>IF('Original-WebNLG'!L70="x",3,0)</f>
        <v>0</v>
      </c>
      <c r="D268" s="144">
        <f>IF('WebNLG Combined OD + ZK'!L69="x",3,0)</f>
        <v>0</v>
      </c>
      <c r="E268" s="144">
        <f>IF('WebNLG Combined AB + TCF'!L69="x",3,0)</f>
        <v>0</v>
      </c>
    </row>
    <row r="269">
      <c r="B269" s="161">
        <f>'Original-WebNLG'!A71</f>
        <v>68</v>
      </c>
      <c r="C269" s="144">
        <f>IF('Original-WebNLG'!L71="x",3,0)</f>
        <v>0</v>
      </c>
      <c r="D269" s="144">
        <f>IF('WebNLG Combined OD + ZK'!L70="x",3,0)</f>
        <v>3</v>
      </c>
      <c r="E269" s="144">
        <f>IF('WebNLG Combined AB + TCF'!L70="x",3,0)</f>
        <v>0</v>
      </c>
    </row>
    <row r="270">
      <c r="B270" s="161">
        <f>'Original-WebNLG'!A72</f>
        <v>69</v>
      </c>
      <c r="C270" s="144">
        <f>IF('Original-WebNLG'!L72="x",3,0)</f>
        <v>0</v>
      </c>
      <c r="D270" s="144">
        <f>IF('WebNLG Combined OD + ZK'!L71="x",3,0)</f>
        <v>0</v>
      </c>
      <c r="E270" s="144">
        <f>IF('WebNLG Combined AB + TCF'!L71="x",3,0)</f>
        <v>0</v>
      </c>
    </row>
    <row r="271">
      <c r="B271" s="161">
        <f>'Original-WebNLG'!A73</f>
        <v>70</v>
      </c>
      <c r="C271" s="144">
        <f>IF('Original-WebNLG'!L73="x",3,0)</f>
        <v>0</v>
      </c>
      <c r="D271" s="144">
        <f>IF('WebNLG Combined OD + ZK'!L72="x",3,0)</f>
        <v>3</v>
      </c>
      <c r="E271" s="144">
        <f>IF('WebNLG Combined AB + TCF'!L72="x",3,0)</f>
        <v>0</v>
      </c>
    </row>
    <row r="272">
      <c r="B272" s="161">
        <f>'Original-WebNLG'!A74</f>
        <v>71</v>
      </c>
      <c r="C272" s="144">
        <f>IF('Original-WebNLG'!L74="x",3,0)</f>
        <v>0</v>
      </c>
      <c r="D272" s="144">
        <f>IF('WebNLG Combined OD + ZK'!L73="x",3,0)</f>
        <v>3</v>
      </c>
      <c r="E272" s="144">
        <f>IF('WebNLG Combined AB + TCF'!L73="x",3,0)</f>
        <v>3</v>
      </c>
    </row>
    <row r="273">
      <c r="B273" s="161">
        <f>'Original-WebNLG'!A75</f>
        <v>72</v>
      </c>
      <c r="C273" s="144">
        <f>IF('Original-WebNLG'!L75="x",3,0)</f>
        <v>0</v>
      </c>
      <c r="D273" s="144">
        <f>IF('WebNLG Combined OD + ZK'!L74="x",3,0)</f>
        <v>0</v>
      </c>
      <c r="E273" s="144">
        <f>IF('WebNLG Combined AB + TCF'!L74="x",3,0)</f>
        <v>0</v>
      </c>
    </row>
    <row r="274">
      <c r="B274" s="161">
        <f>'Original-WebNLG'!A76</f>
        <v>73</v>
      </c>
      <c r="C274" s="144">
        <f>IF('Original-WebNLG'!L76="x",3,0)</f>
        <v>0</v>
      </c>
      <c r="D274" s="144">
        <f>IF('WebNLG Combined OD + ZK'!L75="x",3,0)</f>
        <v>3</v>
      </c>
      <c r="E274" s="144">
        <f>IF('WebNLG Combined AB + TCF'!L75="x",3,0)</f>
        <v>0</v>
      </c>
    </row>
    <row r="275">
      <c r="B275" s="161">
        <f>'Original-WebNLG'!A77</f>
        <v>74</v>
      </c>
      <c r="C275" s="144">
        <f>IF('Original-WebNLG'!L77="x",3,0)</f>
        <v>0</v>
      </c>
      <c r="D275" s="144">
        <f>IF('WebNLG Combined OD + ZK'!L76="x",3,0)</f>
        <v>0</v>
      </c>
      <c r="E275" s="144">
        <f>IF('WebNLG Combined AB + TCF'!L76="x",3,0)</f>
        <v>0</v>
      </c>
    </row>
    <row r="276">
      <c r="B276" s="161">
        <f>'Original-WebNLG'!A78</f>
        <v>75</v>
      </c>
      <c r="C276" s="144">
        <f>IF('Original-WebNLG'!L78="x",3,0)</f>
        <v>0</v>
      </c>
      <c r="D276" s="144">
        <f>IF('WebNLG Combined OD + ZK'!L77="x",3,0)</f>
        <v>0</v>
      </c>
      <c r="E276" s="144">
        <f>IF('WebNLG Combined AB + TCF'!L77="x",3,0)</f>
        <v>3</v>
      </c>
    </row>
    <row r="277">
      <c r="B277" s="161">
        <f>'Original-WebNLG'!A79</f>
        <v>76</v>
      </c>
      <c r="C277" s="144">
        <f>IF('Original-WebNLG'!L79="x",3,0)</f>
        <v>0</v>
      </c>
      <c r="D277" s="144">
        <f>IF('WebNLG Combined OD + ZK'!L78="x",3,0)</f>
        <v>0</v>
      </c>
      <c r="E277" s="144">
        <f>IF('WebNLG Combined AB + TCF'!L78="x",3,0)</f>
        <v>0</v>
      </c>
    </row>
    <row r="278">
      <c r="B278" s="161">
        <f>'Original-WebNLG'!A80</f>
        <v>77</v>
      </c>
      <c r="C278" s="144">
        <f>IF('Original-WebNLG'!L80="x",3,0)</f>
        <v>0</v>
      </c>
      <c r="D278" s="144">
        <f>IF('WebNLG Combined OD + ZK'!L79="x",3,0)</f>
        <v>0</v>
      </c>
      <c r="E278" s="144">
        <f>IF('WebNLG Combined AB + TCF'!L79="x",3,0)</f>
        <v>0</v>
      </c>
    </row>
    <row r="279">
      <c r="B279" s="161">
        <f>'Original-WebNLG'!A81</f>
        <v>78</v>
      </c>
      <c r="C279" s="144">
        <f>IF('Original-WebNLG'!L81="x",3,0)</f>
        <v>0</v>
      </c>
      <c r="D279" s="144">
        <f>IF('WebNLG Combined OD + ZK'!L80="x",3,0)</f>
        <v>0</v>
      </c>
      <c r="E279" s="144">
        <f>IF('WebNLG Combined AB + TCF'!L80="x",3,0)</f>
        <v>0</v>
      </c>
    </row>
    <row r="280">
      <c r="B280" s="161">
        <f>'Original-WebNLG'!A82</f>
        <v>79</v>
      </c>
      <c r="C280" s="144">
        <f>IF('Original-WebNLG'!L82="x",3,0)</f>
        <v>0</v>
      </c>
      <c r="D280" s="144">
        <f>IF('WebNLG Combined OD + ZK'!L81="x",3,0)</f>
        <v>0</v>
      </c>
      <c r="E280" s="144">
        <f>IF('WebNLG Combined AB + TCF'!L81="x",3,0)</f>
        <v>0</v>
      </c>
    </row>
    <row r="281">
      <c r="B281" s="161">
        <f>'Original-WebNLG'!A83</f>
        <v>80</v>
      </c>
      <c r="C281" s="144">
        <f>IF('Original-WebNLG'!L83="x",3,0)</f>
        <v>0</v>
      </c>
      <c r="D281" s="144">
        <f>IF('WebNLG Combined OD + ZK'!L82="x",3,0)</f>
        <v>0</v>
      </c>
      <c r="E281" s="144">
        <f>IF('WebNLG Combined AB + TCF'!L82="x",3,0)</f>
        <v>0</v>
      </c>
    </row>
    <row r="282">
      <c r="B282" s="161">
        <f>'Original-WebNLG'!A84</f>
        <v>81</v>
      </c>
      <c r="C282" s="144">
        <f>IF('Original-WebNLG'!L84="x",3,0)</f>
        <v>3</v>
      </c>
      <c r="D282" s="144">
        <f>IF('WebNLG Combined OD + ZK'!L83="x",3,0)</f>
        <v>3</v>
      </c>
      <c r="E282" s="144">
        <f>IF('WebNLG Combined AB + TCF'!L83="x",3,0)</f>
        <v>0</v>
      </c>
    </row>
    <row r="283">
      <c r="B283" s="161">
        <f>'Original-WebNLG'!A85</f>
        <v>82</v>
      </c>
      <c r="C283" s="144">
        <f>IF('Original-WebNLG'!L85="x",3,0)</f>
        <v>0</v>
      </c>
      <c r="D283" s="144">
        <f>IF('WebNLG Combined OD + ZK'!L84="x",3,0)</f>
        <v>0</v>
      </c>
      <c r="E283" s="144">
        <f>IF('WebNLG Combined AB + TCF'!L84="x",3,0)</f>
        <v>0</v>
      </c>
    </row>
    <row r="284">
      <c r="B284" s="161">
        <f>'Original-WebNLG'!A86</f>
        <v>83</v>
      </c>
      <c r="C284" s="144">
        <f>IF('Original-WebNLG'!L86="x",3,0)</f>
        <v>0</v>
      </c>
      <c r="D284" s="144">
        <f>IF('WebNLG Combined OD + ZK'!L85="x",3,0)</f>
        <v>0</v>
      </c>
      <c r="E284" s="144">
        <f>IF('WebNLG Combined AB + TCF'!L85="x",3,0)</f>
        <v>0</v>
      </c>
    </row>
    <row r="285">
      <c r="B285" s="161">
        <f>'Original-WebNLG'!A87</f>
        <v>84</v>
      </c>
      <c r="C285" s="144">
        <f>IF('Original-WebNLG'!L87="x",3,0)</f>
        <v>3</v>
      </c>
      <c r="D285" s="144">
        <f>IF('WebNLG Combined OD + ZK'!L86="x",3,0)</f>
        <v>0</v>
      </c>
      <c r="E285" s="144">
        <f>IF('WebNLG Combined AB + TCF'!L86="x",3,0)</f>
        <v>0</v>
      </c>
    </row>
    <row r="286">
      <c r="B286" s="161">
        <f>'Original-WebNLG'!A88</f>
        <v>85</v>
      </c>
      <c r="C286" s="144">
        <f>IF('Original-WebNLG'!L88="x",3,0)</f>
        <v>0</v>
      </c>
      <c r="D286" s="144">
        <f>IF('WebNLG Combined OD + ZK'!L87="x",3,0)</f>
        <v>3</v>
      </c>
      <c r="E286" s="144">
        <f>IF('WebNLG Combined AB + TCF'!L87="x",3,0)</f>
        <v>0</v>
      </c>
    </row>
    <row r="287">
      <c r="B287" s="161">
        <f>'Original-WebNLG'!A89</f>
        <v>86</v>
      </c>
      <c r="C287" s="144">
        <f>IF('Original-WebNLG'!L89="x",3,0)</f>
        <v>3</v>
      </c>
      <c r="D287" s="144">
        <f>IF('WebNLG Combined OD + ZK'!L88="x",3,0)</f>
        <v>0</v>
      </c>
      <c r="E287" s="144">
        <f>IF('WebNLG Combined AB + TCF'!L88="x",3,0)</f>
        <v>0</v>
      </c>
    </row>
    <row r="288">
      <c r="B288" s="161">
        <f>'Original-WebNLG'!A90</f>
        <v>87</v>
      </c>
      <c r="C288" s="144">
        <f>IF('Original-WebNLG'!L90="x",3,0)</f>
        <v>0</v>
      </c>
      <c r="D288" s="144">
        <f>IF('WebNLG Combined OD + ZK'!L89="x",3,0)</f>
        <v>0</v>
      </c>
      <c r="E288" s="144">
        <f>IF('WebNLG Combined AB + TCF'!L89="x",3,0)</f>
        <v>0</v>
      </c>
    </row>
    <row r="289">
      <c r="B289" s="161">
        <f>'Original-WebNLG'!A91</f>
        <v>88</v>
      </c>
      <c r="C289" s="144">
        <f>IF('Original-WebNLG'!L91="x",3,0)</f>
        <v>0</v>
      </c>
      <c r="D289" s="144">
        <f>IF('WebNLG Combined OD + ZK'!L90="x",3,0)</f>
        <v>3</v>
      </c>
      <c r="E289" s="144">
        <f>IF('WebNLG Combined AB + TCF'!L90="x",3,0)</f>
        <v>0</v>
      </c>
    </row>
    <row r="290">
      <c r="B290" s="161">
        <f>'Original-WebNLG'!A92</f>
        <v>89</v>
      </c>
      <c r="C290" s="144">
        <f>IF('Original-WebNLG'!L92="x",3,0)</f>
        <v>0</v>
      </c>
      <c r="D290" s="144">
        <f>IF('WebNLG Combined OD + ZK'!L91="x",3,0)</f>
        <v>0</v>
      </c>
      <c r="E290" s="144">
        <f>IF('WebNLG Combined AB + TCF'!L91="x",3,0)</f>
        <v>0</v>
      </c>
    </row>
    <row r="291">
      <c r="B291" s="161">
        <f>'Original-WebNLG'!A93</f>
        <v>90</v>
      </c>
      <c r="C291" s="144">
        <f>IF('Original-WebNLG'!L93="x",3,0)</f>
        <v>0</v>
      </c>
      <c r="D291" s="144">
        <f>IF('WebNLG Combined OD + ZK'!L92="x",3,0)</f>
        <v>0</v>
      </c>
      <c r="E291" s="144">
        <f>IF('WebNLG Combined AB + TCF'!L92="x",3,0)</f>
        <v>0</v>
      </c>
    </row>
    <row r="292">
      <c r="B292" s="161">
        <f>'Original-WebNLG'!A94</f>
        <v>91</v>
      </c>
      <c r="C292" s="144">
        <f>IF('Original-WebNLG'!L94="x",3,0)</f>
        <v>0</v>
      </c>
      <c r="D292" s="144">
        <f>IF('WebNLG Combined OD + ZK'!L93="x",3,0)</f>
        <v>0</v>
      </c>
      <c r="E292" s="144">
        <f>IF('WebNLG Combined AB + TCF'!L93="x",3,0)</f>
        <v>0</v>
      </c>
    </row>
    <row r="293">
      <c r="B293" s="161">
        <f>'Original-WebNLG'!A95</f>
        <v>92</v>
      </c>
      <c r="C293" s="144">
        <f>IF('Original-WebNLG'!L95="x",3,0)</f>
        <v>0</v>
      </c>
      <c r="D293" s="144">
        <f>IF('WebNLG Combined OD + ZK'!L94="x",3,0)</f>
        <v>3</v>
      </c>
      <c r="E293" s="144">
        <f>IF('WebNLG Combined AB + TCF'!L94="x",3,0)</f>
        <v>0</v>
      </c>
    </row>
    <row r="294">
      <c r="B294" s="161">
        <f>'Original-WebNLG'!A96</f>
        <v>93</v>
      </c>
      <c r="C294" s="144">
        <f>IF('Original-WebNLG'!L96="x",3,0)</f>
        <v>0</v>
      </c>
      <c r="D294" s="144">
        <f>IF('WebNLG Combined OD + ZK'!L95="x",3,0)</f>
        <v>0</v>
      </c>
      <c r="E294" s="144">
        <f>IF('WebNLG Combined AB + TCF'!L95="x",3,0)</f>
        <v>0</v>
      </c>
    </row>
    <row r="295">
      <c r="B295" s="161">
        <f>'Original-WebNLG'!A97</f>
        <v>94</v>
      </c>
      <c r="C295" s="144">
        <f>IF('Original-WebNLG'!L97="x",3,0)</f>
        <v>0</v>
      </c>
      <c r="D295" s="144">
        <f>IF('WebNLG Combined OD + ZK'!L96="x",3,0)</f>
        <v>3</v>
      </c>
      <c r="E295" s="144">
        <f>IF('WebNLG Combined AB + TCF'!L96="x",3,0)</f>
        <v>0</v>
      </c>
    </row>
    <row r="296">
      <c r="B296" s="161">
        <f>'Original-WebNLG'!A98</f>
        <v>95</v>
      </c>
      <c r="C296" s="144">
        <f>IF('Original-WebNLG'!L98="x",3,0)</f>
        <v>0</v>
      </c>
      <c r="D296" s="144">
        <f>IF('WebNLG Combined OD + ZK'!L97="x",3,0)</f>
        <v>0</v>
      </c>
      <c r="E296" s="144">
        <f>IF('WebNLG Combined AB + TCF'!L97="x",3,0)</f>
        <v>0</v>
      </c>
    </row>
    <row r="297">
      <c r="B297" s="161">
        <f>'Original-WebNLG'!A99</f>
        <v>96</v>
      </c>
      <c r="C297" s="144">
        <f>IF('Original-WebNLG'!L99="x",3,0)</f>
        <v>0</v>
      </c>
      <c r="D297" s="144">
        <f>IF('WebNLG Combined OD + ZK'!L98="x",3,0)</f>
        <v>3</v>
      </c>
      <c r="E297" s="144">
        <f>IF('WebNLG Combined AB + TCF'!L98="x",3,0)</f>
        <v>0</v>
      </c>
    </row>
    <row r="298">
      <c r="B298" s="161">
        <f>'Original-WebNLG'!A100</f>
        <v>97</v>
      </c>
      <c r="C298" s="144">
        <f>IF('Original-WebNLG'!L100="x",3,0)</f>
        <v>0</v>
      </c>
      <c r="D298" s="144">
        <f>IF('WebNLG Combined OD + ZK'!L99="x",3,0)</f>
        <v>0</v>
      </c>
      <c r="E298" s="144">
        <f>IF('WebNLG Combined AB + TCF'!L99="x",3,0)</f>
        <v>0</v>
      </c>
    </row>
    <row r="299">
      <c r="B299" s="161">
        <f>'Original-WebNLG'!A101</f>
        <v>98</v>
      </c>
      <c r="C299" s="144">
        <f>IF('Original-WebNLG'!L101="x",3,0)</f>
        <v>0</v>
      </c>
      <c r="D299" s="144">
        <f>IF('WebNLG Combined OD + ZK'!L100="x",3,0)</f>
        <v>3</v>
      </c>
      <c r="E299" s="144">
        <f>IF('WebNLG Combined AB + TCF'!L100="x",3,0)</f>
        <v>0</v>
      </c>
    </row>
    <row r="300">
      <c r="B300" s="161">
        <f>'Original-WebNLG'!A102</f>
        <v>99</v>
      </c>
      <c r="C300" s="144">
        <f>IF('Original-WebNLG'!L102="x",3,0)</f>
        <v>0</v>
      </c>
      <c r="D300" s="144">
        <f>IF('WebNLG Combined OD + ZK'!L101="x",3,0)</f>
        <v>0</v>
      </c>
      <c r="E300" s="144">
        <f>IF('WebNLG Combined AB + TCF'!L101="x",3,0)</f>
        <v>0</v>
      </c>
    </row>
    <row r="301">
      <c r="B301" s="161">
        <f>'Original-WebNLG'!A103</f>
        <v>100</v>
      </c>
      <c r="C301" s="144">
        <f>IF('Original-WebNLG'!L103="x",3,0)</f>
        <v>0</v>
      </c>
      <c r="D301" s="144">
        <f>IF('WebNLG Combined OD + ZK'!L102="x",3,0)</f>
        <v>0</v>
      </c>
      <c r="E301" s="144">
        <f>IF('WebNLG Combined AB + TCF'!L102="x",3,0)</f>
        <v>0</v>
      </c>
    </row>
    <row r="302">
      <c r="A302" s="98" t="s">
        <v>1045</v>
      </c>
      <c r="B302" s="160">
        <f>'Original-WebNLG'!A4</f>
        <v>1</v>
      </c>
      <c r="C302" s="144">
        <f>IF('Original-WebNLG'!M4="x",4,0)</f>
        <v>0</v>
      </c>
      <c r="D302" s="144">
        <f>IF('WebNLG Combined OD + ZK'!M3="x",4,0)</f>
        <v>4</v>
      </c>
      <c r="E302" s="144">
        <f>IF('WebNLG Combined AB + TCF'!M3="x",4,0)</f>
        <v>0</v>
      </c>
    </row>
    <row r="303">
      <c r="B303" s="160">
        <f>'Original-WebNLG'!A5</f>
        <v>2</v>
      </c>
      <c r="C303" s="144">
        <f>IF('Original-WebNLG'!M5="x",4,0)</f>
        <v>0</v>
      </c>
      <c r="D303" s="144">
        <f>IF('WebNLG Combined OD + ZK'!M4="x",4,0)</f>
        <v>0</v>
      </c>
      <c r="E303" s="144">
        <f>IF('WebNLG Combined AB + TCF'!M4="x",4,0)</f>
        <v>4</v>
      </c>
    </row>
    <row r="304">
      <c r="B304" s="160">
        <f>'Original-WebNLG'!A6</f>
        <v>3</v>
      </c>
      <c r="C304" s="144">
        <f>IF('Original-WebNLG'!M6="x",4,0)</f>
        <v>0</v>
      </c>
      <c r="D304" s="144">
        <f>IF('WebNLG Combined OD + ZK'!M5="x",4,0)</f>
        <v>4</v>
      </c>
      <c r="E304" s="144">
        <f>IF('WebNLG Combined AB + TCF'!M5="x",4,0)</f>
        <v>0</v>
      </c>
    </row>
    <row r="305">
      <c r="B305" s="160">
        <f>'Original-WebNLG'!A7</f>
        <v>4</v>
      </c>
      <c r="C305" s="144">
        <f>IF('Original-WebNLG'!M7="x",4,0)</f>
        <v>0</v>
      </c>
      <c r="D305" s="144">
        <f>IF('WebNLG Combined OD + ZK'!M6="x",4,0)</f>
        <v>0</v>
      </c>
      <c r="E305" s="144">
        <f>IF('WebNLG Combined AB + TCF'!M6="x",4,0)</f>
        <v>0</v>
      </c>
    </row>
    <row r="306">
      <c r="B306" s="160">
        <f>'Original-WebNLG'!A8</f>
        <v>5</v>
      </c>
      <c r="C306" s="144">
        <f>IF('Original-WebNLG'!M8="x",4,0)</f>
        <v>0</v>
      </c>
      <c r="D306" s="144">
        <f>IF('WebNLG Combined OD + ZK'!M7="x",4,0)</f>
        <v>0</v>
      </c>
      <c r="E306" s="144">
        <f>IF('WebNLG Combined AB + TCF'!M7="x",4,0)</f>
        <v>0</v>
      </c>
    </row>
    <row r="307">
      <c r="B307" s="160">
        <f>'Original-WebNLG'!A9</f>
        <v>6</v>
      </c>
      <c r="C307" s="144">
        <f>IF('Original-WebNLG'!M9="x",4,0)</f>
        <v>4</v>
      </c>
      <c r="D307" s="144">
        <f>IF('WebNLG Combined OD + ZK'!M8="x",4,0)</f>
        <v>4</v>
      </c>
      <c r="E307" s="144">
        <f>IF('WebNLG Combined AB + TCF'!M8="x",4,0)</f>
        <v>4</v>
      </c>
    </row>
    <row r="308">
      <c r="B308" s="160">
        <f>'Original-WebNLG'!A10</f>
        <v>7</v>
      </c>
      <c r="C308" s="144">
        <f>IF('Original-WebNLG'!M10="x",4,0)</f>
        <v>0</v>
      </c>
      <c r="D308" s="144">
        <f>IF('WebNLG Combined OD + ZK'!M9="x",4,0)</f>
        <v>0</v>
      </c>
      <c r="E308" s="144">
        <f>IF('WebNLG Combined AB + TCF'!M9="x",4,0)</f>
        <v>0</v>
      </c>
    </row>
    <row r="309">
      <c r="B309" s="160">
        <f>'Original-WebNLG'!A11</f>
        <v>8</v>
      </c>
      <c r="C309" s="144">
        <f>IF('Original-WebNLG'!M11="x",4,0)</f>
        <v>0</v>
      </c>
      <c r="D309" s="144">
        <f>IF('WebNLG Combined OD + ZK'!M10="x",4,0)</f>
        <v>0</v>
      </c>
      <c r="E309" s="144">
        <f>IF('WebNLG Combined AB + TCF'!M10="x",4,0)</f>
        <v>0</v>
      </c>
    </row>
    <row r="310">
      <c r="B310" s="160">
        <f>'Original-WebNLG'!A12</f>
        <v>9</v>
      </c>
      <c r="C310" s="144">
        <f>IF('Original-WebNLG'!M12="x",4,0)</f>
        <v>0</v>
      </c>
      <c r="D310" s="144">
        <f>IF('WebNLG Combined OD + ZK'!M11="x",4,0)</f>
        <v>4</v>
      </c>
      <c r="E310" s="144">
        <f>IF('WebNLG Combined AB + TCF'!M11="x",4,0)</f>
        <v>0</v>
      </c>
    </row>
    <row r="311">
      <c r="B311" s="160">
        <f>'Original-WebNLG'!A13</f>
        <v>10</v>
      </c>
      <c r="C311" s="144">
        <f>IF('Original-WebNLG'!M13="x",4,0)</f>
        <v>0</v>
      </c>
      <c r="D311" s="144">
        <f>IF('WebNLG Combined OD + ZK'!M12="x",4,0)</f>
        <v>0</v>
      </c>
      <c r="E311" s="144">
        <f>IF('WebNLG Combined AB + TCF'!M12="x",4,0)</f>
        <v>0</v>
      </c>
    </row>
    <row r="312">
      <c r="B312" s="160">
        <f>'Original-WebNLG'!A14</f>
        <v>11</v>
      </c>
      <c r="C312" s="144">
        <f>IF('Original-WebNLG'!M14="x",4,0)</f>
        <v>4</v>
      </c>
      <c r="D312" s="144">
        <f>IF('WebNLG Combined OD + ZK'!M13="x",4,0)</f>
        <v>4</v>
      </c>
      <c r="E312" s="144">
        <f>IF('WebNLG Combined AB + TCF'!M13="x",4,0)</f>
        <v>4</v>
      </c>
    </row>
    <row r="313">
      <c r="B313" s="160">
        <f>'Original-WebNLG'!A15</f>
        <v>12</v>
      </c>
      <c r="C313" s="144">
        <f>IF('Original-WebNLG'!M15="x",4,0)</f>
        <v>0</v>
      </c>
      <c r="D313" s="144">
        <f>IF('WebNLG Combined OD + ZK'!M14="x",4,0)</f>
        <v>0</v>
      </c>
      <c r="E313" s="144">
        <f>IF('WebNLG Combined AB + TCF'!M14="x",4,0)</f>
        <v>0</v>
      </c>
    </row>
    <row r="314">
      <c r="B314" s="160">
        <f>'Original-WebNLG'!A16</f>
        <v>13</v>
      </c>
      <c r="C314" s="144">
        <f>IF('Original-WebNLG'!M16="x",4,0)</f>
        <v>0</v>
      </c>
      <c r="D314" s="144">
        <f>IF('WebNLG Combined OD + ZK'!M15="x",4,0)</f>
        <v>0</v>
      </c>
      <c r="E314" s="144">
        <f>IF('WebNLG Combined AB + TCF'!M15="x",4,0)</f>
        <v>4</v>
      </c>
    </row>
    <row r="315">
      <c r="B315" s="160">
        <f>'Original-WebNLG'!A17</f>
        <v>14</v>
      </c>
      <c r="C315" s="144">
        <f>IF('Original-WebNLG'!M17="x",4,0)</f>
        <v>0</v>
      </c>
      <c r="D315" s="144">
        <f>IF('WebNLG Combined OD + ZK'!M16="x",4,0)</f>
        <v>4</v>
      </c>
      <c r="E315" s="144">
        <f>IF('WebNLG Combined AB + TCF'!M16="x",4,0)</f>
        <v>4</v>
      </c>
    </row>
    <row r="316">
      <c r="B316" s="160">
        <f>'Original-WebNLG'!A18</f>
        <v>15</v>
      </c>
      <c r="C316" s="144">
        <f>IF('Original-WebNLG'!M18="x",4,0)</f>
        <v>0</v>
      </c>
      <c r="D316" s="144">
        <f>IF('WebNLG Combined OD + ZK'!M17="x",4,0)</f>
        <v>4</v>
      </c>
      <c r="E316" s="144">
        <f>IF('WebNLG Combined AB + TCF'!M17="x",4,0)</f>
        <v>4</v>
      </c>
    </row>
    <row r="317">
      <c r="B317" s="160">
        <f>'Original-WebNLG'!A19</f>
        <v>16</v>
      </c>
      <c r="C317" s="144">
        <f>IF('Original-WebNLG'!M19="x",4,0)</f>
        <v>0</v>
      </c>
      <c r="D317" s="144">
        <f>IF('WebNLG Combined OD + ZK'!M18="x",4,0)</f>
        <v>0</v>
      </c>
      <c r="E317" s="144">
        <f>IF('WebNLG Combined AB + TCF'!M18="x",4,0)</f>
        <v>0</v>
      </c>
    </row>
    <row r="318">
      <c r="B318" s="160">
        <f>'Original-WebNLG'!A20</f>
        <v>17</v>
      </c>
      <c r="C318" s="144">
        <f>IF('Original-WebNLG'!M20="x",4,0)</f>
        <v>0</v>
      </c>
      <c r="D318" s="144">
        <f>IF('WebNLG Combined OD + ZK'!M19="x",4,0)</f>
        <v>0</v>
      </c>
      <c r="E318" s="144">
        <f>IF('WebNLG Combined AB + TCF'!M19="x",4,0)</f>
        <v>4</v>
      </c>
    </row>
    <row r="319">
      <c r="B319" s="160">
        <f>'Original-WebNLG'!A21</f>
        <v>18</v>
      </c>
      <c r="C319" s="144">
        <f>IF('Original-WebNLG'!M21="x",4,0)</f>
        <v>0</v>
      </c>
      <c r="D319" s="144">
        <f>IF('WebNLG Combined OD + ZK'!M20="x",4,0)</f>
        <v>0</v>
      </c>
      <c r="E319" s="144">
        <f>IF('WebNLG Combined AB + TCF'!M20="x",4,0)</f>
        <v>0</v>
      </c>
    </row>
    <row r="320">
      <c r="B320" s="160">
        <f>'Original-WebNLG'!A22</f>
        <v>19</v>
      </c>
      <c r="C320" s="144">
        <f>IF('Original-WebNLG'!M22="x",4,0)</f>
        <v>0</v>
      </c>
      <c r="D320" s="144">
        <f>IF('WebNLG Combined OD + ZK'!M21="x",4,0)</f>
        <v>0</v>
      </c>
      <c r="E320" s="144">
        <f>IF('WebNLG Combined AB + TCF'!M21="x",4,0)</f>
        <v>0</v>
      </c>
    </row>
    <row r="321">
      <c r="B321" s="160">
        <f>'Original-WebNLG'!A23</f>
        <v>20</v>
      </c>
      <c r="C321" s="144">
        <f>IF('Original-WebNLG'!M23="x",4,0)</f>
        <v>0</v>
      </c>
      <c r="D321" s="144">
        <f>IF('WebNLG Combined OD + ZK'!M22="x",4,0)</f>
        <v>0</v>
      </c>
      <c r="E321" s="144">
        <f>IF('WebNLG Combined AB + TCF'!M22="x",4,0)</f>
        <v>0</v>
      </c>
    </row>
    <row r="322">
      <c r="B322" s="160">
        <f>'Original-WebNLG'!A24</f>
        <v>21</v>
      </c>
      <c r="C322" s="144">
        <f>IF('Original-WebNLG'!M24="x",4,0)</f>
        <v>0</v>
      </c>
      <c r="D322" s="144">
        <f>IF('WebNLG Combined OD + ZK'!M23="x",4,0)</f>
        <v>4</v>
      </c>
      <c r="E322" s="144">
        <f>IF('WebNLG Combined AB + TCF'!M23="x",4,0)</f>
        <v>4</v>
      </c>
    </row>
    <row r="323">
      <c r="B323" s="160">
        <f>'Original-WebNLG'!A25</f>
        <v>22</v>
      </c>
      <c r="C323" s="144">
        <f>IF('Original-WebNLG'!M25="x",4,0)</f>
        <v>0</v>
      </c>
      <c r="D323" s="144">
        <f>IF('WebNLG Combined OD + ZK'!M24="x",4,0)</f>
        <v>0</v>
      </c>
      <c r="E323" s="144">
        <f>IF('WebNLG Combined AB + TCF'!M24="x",4,0)</f>
        <v>0</v>
      </c>
    </row>
    <row r="324">
      <c r="B324" s="160">
        <f>'Original-WebNLG'!A26</f>
        <v>23</v>
      </c>
      <c r="C324" s="144">
        <f>IF('Original-WebNLG'!M26="x",4,0)</f>
        <v>0</v>
      </c>
      <c r="D324" s="144">
        <f>IF('WebNLG Combined OD + ZK'!M25="x",4,0)</f>
        <v>0</v>
      </c>
      <c r="E324" s="144">
        <f>IF('WebNLG Combined AB + TCF'!M25="x",4,0)</f>
        <v>0</v>
      </c>
    </row>
    <row r="325">
      <c r="B325" s="160">
        <f>'Original-WebNLG'!A27</f>
        <v>24</v>
      </c>
      <c r="C325" s="144">
        <f>IF('Original-WebNLG'!M27="x",4,0)</f>
        <v>0</v>
      </c>
      <c r="D325" s="144">
        <f>IF('WebNLG Combined OD + ZK'!M26="x",4,0)</f>
        <v>4</v>
      </c>
      <c r="E325" s="144">
        <f>IF('WebNLG Combined AB + TCF'!M26="x",4,0)</f>
        <v>4</v>
      </c>
    </row>
    <row r="326">
      <c r="B326" s="160">
        <f>'Original-WebNLG'!A28</f>
        <v>25</v>
      </c>
      <c r="C326" s="144">
        <f>IF('Original-WebNLG'!M28="x",4,0)</f>
        <v>0</v>
      </c>
      <c r="D326" s="144">
        <f>IF('WebNLG Combined OD + ZK'!M27="x",4,0)</f>
        <v>0</v>
      </c>
      <c r="E326" s="144">
        <f>IF('WebNLG Combined AB + TCF'!M27="x",4,0)</f>
        <v>0</v>
      </c>
    </row>
    <row r="327">
      <c r="B327" s="160">
        <f>'Original-WebNLG'!A29</f>
        <v>26</v>
      </c>
      <c r="C327" s="144">
        <f>IF('Original-WebNLG'!M29="x",4,0)</f>
        <v>0</v>
      </c>
      <c r="D327" s="144">
        <f>IF('WebNLG Combined OD + ZK'!M28="x",4,0)</f>
        <v>0</v>
      </c>
      <c r="E327" s="144">
        <f>IF('WebNLG Combined AB + TCF'!M28="x",4,0)</f>
        <v>0</v>
      </c>
    </row>
    <row r="328">
      <c r="B328" s="160">
        <f>'Original-WebNLG'!A30</f>
        <v>27</v>
      </c>
      <c r="C328" s="144">
        <f>IF('Original-WebNLG'!M30="x",4,0)</f>
        <v>0</v>
      </c>
      <c r="D328" s="144">
        <f>IF('WebNLG Combined OD + ZK'!M29="x",4,0)</f>
        <v>0</v>
      </c>
      <c r="E328" s="144">
        <f>IF('WebNLG Combined AB + TCF'!M29="x",4,0)</f>
        <v>0</v>
      </c>
    </row>
    <row r="329">
      <c r="B329" s="160">
        <f>'Original-WebNLG'!A31</f>
        <v>28</v>
      </c>
      <c r="C329" s="144">
        <f>IF('Original-WebNLG'!M31="x",4,0)</f>
        <v>0</v>
      </c>
      <c r="D329" s="144">
        <f>IF('WebNLG Combined OD + ZK'!M30="x",4,0)</f>
        <v>0</v>
      </c>
      <c r="E329" s="144">
        <f>IF('WebNLG Combined AB + TCF'!M30="x",4,0)</f>
        <v>0</v>
      </c>
    </row>
    <row r="330">
      <c r="B330" s="160">
        <f>'Original-WebNLG'!A32</f>
        <v>29</v>
      </c>
      <c r="C330" s="144">
        <f>IF('Original-WebNLG'!M32="x",4,0)</f>
        <v>0</v>
      </c>
      <c r="D330" s="144">
        <f>IF('WebNLG Combined OD + ZK'!M31="x",4,0)</f>
        <v>4</v>
      </c>
      <c r="E330" s="144">
        <f>IF('WebNLG Combined AB + TCF'!M31="x",4,0)</f>
        <v>4</v>
      </c>
    </row>
    <row r="331">
      <c r="B331" s="160">
        <f>'Original-WebNLG'!A33</f>
        <v>30</v>
      </c>
      <c r="C331" s="144">
        <f>IF('Original-WebNLG'!M33="x",4,0)</f>
        <v>4</v>
      </c>
      <c r="D331" s="144">
        <f>IF('WebNLG Combined OD + ZK'!M32="x",4,0)</f>
        <v>0</v>
      </c>
      <c r="E331" s="144">
        <f>IF('WebNLG Combined AB + TCF'!M32="x",4,0)</f>
        <v>0</v>
      </c>
    </row>
    <row r="332">
      <c r="B332" s="160">
        <f>'Original-WebNLG'!A34</f>
        <v>31</v>
      </c>
      <c r="C332" s="144">
        <f>IF('Original-WebNLG'!M34="x",4,0)</f>
        <v>0</v>
      </c>
      <c r="D332" s="144">
        <f>IF('WebNLG Combined OD + ZK'!M33="x",4,0)</f>
        <v>4</v>
      </c>
      <c r="E332" s="144">
        <f>IF('WebNLG Combined AB + TCF'!M33="x",4,0)</f>
        <v>0</v>
      </c>
    </row>
    <row r="333">
      <c r="B333" s="160">
        <f>'Original-WebNLG'!A35</f>
        <v>32</v>
      </c>
      <c r="C333" s="144">
        <f>IF('Original-WebNLG'!M35="x",4,0)</f>
        <v>0</v>
      </c>
      <c r="D333" s="144">
        <f>IF('WebNLG Combined OD + ZK'!M34="x",4,0)</f>
        <v>0</v>
      </c>
      <c r="E333" s="144">
        <f>IF('WebNLG Combined AB + TCF'!M34="x",4,0)</f>
        <v>4</v>
      </c>
    </row>
    <row r="334">
      <c r="B334" s="160">
        <f>'Original-WebNLG'!A36</f>
        <v>33</v>
      </c>
      <c r="C334" s="144">
        <f>IF('Original-WebNLG'!M36="x",4,0)</f>
        <v>0</v>
      </c>
      <c r="D334" s="144">
        <f>IF('WebNLG Combined OD + ZK'!M35="x",4,0)</f>
        <v>0</v>
      </c>
      <c r="E334" s="144">
        <f>IF('WebNLG Combined AB + TCF'!M35="x",4,0)</f>
        <v>4</v>
      </c>
    </row>
    <row r="335">
      <c r="B335" s="160">
        <f>'Original-WebNLG'!A37</f>
        <v>34</v>
      </c>
      <c r="C335" s="144">
        <f>IF('Original-WebNLG'!M37="x",4,0)</f>
        <v>0</v>
      </c>
      <c r="D335" s="144">
        <f>IF('WebNLG Combined OD + ZK'!M36="x",4,0)</f>
        <v>0</v>
      </c>
      <c r="E335" s="144">
        <f>IF('WebNLG Combined AB + TCF'!M36="x",4,0)</f>
        <v>0</v>
      </c>
    </row>
    <row r="336">
      <c r="B336" s="160">
        <f>'Original-WebNLG'!A38</f>
        <v>35</v>
      </c>
      <c r="C336" s="144">
        <f>IF('Original-WebNLG'!M38="x",4,0)</f>
        <v>4</v>
      </c>
      <c r="D336" s="144">
        <f>IF('WebNLG Combined OD + ZK'!M37="x",4,0)</f>
        <v>0</v>
      </c>
      <c r="E336" s="144">
        <f>IF('WebNLG Combined AB + TCF'!M37="x",4,0)</f>
        <v>0</v>
      </c>
    </row>
    <row r="337">
      <c r="B337" s="160">
        <f>'Original-WebNLG'!A39</f>
        <v>36</v>
      </c>
      <c r="C337" s="144">
        <f>IF('Original-WebNLG'!M39="x",4,0)</f>
        <v>0</v>
      </c>
      <c r="D337" s="144">
        <f>IF('WebNLG Combined OD + ZK'!M38="x",4,0)</f>
        <v>0</v>
      </c>
      <c r="E337" s="144">
        <f>IF('WebNLG Combined AB + TCF'!M38="x",4,0)</f>
        <v>0</v>
      </c>
    </row>
    <row r="338">
      <c r="B338" s="160">
        <f>'Original-WebNLG'!A40</f>
        <v>37</v>
      </c>
      <c r="C338" s="144">
        <f>IF('Original-WebNLG'!M40="x",4,0)</f>
        <v>0</v>
      </c>
      <c r="D338" s="144">
        <f>IF('WebNLG Combined OD + ZK'!M39="x",4,0)</f>
        <v>0</v>
      </c>
      <c r="E338" s="144">
        <f>IF('WebNLG Combined AB + TCF'!M39="x",4,0)</f>
        <v>0</v>
      </c>
    </row>
    <row r="339">
      <c r="B339" s="160">
        <f>'Original-WebNLG'!A41</f>
        <v>38</v>
      </c>
      <c r="C339" s="144">
        <f>IF('Original-WebNLG'!M41="x",4,0)</f>
        <v>0</v>
      </c>
      <c r="D339" s="144">
        <f>IF('WebNLG Combined OD + ZK'!M40="x",4,0)</f>
        <v>0</v>
      </c>
      <c r="E339" s="144">
        <f>IF('WebNLG Combined AB + TCF'!M40="x",4,0)</f>
        <v>0</v>
      </c>
    </row>
    <row r="340">
      <c r="B340" s="160">
        <f>'Original-WebNLG'!A42</f>
        <v>39</v>
      </c>
      <c r="C340" s="144">
        <f>IF('Original-WebNLG'!M42="x",4,0)</f>
        <v>0</v>
      </c>
      <c r="D340" s="144">
        <f>IF('WebNLG Combined OD + ZK'!M41="x",4,0)</f>
        <v>4</v>
      </c>
      <c r="E340" s="144">
        <f>IF('WebNLG Combined AB + TCF'!M41="x",4,0)</f>
        <v>0</v>
      </c>
    </row>
    <row r="341">
      <c r="B341" s="160">
        <f>'Original-WebNLG'!A43</f>
        <v>40</v>
      </c>
      <c r="C341" s="144">
        <f>IF('Original-WebNLG'!M43="x",4,0)</f>
        <v>0</v>
      </c>
      <c r="D341" s="144">
        <f>IF('WebNLG Combined OD + ZK'!M42="x",4,0)</f>
        <v>0</v>
      </c>
      <c r="E341" s="144">
        <f>IF('WebNLG Combined AB + TCF'!M42="x",4,0)</f>
        <v>0</v>
      </c>
    </row>
    <row r="342">
      <c r="B342" s="160">
        <f>'Original-WebNLG'!A44</f>
        <v>41</v>
      </c>
      <c r="C342" s="144">
        <f>IF('Original-WebNLG'!M44="x",4,0)</f>
        <v>0</v>
      </c>
      <c r="D342" s="144">
        <f>IF('WebNLG Combined OD + ZK'!M43="x",4,0)</f>
        <v>0</v>
      </c>
      <c r="E342" s="144">
        <f>IF('WebNLG Combined AB + TCF'!M43="x",4,0)</f>
        <v>4</v>
      </c>
    </row>
    <row r="343">
      <c r="B343" s="160">
        <f>'Original-WebNLG'!A45</f>
        <v>42</v>
      </c>
      <c r="C343" s="144">
        <f>IF('Original-WebNLG'!M45="x",4,0)</f>
        <v>0</v>
      </c>
      <c r="D343" s="144">
        <f>IF('WebNLG Combined OD + ZK'!M44="x",4,0)</f>
        <v>0</v>
      </c>
      <c r="E343" s="144">
        <f>IF('WebNLG Combined AB + TCF'!M44="x",4,0)</f>
        <v>0</v>
      </c>
    </row>
    <row r="344">
      <c r="B344" s="160">
        <f>'Original-WebNLG'!A46</f>
        <v>43</v>
      </c>
      <c r="C344" s="144">
        <f>IF('Original-WebNLG'!M46="x",4,0)</f>
        <v>0</v>
      </c>
      <c r="D344" s="144">
        <f>IF('WebNLG Combined OD + ZK'!M45="x",4,0)</f>
        <v>4</v>
      </c>
      <c r="E344" s="144">
        <f>IF('WebNLG Combined AB + TCF'!M45="x",4,0)</f>
        <v>0</v>
      </c>
    </row>
    <row r="345">
      <c r="B345" s="160">
        <f>'Original-WebNLG'!A47</f>
        <v>44</v>
      </c>
      <c r="C345" s="144">
        <f>IF('Original-WebNLG'!M47="x",4,0)</f>
        <v>0</v>
      </c>
      <c r="D345" s="144">
        <f>IF('WebNLG Combined OD + ZK'!M46="x",4,0)</f>
        <v>4</v>
      </c>
      <c r="E345" s="144">
        <f>IF('WebNLG Combined AB + TCF'!M46="x",4,0)</f>
        <v>4</v>
      </c>
    </row>
    <row r="346">
      <c r="B346" s="160">
        <f>'Original-WebNLG'!A48</f>
        <v>45</v>
      </c>
      <c r="C346" s="144">
        <f>IF('Original-WebNLG'!M48="x",4,0)</f>
        <v>0</v>
      </c>
      <c r="D346" s="144">
        <f>IF('WebNLG Combined OD + ZK'!M47="x",4,0)</f>
        <v>0</v>
      </c>
      <c r="E346" s="144">
        <f>IF('WebNLG Combined AB + TCF'!M47="x",4,0)</f>
        <v>0</v>
      </c>
    </row>
    <row r="347">
      <c r="B347" s="160">
        <f>'Original-WebNLG'!A49</f>
        <v>46</v>
      </c>
      <c r="C347" s="144">
        <f>IF('Original-WebNLG'!M49="x",4,0)</f>
        <v>0</v>
      </c>
      <c r="D347" s="144">
        <f>IF('WebNLG Combined OD + ZK'!M48="x",4,0)</f>
        <v>0</v>
      </c>
      <c r="E347" s="144">
        <f>IF('WebNLG Combined AB + TCF'!M48="x",4,0)</f>
        <v>0</v>
      </c>
    </row>
    <row r="348">
      <c r="B348" s="160">
        <f>'Original-WebNLG'!A50</f>
        <v>47</v>
      </c>
      <c r="C348" s="144">
        <f>IF('Original-WebNLG'!M50="x",4,0)</f>
        <v>0</v>
      </c>
      <c r="D348" s="144">
        <f>IF('WebNLG Combined OD + ZK'!M49="x",4,0)</f>
        <v>0</v>
      </c>
      <c r="E348" s="144">
        <f>IF('WebNLG Combined AB + TCF'!M49="x",4,0)</f>
        <v>4</v>
      </c>
    </row>
    <row r="349">
      <c r="B349" s="160">
        <f>'Original-WebNLG'!A51</f>
        <v>48</v>
      </c>
      <c r="C349" s="144">
        <f>IF('Original-WebNLG'!M51="x",4,0)</f>
        <v>0</v>
      </c>
      <c r="D349" s="144">
        <f>IF('WebNLG Combined OD + ZK'!M50="x",4,0)</f>
        <v>0</v>
      </c>
      <c r="E349" s="144">
        <f>IF('WebNLG Combined AB + TCF'!M50="x",4,0)</f>
        <v>0</v>
      </c>
    </row>
    <row r="350">
      <c r="B350" s="160">
        <f>'Original-WebNLG'!A52</f>
        <v>49</v>
      </c>
      <c r="C350" s="144">
        <f>IF('Original-WebNLG'!M52="x",4,0)</f>
        <v>0</v>
      </c>
      <c r="D350" s="144">
        <f>IF('WebNLG Combined OD + ZK'!M51="x",4,0)</f>
        <v>4</v>
      </c>
      <c r="E350" s="144">
        <f>IF('WebNLG Combined AB + TCF'!M51="x",4,0)</f>
        <v>4</v>
      </c>
    </row>
    <row r="351">
      <c r="B351" s="160">
        <f>'Original-WebNLG'!A53</f>
        <v>50</v>
      </c>
      <c r="C351" s="144">
        <f>IF('Original-WebNLG'!M53="x",4,0)</f>
        <v>0</v>
      </c>
      <c r="D351" s="144">
        <f>IF('WebNLG Combined OD + ZK'!M52="x",4,0)</f>
        <v>4</v>
      </c>
      <c r="E351" s="144">
        <f>IF('WebNLG Combined AB + TCF'!M52="x",4,0)</f>
        <v>0</v>
      </c>
    </row>
    <row r="352">
      <c r="B352" s="160">
        <f>'Original-WebNLG'!A54</f>
        <v>51</v>
      </c>
      <c r="C352" s="144">
        <f>IF('Original-WebNLG'!M54="x",4,0)</f>
        <v>0</v>
      </c>
      <c r="D352" s="144">
        <f>IF('WebNLG Combined OD + ZK'!M53="x",4,0)</f>
        <v>4</v>
      </c>
      <c r="E352" s="144">
        <f>IF('WebNLG Combined AB + TCF'!M53="x",4,0)</f>
        <v>0</v>
      </c>
    </row>
    <row r="353">
      <c r="B353" s="160">
        <f>'Original-WebNLG'!A55</f>
        <v>52</v>
      </c>
      <c r="C353" s="144">
        <f>IF('Original-WebNLG'!M55="x",4,0)</f>
        <v>0</v>
      </c>
      <c r="D353" s="144">
        <f>IF('WebNLG Combined OD + ZK'!M54="x",4,0)</f>
        <v>4</v>
      </c>
      <c r="E353" s="144">
        <f>IF('WebNLG Combined AB + TCF'!M54="x",4,0)</f>
        <v>4</v>
      </c>
    </row>
    <row r="354">
      <c r="B354" s="160">
        <f>'Original-WebNLG'!A56</f>
        <v>53</v>
      </c>
      <c r="C354" s="144">
        <f>IF('Original-WebNLG'!M56="x",4,0)</f>
        <v>0</v>
      </c>
      <c r="D354" s="144">
        <f>IF('WebNLG Combined OD + ZK'!M55="x",4,0)</f>
        <v>0</v>
      </c>
      <c r="E354" s="144">
        <f>IF('WebNLG Combined AB + TCF'!M55="x",4,0)</f>
        <v>0</v>
      </c>
    </row>
    <row r="355">
      <c r="B355" s="160">
        <f>'Original-WebNLG'!A57</f>
        <v>54</v>
      </c>
      <c r="C355" s="144">
        <f>IF('Original-WebNLG'!M57="x",4,0)</f>
        <v>0</v>
      </c>
      <c r="D355" s="144">
        <f>IF('WebNLG Combined OD + ZK'!M56="x",4,0)</f>
        <v>0</v>
      </c>
      <c r="E355" s="144">
        <f>IF('WebNLG Combined AB + TCF'!M56="x",4,0)</f>
        <v>0</v>
      </c>
    </row>
    <row r="356">
      <c r="B356" s="160">
        <f>'Original-WebNLG'!A58</f>
        <v>55</v>
      </c>
      <c r="C356" s="144">
        <f>IF('Original-WebNLG'!M58="x",4,0)</f>
        <v>0</v>
      </c>
      <c r="D356" s="144">
        <f>IF('WebNLG Combined OD + ZK'!M57="x",4,0)</f>
        <v>0</v>
      </c>
      <c r="E356" s="144">
        <f>IF('WebNLG Combined AB + TCF'!M57="x",4,0)</f>
        <v>0</v>
      </c>
    </row>
    <row r="357">
      <c r="B357" s="160">
        <f>'Original-WebNLG'!A59</f>
        <v>56</v>
      </c>
      <c r="C357" s="144">
        <f>IF('Original-WebNLG'!M59="x",4,0)</f>
        <v>0</v>
      </c>
      <c r="D357" s="144">
        <f>IF('WebNLG Combined OD + ZK'!M58="x",4,0)</f>
        <v>0</v>
      </c>
      <c r="E357" s="144">
        <f>IF('WebNLG Combined AB + TCF'!M58="x",4,0)</f>
        <v>4</v>
      </c>
    </row>
    <row r="358">
      <c r="B358" s="160">
        <f>'Original-WebNLG'!A60</f>
        <v>57</v>
      </c>
      <c r="C358" s="144">
        <f>IF('Original-WebNLG'!M60="x",4,0)</f>
        <v>0</v>
      </c>
      <c r="D358" s="144">
        <f>IF('WebNLG Combined OD + ZK'!M59="x",4,0)</f>
        <v>4</v>
      </c>
      <c r="E358" s="144">
        <f>IF('WebNLG Combined AB + TCF'!M59="x",4,0)</f>
        <v>4</v>
      </c>
    </row>
    <row r="359">
      <c r="B359" s="160">
        <f>'Original-WebNLG'!A61</f>
        <v>58</v>
      </c>
      <c r="C359" s="144">
        <f>IF('Original-WebNLG'!M61="x",4,0)</f>
        <v>0</v>
      </c>
      <c r="D359" s="144">
        <f>IF('WebNLG Combined OD + ZK'!M60="x",4,0)</f>
        <v>0</v>
      </c>
      <c r="E359" s="144">
        <f>IF('WebNLG Combined AB + TCF'!M60="x",4,0)</f>
        <v>0</v>
      </c>
    </row>
    <row r="360">
      <c r="B360" s="160">
        <f>'Original-WebNLG'!A62</f>
        <v>59</v>
      </c>
      <c r="C360" s="144">
        <f>IF('Original-WebNLG'!M62="x",4,0)</f>
        <v>0</v>
      </c>
      <c r="D360" s="144">
        <f>IF('WebNLG Combined OD + ZK'!M61="x",4,0)</f>
        <v>4</v>
      </c>
      <c r="E360" s="144">
        <f>IF('WebNLG Combined AB + TCF'!M61="x",4,0)</f>
        <v>4</v>
      </c>
    </row>
    <row r="361">
      <c r="B361" s="160">
        <f>'Original-WebNLG'!A63</f>
        <v>60</v>
      </c>
      <c r="C361" s="144">
        <f>IF('Original-WebNLG'!M63="x",4,0)</f>
        <v>0</v>
      </c>
      <c r="D361" s="144">
        <f>IF('WebNLG Combined OD + ZK'!M62="x",4,0)</f>
        <v>0</v>
      </c>
      <c r="E361" s="144">
        <f>IF('WebNLG Combined AB + TCF'!M62="x",4,0)</f>
        <v>0</v>
      </c>
    </row>
    <row r="362">
      <c r="B362" s="160">
        <f>'Original-WebNLG'!A64</f>
        <v>61</v>
      </c>
      <c r="C362" s="144">
        <f>IF('Original-WebNLG'!M64="x",4,0)</f>
        <v>0</v>
      </c>
      <c r="D362" s="144">
        <f>IF('WebNLG Combined OD + ZK'!M63="x",4,0)</f>
        <v>0</v>
      </c>
      <c r="E362" s="144">
        <f>IF('WebNLG Combined AB + TCF'!M63="x",4,0)</f>
        <v>0</v>
      </c>
    </row>
    <row r="363">
      <c r="B363" s="160">
        <f>'Original-WebNLG'!A65</f>
        <v>62</v>
      </c>
      <c r="C363" s="144">
        <f>IF('Original-WebNLG'!M65="x",4,0)</f>
        <v>0</v>
      </c>
      <c r="D363" s="144">
        <f>IF('WebNLG Combined OD + ZK'!M64="x",4,0)</f>
        <v>0</v>
      </c>
      <c r="E363" s="144">
        <f>IF('WebNLG Combined AB + TCF'!M64="x",4,0)</f>
        <v>0</v>
      </c>
    </row>
    <row r="364">
      <c r="B364" s="160">
        <f>'Original-WebNLG'!A66</f>
        <v>63</v>
      </c>
      <c r="C364" s="144">
        <f>IF('Original-WebNLG'!M66="x",4,0)</f>
        <v>0</v>
      </c>
      <c r="D364" s="144">
        <f>IF('WebNLG Combined OD + ZK'!M65="x",4,0)</f>
        <v>0</v>
      </c>
      <c r="E364" s="144">
        <f>IF('WebNLG Combined AB + TCF'!M65="x",4,0)</f>
        <v>0</v>
      </c>
    </row>
    <row r="365">
      <c r="B365" s="160">
        <f>'Original-WebNLG'!A67</f>
        <v>64</v>
      </c>
      <c r="C365" s="144">
        <f>IF('Original-WebNLG'!M67="x",4,0)</f>
        <v>0</v>
      </c>
      <c r="D365" s="144">
        <f>IF('WebNLG Combined OD + ZK'!M66="x",4,0)</f>
        <v>0</v>
      </c>
      <c r="E365" s="144">
        <f>IF('WebNLG Combined AB + TCF'!M66="x",4,0)</f>
        <v>0</v>
      </c>
    </row>
    <row r="366">
      <c r="B366" s="160">
        <f>'Original-WebNLG'!A68</f>
        <v>65</v>
      </c>
      <c r="C366" s="144">
        <f>IF('Original-WebNLG'!M68="x",4,0)</f>
        <v>0</v>
      </c>
      <c r="D366" s="144">
        <f>IF('WebNLG Combined OD + ZK'!M67="x",4,0)</f>
        <v>0</v>
      </c>
      <c r="E366" s="144">
        <f>IF('WebNLG Combined AB + TCF'!M67="x",4,0)</f>
        <v>0</v>
      </c>
    </row>
    <row r="367">
      <c r="B367" s="160">
        <f>'Original-WebNLG'!A69</f>
        <v>66</v>
      </c>
      <c r="C367" s="144">
        <f>IF('Original-WebNLG'!M69="x",4,0)</f>
        <v>0</v>
      </c>
      <c r="D367" s="144">
        <f>IF('WebNLG Combined OD + ZK'!M68="x",4,0)</f>
        <v>0</v>
      </c>
      <c r="E367" s="144">
        <f>IF('WebNLG Combined AB + TCF'!M68="x",4,0)</f>
        <v>0</v>
      </c>
    </row>
    <row r="368">
      <c r="B368" s="160">
        <f>'Original-WebNLG'!A70</f>
        <v>67</v>
      </c>
      <c r="C368" s="144">
        <f>IF('Original-WebNLG'!M70="x",4,0)</f>
        <v>0</v>
      </c>
      <c r="D368" s="144">
        <f>IF('WebNLG Combined OD + ZK'!M69="x",4,0)</f>
        <v>0</v>
      </c>
      <c r="E368" s="144">
        <f>IF('WebNLG Combined AB + TCF'!M69="x",4,0)</f>
        <v>0</v>
      </c>
    </row>
    <row r="369">
      <c r="B369" s="160">
        <f>'Original-WebNLG'!A71</f>
        <v>68</v>
      </c>
      <c r="C369" s="144">
        <f>IF('Original-WebNLG'!M71="x",4,0)</f>
        <v>0</v>
      </c>
      <c r="D369" s="144">
        <f>IF('WebNLG Combined OD + ZK'!M70="x",4,0)</f>
        <v>0</v>
      </c>
      <c r="E369" s="144">
        <f>IF('WebNLG Combined AB + TCF'!M70="x",4,0)</f>
        <v>0</v>
      </c>
    </row>
    <row r="370">
      <c r="B370" s="160">
        <f>'Original-WebNLG'!A72</f>
        <v>69</v>
      </c>
      <c r="C370" s="144">
        <f>IF('Original-WebNLG'!M72="x",4,0)</f>
        <v>0</v>
      </c>
      <c r="D370" s="144">
        <f>IF('WebNLG Combined OD + ZK'!M71="x",4,0)</f>
        <v>0</v>
      </c>
      <c r="E370" s="144">
        <f>IF('WebNLG Combined AB + TCF'!M71="x",4,0)</f>
        <v>0</v>
      </c>
    </row>
    <row r="371">
      <c r="B371" s="160">
        <f>'Original-WebNLG'!A73</f>
        <v>70</v>
      </c>
      <c r="C371" s="144">
        <f>IF('Original-WebNLG'!M73="x",4,0)</f>
        <v>0</v>
      </c>
      <c r="D371" s="144">
        <f>IF('WebNLG Combined OD + ZK'!M72="x",4,0)</f>
        <v>0</v>
      </c>
      <c r="E371" s="144">
        <f>IF('WebNLG Combined AB + TCF'!M72="x",4,0)</f>
        <v>0</v>
      </c>
    </row>
    <row r="372">
      <c r="B372" s="160">
        <f>'Original-WebNLG'!A74</f>
        <v>71</v>
      </c>
      <c r="C372" s="144">
        <f>IF('Original-WebNLG'!M74="x",4,0)</f>
        <v>0</v>
      </c>
      <c r="D372" s="144">
        <f>IF('WebNLG Combined OD + ZK'!M73="x",4,0)</f>
        <v>0</v>
      </c>
      <c r="E372" s="144">
        <f>IF('WebNLG Combined AB + TCF'!M73="x",4,0)</f>
        <v>4</v>
      </c>
    </row>
    <row r="373">
      <c r="B373" s="160">
        <f>'Original-WebNLG'!A75</f>
        <v>72</v>
      </c>
      <c r="C373" s="144">
        <f>IF('Original-WebNLG'!M75="x",4,0)</f>
        <v>0</v>
      </c>
      <c r="D373" s="144">
        <f>IF('WebNLG Combined OD + ZK'!M74="x",4,0)</f>
        <v>0</v>
      </c>
      <c r="E373" s="144">
        <f>IF('WebNLG Combined AB + TCF'!M74="x",4,0)</f>
        <v>0</v>
      </c>
    </row>
    <row r="374">
      <c r="B374" s="160">
        <f>'Original-WebNLG'!A76</f>
        <v>73</v>
      </c>
      <c r="C374" s="144">
        <f>IF('Original-WebNLG'!M76="x",4,0)</f>
        <v>0</v>
      </c>
      <c r="D374" s="144">
        <f>IF('WebNLG Combined OD + ZK'!M75="x",4,0)</f>
        <v>0</v>
      </c>
      <c r="E374" s="144">
        <f>IF('WebNLG Combined AB + TCF'!M75="x",4,0)</f>
        <v>0</v>
      </c>
    </row>
    <row r="375">
      <c r="B375" s="160">
        <f>'Original-WebNLG'!A77</f>
        <v>74</v>
      </c>
      <c r="C375" s="144">
        <f>IF('Original-WebNLG'!M77="x",4,0)</f>
        <v>0</v>
      </c>
      <c r="D375" s="144">
        <f>IF('WebNLG Combined OD + ZK'!M76="x",4,0)</f>
        <v>0</v>
      </c>
      <c r="E375" s="144">
        <f>IF('WebNLG Combined AB + TCF'!M76="x",4,0)</f>
        <v>0</v>
      </c>
    </row>
    <row r="376">
      <c r="B376" s="160">
        <f>'Original-WebNLG'!A78</f>
        <v>75</v>
      </c>
      <c r="C376" s="144">
        <f>IF('Original-WebNLG'!M78="x",4,0)</f>
        <v>0</v>
      </c>
      <c r="D376" s="144">
        <f>IF('WebNLG Combined OD + ZK'!M77="x",4,0)</f>
        <v>0</v>
      </c>
      <c r="E376" s="144">
        <f>IF('WebNLG Combined AB + TCF'!M77="x",4,0)</f>
        <v>0</v>
      </c>
    </row>
    <row r="377">
      <c r="B377" s="160">
        <f>'Original-WebNLG'!A79</f>
        <v>76</v>
      </c>
      <c r="C377" s="144">
        <f>IF('Original-WebNLG'!M79="x",4,0)</f>
        <v>4</v>
      </c>
      <c r="D377" s="144">
        <f>IF('WebNLG Combined OD + ZK'!M78="x",4,0)</f>
        <v>4</v>
      </c>
      <c r="E377" s="144">
        <f>IF('WebNLG Combined AB + TCF'!M78="x",4,0)</f>
        <v>4</v>
      </c>
    </row>
    <row r="378">
      <c r="B378" s="160">
        <f>'Original-WebNLG'!A80</f>
        <v>77</v>
      </c>
      <c r="C378" s="144">
        <f>IF('Original-WebNLG'!M80="x",4,0)</f>
        <v>0</v>
      </c>
      <c r="D378" s="144">
        <f>IF('WebNLG Combined OD + ZK'!M79="x",4,0)</f>
        <v>0</v>
      </c>
      <c r="E378" s="144">
        <f>IF('WebNLG Combined AB + TCF'!M79="x",4,0)</f>
        <v>0</v>
      </c>
    </row>
    <row r="379">
      <c r="B379" s="160">
        <f>'Original-WebNLG'!A81</f>
        <v>78</v>
      </c>
      <c r="C379" s="144">
        <f>IF('Original-WebNLG'!M81="x",4,0)</f>
        <v>0</v>
      </c>
      <c r="D379" s="144">
        <f>IF('WebNLG Combined OD + ZK'!M80="x",4,0)</f>
        <v>0</v>
      </c>
      <c r="E379" s="144">
        <f>IF('WebNLG Combined AB + TCF'!M80="x",4,0)</f>
        <v>4</v>
      </c>
    </row>
    <row r="380">
      <c r="B380" s="160">
        <f>'Original-WebNLG'!A82</f>
        <v>79</v>
      </c>
      <c r="C380" s="144">
        <f>IF('Original-WebNLG'!M82="x",4,0)</f>
        <v>0</v>
      </c>
      <c r="D380" s="144">
        <f>IF('WebNLG Combined OD + ZK'!M81="x",4,0)</f>
        <v>0</v>
      </c>
      <c r="E380" s="144">
        <f>IF('WebNLG Combined AB + TCF'!M81="x",4,0)</f>
        <v>0</v>
      </c>
    </row>
    <row r="381">
      <c r="B381" s="160">
        <f>'Original-WebNLG'!A83</f>
        <v>80</v>
      </c>
      <c r="C381" s="144">
        <f>IF('Original-WebNLG'!M83="x",4,0)</f>
        <v>0</v>
      </c>
      <c r="D381" s="144">
        <f>IF('WebNLG Combined OD + ZK'!M82="x",4,0)</f>
        <v>0</v>
      </c>
      <c r="E381" s="144">
        <f>IF('WebNLG Combined AB + TCF'!M82="x",4,0)</f>
        <v>0</v>
      </c>
    </row>
    <row r="382">
      <c r="B382" s="160">
        <f>'Original-WebNLG'!A84</f>
        <v>81</v>
      </c>
      <c r="C382" s="144">
        <f>IF('Original-WebNLG'!M84="x",4,0)</f>
        <v>0</v>
      </c>
      <c r="D382" s="144">
        <f>IF('WebNLG Combined OD + ZK'!M83="x",4,0)</f>
        <v>0</v>
      </c>
      <c r="E382" s="144">
        <f>IF('WebNLG Combined AB + TCF'!M83="x",4,0)</f>
        <v>0</v>
      </c>
    </row>
    <row r="383">
      <c r="B383" s="160">
        <f>'Original-WebNLG'!A85</f>
        <v>82</v>
      </c>
      <c r="C383" s="144">
        <f>IF('Original-WebNLG'!M85="x",4,0)</f>
        <v>0</v>
      </c>
      <c r="D383" s="144">
        <f>IF('WebNLG Combined OD + ZK'!M84="x",4,0)</f>
        <v>0</v>
      </c>
      <c r="E383" s="144">
        <f>IF('WebNLG Combined AB + TCF'!M84="x",4,0)</f>
        <v>4</v>
      </c>
    </row>
    <row r="384">
      <c r="B384" s="160">
        <f>'Original-WebNLG'!A86</f>
        <v>83</v>
      </c>
      <c r="C384" s="144">
        <f>IF('Original-WebNLG'!M86="x",4,0)</f>
        <v>0</v>
      </c>
      <c r="D384" s="144">
        <f>IF('WebNLG Combined OD + ZK'!M85="x",4,0)</f>
        <v>0</v>
      </c>
      <c r="E384" s="144">
        <f>IF('WebNLG Combined AB + TCF'!M85="x",4,0)</f>
        <v>0</v>
      </c>
    </row>
    <row r="385">
      <c r="B385" s="160">
        <f>'Original-WebNLG'!A87</f>
        <v>84</v>
      </c>
      <c r="C385" s="144">
        <f>IF('Original-WebNLG'!M87="x",4,0)</f>
        <v>0</v>
      </c>
      <c r="D385" s="144">
        <f>IF('WebNLG Combined OD + ZK'!M86="x",4,0)</f>
        <v>4</v>
      </c>
      <c r="E385" s="144">
        <f>IF('WebNLG Combined AB + TCF'!M86="x",4,0)</f>
        <v>0</v>
      </c>
    </row>
    <row r="386">
      <c r="B386" s="160">
        <f>'Original-WebNLG'!A88</f>
        <v>85</v>
      </c>
      <c r="C386" s="144">
        <f>IF('Original-WebNLG'!M88="x",4,0)</f>
        <v>0</v>
      </c>
      <c r="D386" s="144">
        <f>IF('WebNLG Combined OD + ZK'!M87="x",4,0)</f>
        <v>0</v>
      </c>
      <c r="E386" s="144">
        <f>IF('WebNLG Combined AB + TCF'!M87="x",4,0)</f>
        <v>4</v>
      </c>
    </row>
    <row r="387">
      <c r="B387" s="160">
        <f>'Original-WebNLG'!A89</f>
        <v>86</v>
      </c>
      <c r="C387" s="144">
        <f>IF('Original-WebNLG'!M89="x",4,0)</f>
        <v>0</v>
      </c>
      <c r="D387" s="144">
        <f>IF('WebNLG Combined OD + ZK'!M88="x",4,0)</f>
        <v>0</v>
      </c>
      <c r="E387" s="144">
        <f>IF('WebNLG Combined AB + TCF'!M88="x",4,0)</f>
        <v>0</v>
      </c>
    </row>
    <row r="388">
      <c r="B388" s="160">
        <f>'Original-WebNLG'!A90</f>
        <v>87</v>
      </c>
      <c r="C388" s="144">
        <f>IF('Original-WebNLG'!M90="x",4,0)</f>
        <v>0</v>
      </c>
      <c r="D388" s="144">
        <f>IF('WebNLG Combined OD + ZK'!M89="x",4,0)</f>
        <v>4</v>
      </c>
      <c r="E388" s="144">
        <f>IF('WebNLG Combined AB + TCF'!M89="x",4,0)</f>
        <v>4</v>
      </c>
    </row>
    <row r="389">
      <c r="B389" s="160">
        <f>'Original-WebNLG'!A91</f>
        <v>88</v>
      </c>
      <c r="C389" s="144">
        <f>IF('Original-WebNLG'!M91="x",4,0)</f>
        <v>0</v>
      </c>
      <c r="D389" s="144">
        <f>IF('WebNLG Combined OD + ZK'!M90="x",4,0)</f>
        <v>0</v>
      </c>
      <c r="E389" s="144">
        <f>IF('WebNLG Combined AB + TCF'!M90="x",4,0)</f>
        <v>4</v>
      </c>
    </row>
    <row r="390">
      <c r="B390" s="160">
        <f>'Original-WebNLG'!A92</f>
        <v>89</v>
      </c>
      <c r="C390" s="144">
        <f>IF('Original-WebNLG'!M92="x",4,0)</f>
        <v>0</v>
      </c>
      <c r="D390" s="144">
        <f>IF('WebNLG Combined OD + ZK'!M91="x",4,0)</f>
        <v>0</v>
      </c>
      <c r="E390" s="144">
        <f>IF('WebNLG Combined AB + TCF'!M91="x",4,0)</f>
        <v>0</v>
      </c>
    </row>
    <row r="391">
      <c r="B391" s="160">
        <f>'Original-WebNLG'!A93</f>
        <v>90</v>
      </c>
      <c r="C391" s="144">
        <f>IF('Original-WebNLG'!M93="x",4,0)</f>
        <v>0</v>
      </c>
      <c r="D391" s="144">
        <f>IF('WebNLG Combined OD + ZK'!M92="x",4,0)</f>
        <v>4</v>
      </c>
      <c r="E391" s="144">
        <f>IF('WebNLG Combined AB + TCF'!M92="x",4,0)</f>
        <v>0</v>
      </c>
    </row>
    <row r="392">
      <c r="B392" s="160">
        <f>'Original-WebNLG'!A94</f>
        <v>91</v>
      </c>
      <c r="C392" s="144">
        <f>IF('Original-WebNLG'!M94="x",4,0)</f>
        <v>0</v>
      </c>
      <c r="D392" s="144">
        <f>IF('WebNLG Combined OD + ZK'!M93="x",4,0)</f>
        <v>0</v>
      </c>
      <c r="E392" s="144">
        <f>IF('WebNLG Combined AB + TCF'!M93="x",4,0)</f>
        <v>4</v>
      </c>
    </row>
    <row r="393">
      <c r="B393" s="160">
        <f>'Original-WebNLG'!A95</f>
        <v>92</v>
      </c>
      <c r="C393" s="144">
        <f>IF('Original-WebNLG'!M95="x",4,0)</f>
        <v>0</v>
      </c>
      <c r="D393" s="144">
        <f>IF('WebNLG Combined OD + ZK'!M94="x",4,0)</f>
        <v>0</v>
      </c>
      <c r="E393" s="144">
        <f>IF('WebNLG Combined AB + TCF'!M94="x",4,0)</f>
        <v>0</v>
      </c>
    </row>
    <row r="394">
      <c r="B394" s="160">
        <f>'Original-WebNLG'!A96</f>
        <v>93</v>
      </c>
      <c r="C394" s="144">
        <f>IF('Original-WebNLG'!M96="x",4,0)</f>
        <v>0</v>
      </c>
      <c r="D394" s="144">
        <f>IF('WebNLG Combined OD + ZK'!M95="x",4,0)</f>
        <v>0</v>
      </c>
      <c r="E394" s="144">
        <f>IF('WebNLG Combined AB + TCF'!M95="x",4,0)</f>
        <v>0</v>
      </c>
    </row>
    <row r="395">
      <c r="B395" s="160">
        <f>'Original-WebNLG'!A97</f>
        <v>94</v>
      </c>
      <c r="C395" s="144">
        <f>IF('Original-WebNLG'!M97="x",4,0)</f>
        <v>4</v>
      </c>
      <c r="D395" s="144">
        <f>IF('WebNLG Combined OD + ZK'!M96="x",4,0)</f>
        <v>0</v>
      </c>
      <c r="E395" s="144">
        <f>IF('WebNLG Combined AB + TCF'!M96="x",4,0)</f>
        <v>0</v>
      </c>
    </row>
    <row r="396">
      <c r="B396" s="160">
        <f>'Original-WebNLG'!A98</f>
        <v>95</v>
      </c>
      <c r="C396" s="144">
        <f>IF('Original-WebNLG'!M98="x",4,0)</f>
        <v>0</v>
      </c>
      <c r="D396" s="144">
        <f>IF('WebNLG Combined OD + ZK'!M97="x",4,0)</f>
        <v>0</v>
      </c>
      <c r="E396" s="144">
        <f>IF('WebNLG Combined AB + TCF'!M97="x",4,0)</f>
        <v>0</v>
      </c>
    </row>
    <row r="397">
      <c r="B397" s="160">
        <f>'Original-WebNLG'!A99</f>
        <v>96</v>
      </c>
      <c r="C397" s="144">
        <f>IF('Original-WebNLG'!M99="x",4,0)</f>
        <v>0</v>
      </c>
      <c r="D397" s="144">
        <f>IF('WebNLG Combined OD + ZK'!M98="x",4,0)</f>
        <v>0</v>
      </c>
      <c r="E397" s="144">
        <f>IF('WebNLG Combined AB + TCF'!M98="x",4,0)</f>
        <v>0</v>
      </c>
    </row>
    <row r="398">
      <c r="B398" s="160">
        <f>'Original-WebNLG'!A100</f>
        <v>97</v>
      </c>
      <c r="C398" s="144">
        <f>IF('Original-WebNLG'!M100="x",4,0)</f>
        <v>0</v>
      </c>
      <c r="D398" s="144">
        <f>IF('WebNLG Combined OD + ZK'!M99="x",4,0)</f>
        <v>0</v>
      </c>
      <c r="E398" s="144">
        <f>IF('WebNLG Combined AB + TCF'!M99="x",4,0)</f>
        <v>0</v>
      </c>
    </row>
    <row r="399">
      <c r="B399" s="160">
        <f>'Original-WebNLG'!A101</f>
        <v>98</v>
      </c>
      <c r="C399" s="144">
        <f>IF('Original-WebNLG'!M101="x",4,0)</f>
        <v>4</v>
      </c>
      <c r="D399" s="144">
        <f>IF('WebNLG Combined OD + ZK'!M100="x",4,0)</f>
        <v>4</v>
      </c>
      <c r="E399" s="144">
        <f>IF('WebNLG Combined AB + TCF'!M100="x",4,0)</f>
        <v>0</v>
      </c>
    </row>
    <row r="400">
      <c r="B400" s="160">
        <f>'Original-WebNLG'!A102</f>
        <v>99</v>
      </c>
      <c r="C400" s="144">
        <f>IF('Original-WebNLG'!M102="x",4,0)</f>
        <v>4</v>
      </c>
      <c r="D400" s="144">
        <f>IF('WebNLG Combined OD + ZK'!M101="x",4,0)</f>
        <v>0</v>
      </c>
      <c r="E400" s="144">
        <f>IF('WebNLG Combined AB + TCF'!M101="x",4,0)</f>
        <v>0</v>
      </c>
    </row>
    <row r="401">
      <c r="B401" s="160">
        <f>'Original-WebNLG'!A103</f>
        <v>100</v>
      </c>
      <c r="C401" s="144">
        <f>IF('Original-WebNLG'!M103="x",4,0)</f>
        <v>0</v>
      </c>
      <c r="D401" s="144">
        <f>IF('WebNLG Combined OD + ZK'!M102="x",4,0)</f>
        <v>0</v>
      </c>
      <c r="E401" s="144">
        <f>IF('WebNLG Combined AB + TCF'!M102="x",4,0)</f>
        <v>0</v>
      </c>
    </row>
    <row r="402">
      <c r="A402" s="98" t="s">
        <v>1046</v>
      </c>
      <c r="B402" s="161">
        <f>'Original-WebNLG'!A4</f>
        <v>1</v>
      </c>
      <c r="C402" s="144">
        <f>IF('Original-WebNLG'!N4="x",5,0)</f>
        <v>0</v>
      </c>
      <c r="D402" s="144">
        <f>IF('WebNLG Combined OD + ZK'!N3="x",5,0)</f>
        <v>0</v>
      </c>
      <c r="E402" s="144">
        <f>IF('WebNLG Combined AB + TCF'!N3="x",5,0)</f>
        <v>0</v>
      </c>
    </row>
    <row r="403">
      <c r="B403" s="161">
        <f>'Original-WebNLG'!A5</f>
        <v>2</v>
      </c>
      <c r="C403" s="144">
        <f>IF('Original-WebNLG'!N5="x",5,0)</f>
        <v>0</v>
      </c>
      <c r="D403" s="144">
        <f>IF('WebNLG Combined OD + ZK'!N4="x",5,0)</f>
        <v>0</v>
      </c>
      <c r="E403" s="144">
        <f>IF('WebNLG Combined AB + TCF'!N4="x",5,0)</f>
        <v>0</v>
      </c>
    </row>
    <row r="404">
      <c r="B404" s="161">
        <f>'Original-WebNLG'!A6</f>
        <v>3</v>
      </c>
      <c r="C404" s="144">
        <f>IF('Original-WebNLG'!N6="x",5,0)</f>
        <v>0</v>
      </c>
      <c r="D404" s="144">
        <f>IF('WebNLG Combined OD + ZK'!N5="x",5,0)</f>
        <v>0</v>
      </c>
      <c r="E404" s="144">
        <f>IF('WebNLG Combined AB + TCF'!N5="x",5,0)</f>
        <v>0</v>
      </c>
    </row>
    <row r="405">
      <c r="B405" s="161">
        <f>'Original-WebNLG'!A7</f>
        <v>4</v>
      </c>
      <c r="C405" s="144">
        <f>IF('Original-WebNLG'!N7="x",5,0)</f>
        <v>5</v>
      </c>
      <c r="D405" s="144">
        <f>IF('WebNLG Combined OD + ZK'!N6="x",5,0)</f>
        <v>5</v>
      </c>
      <c r="E405" s="144">
        <f>IF('WebNLG Combined AB + TCF'!N6="x",5,0)</f>
        <v>0</v>
      </c>
    </row>
    <row r="406">
      <c r="B406" s="161">
        <f>'Original-WebNLG'!A8</f>
        <v>5</v>
      </c>
      <c r="C406" s="144">
        <f>IF('Original-WebNLG'!N8="x",5,0)</f>
        <v>5</v>
      </c>
      <c r="D406" s="144">
        <f>IF('WebNLG Combined OD + ZK'!N7="x",5,0)</f>
        <v>5</v>
      </c>
      <c r="E406" s="144">
        <f>IF('WebNLG Combined AB + TCF'!N7="x",5,0)</f>
        <v>5</v>
      </c>
    </row>
    <row r="407">
      <c r="B407" s="161">
        <f>'Original-WebNLG'!A9</f>
        <v>6</v>
      </c>
      <c r="C407" s="144">
        <f>IF('Original-WebNLG'!N9="x",5,0)</f>
        <v>0</v>
      </c>
      <c r="D407" s="144">
        <f>IF('WebNLG Combined OD + ZK'!N8="x",5,0)</f>
        <v>0</v>
      </c>
      <c r="E407" s="144">
        <f>IF('WebNLG Combined AB + TCF'!N8="x",5,0)</f>
        <v>0</v>
      </c>
    </row>
    <row r="408">
      <c r="B408" s="161">
        <f>'Original-WebNLG'!A10</f>
        <v>7</v>
      </c>
      <c r="C408" s="144">
        <f>IF('Original-WebNLG'!N10="x",5,0)</f>
        <v>0</v>
      </c>
      <c r="D408" s="144">
        <f>IF('WebNLG Combined OD + ZK'!N9="x",5,0)</f>
        <v>0</v>
      </c>
      <c r="E408" s="144">
        <f>IF('WebNLG Combined AB + TCF'!N9="x",5,0)</f>
        <v>0</v>
      </c>
    </row>
    <row r="409">
      <c r="B409" s="161">
        <f>'Original-WebNLG'!A11</f>
        <v>8</v>
      </c>
      <c r="C409" s="144">
        <f>IF('Original-WebNLG'!N11="x",5,0)</f>
        <v>5</v>
      </c>
      <c r="D409" s="144">
        <f>IF('WebNLG Combined OD + ZK'!N10="x",5,0)</f>
        <v>5</v>
      </c>
      <c r="E409" s="144">
        <f>IF('WebNLG Combined AB + TCF'!N10="x",5,0)</f>
        <v>5</v>
      </c>
    </row>
    <row r="410">
      <c r="B410" s="161">
        <f>'Original-WebNLG'!A12</f>
        <v>9</v>
      </c>
      <c r="C410" s="144">
        <f>IF('Original-WebNLG'!N12="x",5,0)</f>
        <v>5</v>
      </c>
      <c r="D410" s="144">
        <f>IF('WebNLG Combined OD + ZK'!N11="x",5,0)</f>
        <v>0</v>
      </c>
      <c r="E410" s="144">
        <f>IF('WebNLG Combined AB + TCF'!N11="x",5,0)</f>
        <v>5</v>
      </c>
    </row>
    <row r="411">
      <c r="B411" s="161">
        <f>'Original-WebNLG'!A13</f>
        <v>10</v>
      </c>
      <c r="C411" s="144">
        <f>IF('Original-WebNLG'!N13="x",5,0)</f>
        <v>5</v>
      </c>
      <c r="D411" s="144">
        <f>IF('WebNLG Combined OD + ZK'!N12="x",5,0)</f>
        <v>5</v>
      </c>
      <c r="E411" s="144">
        <f>IF('WebNLG Combined AB + TCF'!N12="x",5,0)</f>
        <v>0</v>
      </c>
    </row>
    <row r="412">
      <c r="B412" s="161">
        <f>'Original-WebNLG'!A14</f>
        <v>11</v>
      </c>
      <c r="C412" s="144">
        <f>IF('Original-WebNLG'!N14="x",5,0)</f>
        <v>0</v>
      </c>
      <c r="D412" s="144">
        <f>IF('WebNLG Combined OD + ZK'!N13="x",5,0)</f>
        <v>0</v>
      </c>
      <c r="E412" s="144">
        <f>IF('WebNLG Combined AB + TCF'!N13="x",5,0)</f>
        <v>0</v>
      </c>
    </row>
    <row r="413">
      <c r="B413" s="161">
        <f>'Original-WebNLG'!A15</f>
        <v>12</v>
      </c>
      <c r="C413" s="144">
        <f>IF('Original-WebNLG'!N15="x",5,0)</f>
        <v>5</v>
      </c>
      <c r="D413" s="144">
        <f>IF('WebNLG Combined OD + ZK'!N14="x",5,0)</f>
        <v>0</v>
      </c>
      <c r="E413" s="144">
        <f>IF('WebNLG Combined AB + TCF'!N14="x",5,0)</f>
        <v>0</v>
      </c>
    </row>
    <row r="414">
      <c r="B414" s="161">
        <f>'Original-WebNLG'!A16</f>
        <v>13</v>
      </c>
      <c r="C414" s="144">
        <f>IF('Original-WebNLG'!N16="x",5,0)</f>
        <v>0</v>
      </c>
      <c r="D414" s="144">
        <f>IF('WebNLG Combined OD + ZK'!N15="x",5,0)</f>
        <v>0</v>
      </c>
      <c r="E414" s="144">
        <f>IF('WebNLG Combined AB + TCF'!N15="x",5,0)</f>
        <v>0</v>
      </c>
    </row>
    <row r="415">
      <c r="B415" s="161">
        <f>'Original-WebNLG'!A17</f>
        <v>14</v>
      </c>
      <c r="C415" s="144">
        <f>IF('Original-WebNLG'!N17="x",5,0)</f>
        <v>0</v>
      </c>
      <c r="D415" s="144">
        <f>IF('WebNLG Combined OD + ZK'!N16="x",5,0)</f>
        <v>0</v>
      </c>
      <c r="E415" s="144">
        <f>IF('WebNLG Combined AB + TCF'!N16="x",5,0)</f>
        <v>0</v>
      </c>
    </row>
    <row r="416">
      <c r="B416" s="161">
        <f>'Original-WebNLG'!A18</f>
        <v>15</v>
      </c>
      <c r="C416" s="144">
        <f>IF('Original-WebNLG'!N18="x",5,0)</f>
        <v>0</v>
      </c>
      <c r="D416" s="144">
        <f>IF('WebNLG Combined OD + ZK'!N17="x",5,0)</f>
        <v>0</v>
      </c>
      <c r="E416" s="144">
        <f>IF('WebNLG Combined AB + TCF'!N17="x",5,0)</f>
        <v>0</v>
      </c>
    </row>
    <row r="417">
      <c r="B417" s="161">
        <f>'Original-WebNLG'!A19</f>
        <v>16</v>
      </c>
      <c r="C417" s="144">
        <f>IF('Original-WebNLG'!N19="x",5,0)</f>
        <v>0</v>
      </c>
      <c r="D417" s="144">
        <f>IF('WebNLG Combined OD + ZK'!N18="x",5,0)</f>
        <v>0</v>
      </c>
      <c r="E417" s="144">
        <f>IF('WebNLG Combined AB + TCF'!N18="x",5,0)</f>
        <v>0</v>
      </c>
    </row>
    <row r="418">
      <c r="B418" s="161">
        <f>'Original-WebNLG'!A20</f>
        <v>17</v>
      </c>
      <c r="C418" s="144">
        <f>IF('Original-WebNLG'!N20="x",5,0)</f>
        <v>0</v>
      </c>
      <c r="D418" s="144">
        <f>IF('WebNLG Combined OD + ZK'!N19="x",5,0)</f>
        <v>0</v>
      </c>
      <c r="E418" s="144">
        <f>IF('WebNLG Combined AB + TCF'!N19="x",5,0)</f>
        <v>0</v>
      </c>
    </row>
    <row r="419">
      <c r="B419" s="161">
        <f>'Original-WebNLG'!A21</f>
        <v>18</v>
      </c>
      <c r="C419" s="144">
        <f>IF('Original-WebNLG'!N21="x",5,0)</f>
        <v>0</v>
      </c>
      <c r="D419" s="144">
        <f>IF('WebNLG Combined OD + ZK'!N20="x",5,0)</f>
        <v>0</v>
      </c>
      <c r="E419" s="144">
        <f>IF('WebNLG Combined AB + TCF'!N20="x",5,0)</f>
        <v>0</v>
      </c>
    </row>
    <row r="420">
      <c r="B420" s="161">
        <f>'Original-WebNLG'!A22</f>
        <v>19</v>
      </c>
      <c r="C420" s="144">
        <f>IF('Original-WebNLG'!N22="x",5,0)</f>
        <v>0</v>
      </c>
      <c r="D420" s="144">
        <f>IF('WebNLG Combined OD + ZK'!N21="x",5,0)</f>
        <v>5</v>
      </c>
      <c r="E420" s="144">
        <f>IF('WebNLG Combined AB + TCF'!N21="x",5,0)</f>
        <v>0</v>
      </c>
    </row>
    <row r="421">
      <c r="B421" s="161">
        <f>'Original-WebNLG'!A23</f>
        <v>20</v>
      </c>
      <c r="C421" s="144">
        <f>IF('Original-WebNLG'!N23="x",5,0)</f>
        <v>0</v>
      </c>
      <c r="D421" s="144">
        <f>IF('WebNLG Combined OD + ZK'!N22="x",5,0)</f>
        <v>0</v>
      </c>
      <c r="E421" s="144">
        <f>IF('WebNLG Combined AB + TCF'!N22="x",5,0)</f>
        <v>5</v>
      </c>
    </row>
    <row r="422">
      <c r="B422" s="161">
        <f>'Original-WebNLG'!A24</f>
        <v>21</v>
      </c>
      <c r="C422" s="144">
        <f>IF('Original-WebNLG'!N24="x",5,0)</f>
        <v>0</v>
      </c>
      <c r="D422" s="144">
        <f>IF('WebNLG Combined OD + ZK'!N23="x",5,0)</f>
        <v>0</v>
      </c>
      <c r="E422" s="144">
        <f>IF('WebNLG Combined AB + TCF'!N23="x",5,0)</f>
        <v>0</v>
      </c>
    </row>
    <row r="423">
      <c r="B423" s="161">
        <f>'Original-WebNLG'!A25</f>
        <v>22</v>
      </c>
      <c r="C423" s="144">
        <f>IF('Original-WebNLG'!N25="x",5,0)</f>
        <v>0</v>
      </c>
      <c r="D423" s="144">
        <f>IF('WebNLG Combined OD + ZK'!N24="x",5,0)</f>
        <v>0</v>
      </c>
      <c r="E423" s="144">
        <f>IF('WebNLG Combined AB + TCF'!N24="x",5,0)</f>
        <v>0</v>
      </c>
    </row>
    <row r="424">
      <c r="B424" s="161">
        <f>'Original-WebNLG'!A26</f>
        <v>23</v>
      </c>
      <c r="C424" s="144">
        <f>IF('Original-WebNLG'!N26="x",5,0)</f>
        <v>0</v>
      </c>
      <c r="D424" s="144">
        <f>IF('WebNLG Combined OD + ZK'!N25="x",5,0)</f>
        <v>0</v>
      </c>
      <c r="E424" s="144">
        <f>IF('WebNLG Combined AB + TCF'!N25="x",5,0)</f>
        <v>0</v>
      </c>
    </row>
    <row r="425">
      <c r="B425" s="161">
        <f>'Original-WebNLG'!A27</f>
        <v>24</v>
      </c>
      <c r="C425" s="144">
        <f>IF('Original-WebNLG'!N27="x",5,0)</f>
        <v>0</v>
      </c>
      <c r="D425" s="144">
        <f>IF('WebNLG Combined OD + ZK'!N26="x",5,0)</f>
        <v>0</v>
      </c>
      <c r="E425" s="144">
        <f>IF('WebNLG Combined AB + TCF'!N26="x",5,0)</f>
        <v>0</v>
      </c>
    </row>
    <row r="426">
      <c r="B426" s="161">
        <f>'Original-WebNLG'!A28</f>
        <v>25</v>
      </c>
      <c r="C426" s="144">
        <f>IF('Original-WebNLG'!N28="x",5,0)</f>
        <v>0</v>
      </c>
      <c r="D426" s="144">
        <f>IF('WebNLG Combined OD + ZK'!N27="x",5,0)</f>
        <v>0</v>
      </c>
      <c r="E426" s="144">
        <f>IF('WebNLG Combined AB + TCF'!N27="x",5,0)</f>
        <v>0</v>
      </c>
    </row>
    <row r="427">
      <c r="B427" s="161">
        <f>'Original-WebNLG'!A29</f>
        <v>26</v>
      </c>
      <c r="C427" s="144">
        <f>IF('Original-WebNLG'!N29="x",5,0)</f>
        <v>0</v>
      </c>
      <c r="D427" s="144">
        <f>IF('WebNLG Combined OD + ZK'!N28="x",5,0)</f>
        <v>0</v>
      </c>
      <c r="E427" s="144">
        <f>IF('WebNLG Combined AB + TCF'!N28="x",5,0)</f>
        <v>0</v>
      </c>
    </row>
    <row r="428">
      <c r="B428" s="161">
        <f>'Original-WebNLG'!A30</f>
        <v>27</v>
      </c>
      <c r="C428" s="144">
        <f>IF('Original-WebNLG'!N30="x",5,0)</f>
        <v>0</v>
      </c>
      <c r="D428" s="144">
        <f>IF('WebNLG Combined OD + ZK'!N29="x",5,0)</f>
        <v>5</v>
      </c>
      <c r="E428" s="144">
        <f>IF('WebNLG Combined AB + TCF'!N29="x",5,0)</f>
        <v>0</v>
      </c>
    </row>
    <row r="429">
      <c r="B429" s="161">
        <f>'Original-WebNLG'!A31</f>
        <v>28</v>
      </c>
      <c r="C429" s="144">
        <f>IF('Original-WebNLG'!N31="x",5,0)</f>
        <v>0</v>
      </c>
      <c r="D429" s="144">
        <f>IF('WebNLG Combined OD + ZK'!N30="x",5,0)</f>
        <v>0</v>
      </c>
      <c r="E429" s="144">
        <f>IF('WebNLG Combined AB + TCF'!N30="x",5,0)</f>
        <v>0</v>
      </c>
    </row>
    <row r="430">
      <c r="B430" s="161">
        <f>'Original-WebNLG'!A32</f>
        <v>29</v>
      </c>
      <c r="C430" s="144">
        <f>IF('Original-WebNLG'!N32="x",5,0)</f>
        <v>0</v>
      </c>
      <c r="D430" s="144">
        <f>IF('WebNLG Combined OD + ZK'!N31="x",5,0)</f>
        <v>0</v>
      </c>
      <c r="E430" s="144">
        <f>IF('WebNLG Combined AB + TCF'!N31="x",5,0)</f>
        <v>0</v>
      </c>
    </row>
    <row r="431">
      <c r="B431" s="161">
        <f>'Original-WebNLG'!A33</f>
        <v>30</v>
      </c>
      <c r="C431" s="144">
        <f>IF('Original-WebNLG'!N33="x",5,0)</f>
        <v>0</v>
      </c>
      <c r="D431" s="144">
        <f>IF('WebNLG Combined OD + ZK'!N32="x",5,0)</f>
        <v>0</v>
      </c>
      <c r="E431" s="144">
        <f>IF('WebNLG Combined AB + TCF'!N32="x",5,0)</f>
        <v>0</v>
      </c>
    </row>
    <row r="432">
      <c r="B432" s="161">
        <f>'Original-WebNLG'!A34</f>
        <v>31</v>
      </c>
      <c r="C432" s="144">
        <f>IF('Original-WebNLG'!N34="x",5,0)</f>
        <v>5</v>
      </c>
      <c r="D432" s="144">
        <f>IF('WebNLG Combined OD + ZK'!N33="x",5,0)</f>
        <v>0</v>
      </c>
      <c r="E432" s="144">
        <f>IF('WebNLG Combined AB + TCF'!N33="x",5,0)</f>
        <v>5</v>
      </c>
    </row>
    <row r="433">
      <c r="B433" s="161">
        <f>'Original-WebNLG'!A35</f>
        <v>32</v>
      </c>
      <c r="C433" s="144">
        <f>IF('Original-WebNLG'!N35="x",5,0)</f>
        <v>0</v>
      </c>
      <c r="D433" s="144">
        <f>IF('WebNLG Combined OD + ZK'!N34="x",5,0)</f>
        <v>0</v>
      </c>
      <c r="E433" s="144">
        <f>IF('WebNLG Combined AB + TCF'!N34="x",5,0)</f>
        <v>0</v>
      </c>
    </row>
    <row r="434">
      <c r="B434" s="161">
        <f>'Original-WebNLG'!A36</f>
        <v>33</v>
      </c>
      <c r="C434" s="144">
        <f>IF('Original-WebNLG'!N36="x",5,0)</f>
        <v>0</v>
      </c>
      <c r="D434" s="144">
        <f>IF('WebNLG Combined OD + ZK'!N35="x",5,0)</f>
        <v>0</v>
      </c>
      <c r="E434" s="144">
        <f>IF('WebNLG Combined AB + TCF'!N35="x",5,0)</f>
        <v>0</v>
      </c>
    </row>
    <row r="435">
      <c r="B435" s="161">
        <f>'Original-WebNLG'!A37</f>
        <v>34</v>
      </c>
      <c r="C435" s="144">
        <f>IF('Original-WebNLG'!N37="x",5,0)</f>
        <v>0</v>
      </c>
      <c r="D435" s="144">
        <f>IF('WebNLG Combined OD + ZK'!N36="x",5,0)</f>
        <v>5</v>
      </c>
      <c r="E435" s="144">
        <f>IF('WebNLG Combined AB + TCF'!N36="x",5,0)</f>
        <v>0</v>
      </c>
    </row>
    <row r="436">
      <c r="B436" s="161">
        <f>'Original-WebNLG'!A38</f>
        <v>35</v>
      </c>
      <c r="C436" s="144">
        <f>IF('Original-WebNLG'!N38="x",5,0)</f>
        <v>0</v>
      </c>
      <c r="D436" s="144">
        <f>IF('WebNLG Combined OD + ZK'!N37="x",5,0)</f>
        <v>0</v>
      </c>
      <c r="E436" s="144">
        <f>IF('WebNLG Combined AB + TCF'!N37="x",5,0)</f>
        <v>0</v>
      </c>
    </row>
    <row r="437">
      <c r="B437" s="161">
        <f>'Original-WebNLG'!A39</f>
        <v>36</v>
      </c>
      <c r="C437" s="144">
        <f>IF('Original-WebNLG'!N39="x",5,0)</f>
        <v>0</v>
      </c>
      <c r="D437" s="144">
        <f>IF('WebNLG Combined OD + ZK'!N38="x",5,0)</f>
        <v>0</v>
      </c>
      <c r="E437" s="144">
        <f>IF('WebNLG Combined AB + TCF'!N38="x",5,0)</f>
        <v>0</v>
      </c>
    </row>
    <row r="438">
      <c r="B438" s="161">
        <f>'Original-WebNLG'!A40</f>
        <v>37</v>
      </c>
      <c r="C438" s="144">
        <f>IF('Original-WebNLG'!N40="x",5,0)</f>
        <v>0</v>
      </c>
      <c r="D438" s="144">
        <f>IF('WebNLG Combined OD + ZK'!N39="x",5,0)</f>
        <v>0</v>
      </c>
      <c r="E438" s="144">
        <f>IF('WebNLG Combined AB + TCF'!N39="x",5,0)</f>
        <v>0</v>
      </c>
    </row>
    <row r="439">
      <c r="B439" s="161">
        <f>'Original-WebNLG'!A41</f>
        <v>38</v>
      </c>
      <c r="C439" s="144">
        <f>IF('Original-WebNLG'!N41="x",5,0)</f>
        <v>0</v>
      </c>
      <c r="D439" s="144">
        <f>IF('WebNLG Combined OD + ZK'!N40="x",5,0)</f>
        <v>0</v>
      </c>
      <c r="E439" s="144">
        <f>IF('WebNLG Combined AB + TCF'!N40="x",5,0)</f>
        <v>0</v>
      </c>
    </row>
    <row r="440">
      <c r="B440" s="161">
        <f>'Original-WebNLG'!A42</f>
        <v>39</v>
      </c>
      <c r="C440" s="144">
        <f>IF('Original-WebNLG'!N42="x",5,0)</f>
        <v>0</v>
      </c>
      <c r="D440" s="144">
        <f>IF('WebNLG Combined OD + ZK'!N41="x",5,0)</f>
        <v>0</v>
      </c>
      <c r="E440" s="144">
        <f>IF('WebNLG Combined AB + TCF'!N41="x",5,0)</f>
        <v>0</v>
      </c>
    </row>
    <row r="441">
      <c r="B441" s="161">
        <f>'Original-WebNLG'!A43</f>
        <v>40</v>
      </c>
      <c r="C441" s="144">
        <f>IF('Original-WebNLG'!N43="x",5,0)</f>
        <v>0</v>
      </c>
      <c r="D441" s="144">
        <f>IF('WebNLG Combined OD + ZK'!N42="x",5,0)</f>
        <v>5</v>
      </c>
      <c r="E441" s="144">
        <f>IF('WebNLG Combined AB + TCF'!N42="x",5,0)</f>
        <v>0</v>
      </c>
    </row>
    <row r="442">
      <c r="B442" s="161">
        <f>'Original-WebNLG'!A44</f>
        <v>41</v>
      </c>
      <c r="C442" s="144">
        <f>IF('Original-WebNLG'!N44="x",5,0)</f>
        <v>0</v>
      </c>
      <c r="D442" s="144">
        <f>IF('WebNLG Combined OD + ZK'!N43="x",5,0)</f>
        <v>0</v>
      </c>
      <c r="E442" s="144">
        <f>IF('WebNLG Combined AB + TCF'!N43="x",5,0)</f>
        <v>0</v>
      </c>
    </row>
    <row r="443">
      <c r="B443" s="161">
        <f>'Original-WebNLG'!A45</f>
        <v>42</v>
      </c>
      <c r="C443" s="144">
        <f>IF('Original-WebNLG'!N45="x",5,0)</f>
        <v>0</v>
      </c>
      <c r="D443" s="144">
        <f>IF('WebNLG Combined OD + ZK'!N44="x",5,0)</f>
        <v>0</v>
      </c>
      <c r="E443" s="144">
        <f>IF('WebNLG Combined AB + TCF'!N44="x",5,0)</f>
        <v>5</v>
      </c>
    </row>
    <row r="444">
      <c r="B444" s="161">
        <f>'Original-WebNLG'!A46</f>
        <v>43</v>
      </c>
      <c r="C444" s="144">
        <f>IF('Original-WebNLG'!N46="x",5,0)</f>
        <v>0</v>
      </c>
      <c r="D444" s="144">
        <f>IF('WebNLG Combined OD + ZK'!N45="x",5,0)</f>
        <v>0</v>
      </c>
      <c r="E444" s="144">
        <f>IF('WebNLG Combined AB + TCF'!N45="x",5,0)</f>
        <v>5</v>
      </c>
    </row>
    <row r="445">
      <c r="B445" s="161">
        <f>'Original-WebNLG'!A47</f>
        <v>44</v>
      </c>
      <c r="C445" s="144">
        <f>IF('Original-WebNLG'!N47="x",5,0)</f>
        <v>0</v>
      </c>
      <c r="D445" s="144">
        <f>IF('WebNLG Combined OD + ZK'!N46="x",5,0)</f>
        <v>0</v>
      </c>
      <c r="E445" s="144">
        <f>IF('WebNLG Combined AB + TCF'!N46="x",5,0)</f>
        <v>0</v>
      </c>
    </row>
    <row r="446">
      <c r="B446" s="161">
        <f>'Original-WebNLG'!A48</f>
        <v>45</v>
      </c>
      <c r="C446" s="144">
        <f>IF('Original-WebNLG'!N48="x",5,0)</f>
        <v>0</v>
      </c>
      <c r="D446" s="144">
        <f>IF('WebNLG Combined OD + ZK'!N47="x",5,0)</f>
        <v>0</v>
      </c>
      <c r="E446" s="144">
        <f>IF('WebNLG Combined AB + TCF'!N47="x",5,0)</f>
        <v>5</v>
      </c>
    </row>
    <row r="447">
      <c r="B447" s="161">
        <f>'Original-WebNLG'!A49</f>
        <v>46</v>
      </c>
      <c r="C447" s="144">
        <f>IF('Original-WebNLG'!N49="x",5,0)</f>
        <v>0</v>
      </c>
      <c r="D447" s="144">
        <f>IF('WebNLG Combined OD + ZK'!N48="x",5,0)</f>
        <v>0</v>
      </c>
      <c r="E447" s="144">
        <f>IF('WebNLG Combined AB + TCF'!N48="x",5,0)</f>
        <v>0</v>
      </c>
    </row>
    <row r="448">
      <c r="B448" s="161">
        <f>'Original-WebNLG'!A50</f>
        <v>47</v>
      </c>
      <c r="C448" s="144">
        <f>IF('Original-WebNLG'!N50="x",5,0)</f>
        <v>0</v>
      </c>
      <c r="D448" s="144">
        <f>IF('WebNLG Combined OD + ZK'!N49="x",5,0)</f>
        <v>0</v>
      </c>
      <c r="E448" s="144">
        <f>IF('WebNLG Combined AB + TCF'!N49="x",5,0)</f>
        <v>0</v>
      </c>
    </row>
    <row r="449">
      <c r="B449" s="161">
        <f>'Original-WebNLG'!A51</f>
        <v>48</v>
      </c>
      <c r="C449" s="144">
        <f>IF('Original-WebNLG'!N51="x",5,0)</f>
        <v>5</v>
      </c>
      <c r="D449" s="144">
        <f>IF('WebNLG Combined OD + ZK'!N50="x",5,0)</f>
        <v>0</v>
      </c>
      <c r="E449" s="144">
        <f>IF('WebNLG Combined AB + TCF'!N50="x",5,0)</f>
        <v>0</v>
      </c>
    </row>
    <row r="450">
      <c r="B450" s="161">
        <f>'Original-WebNLG'!A52</f>
        <v>49</v>
      </c>
      <c r="C450" s="144">
        <f>IF('Original-WebNLG'!N52="x",5,0)</f>
        <v>0</v>
      </c>
      <c r="D450" s="144">
        <f>IF('WebNLG Combined OD + ZK'!N51="x",5,0)</f>
        <v>0</v>
      </c>
      <c r="E450" s="144">
        <f>IF('WebNLG Combined AB + TCF'!N51="x",5,0)</f>
        <v>0</v>
      </c>
    </row>
    <row r="451">
      <c r="B451" s="161">
        <f>'Original-WebNLG'!A53</f>
        <v>50</v>
      </c>
      <c r="C451" s="144">
        <f>IF('Original-WebNLG'!N53="x",5,0)</f>
        <v>0</v>
      </c>
      <c r="D451" s="144">
        <f>IF('WebNLG Combined OD + ZK'!N52="x",5,0)</f>
        <v>0</v>
      </c>
      <c r="E451" s="144">
        <f>IF('WebNLG Combined AB + TCF'!N52="x",5,0)</f>
        <v>0</v>
      </c>
    </row>
    <row r="452">
      <c r="B452" s="161">
        <f>'Original-WebNLG'!A54</f>
        <v>51</v>
      </c>
      <c r="C452" s="144">
        <f>IF('Original-WebNLG'!N54="x",5,0)</f>
        <v>0</v>
      </c>
      <c r="D452" s="144">
        <f>IF('WebNLG Combined OD + ZK'!N53="x",5,0)</f>
        <v>0</v>
      </c>
      <c r="E452" s="144">
        <f>IF('WebNLG Combined AB + TCF'!N53="x",5,0)</f>
        <v>0</v>
      </c>
    </row>
    <row r="453">
      <c r="B453" s="161">
        <f>'Original-WebNLG'!A55</f>
        <v>52</v>
      </c>
      <c r="C453" s="144">
        <f>IF('Original-WebNLG'!N55="x",5,0)</f>
        <v>0</v>
      </c>
      <c r="D453" s="144">
        <f>IF('WebNLG Combined OD + ZK'!N54="x",5,0)</f>
        <v>0</v>
      </c>
      <c r="E453" s="144">
        <f>IF('WebNLG Combined AB + TCF'!N54="x",5,0)</f>
        <v>0</v>
      </c>
    </row>
    <row r="454">
      <c r="B454" s="161">
        <f>'Original-WebNLG'!A56</f>
        <v>53</v>
      </c>
      <c r="C454" s="144">
        <f>IF('Original-WebNLG'!N56="x",5,0)</f>
        <v>0</v>
      </c>
      <c r="D454" s="144">
        <f>IF('WebNLG Combined OD + ZK'!N55="x",5,0)</f>
        <v>5</v>
      </c>
      <c r="E454" s="144">
        <f>IF('WebNLG Combined AB + TCF'!N55="x",5,0)</f>
        <v>0</v>
      </c>
    </row>
    <row r="455">
      <c r="B455" s="161">
        <f>'Original-WebNLG'!A57</f>
        <v>54</v>
      </c>
      <c r="C455" s="144">
        <f>IF('Original-WebNLG'!N57="x",5,0)</f>
        <v>0</v>
      </c>
      <c r="D455" s="144">
        <f>IF('WebNLG Combined OD + ZK'!N56="x",5,0)</f>
        <v>0</v>
      </c>
      <c r="E455" s="144">
        <f>IF('WebNLG Combined AB + TCF'!N56="x",5,0)</f>
        <v>0</v>
      </c>
    </row>
    <row r="456">
      <c r="B456" s="161">
        <f>'Original-WebNLG'!A58</f>
        <v>55</v>
      </c>
      <c r="C456" s="144">
        <f>IF('Original-WebNLG'!N58="x",5,0)</f>
        <v>0</v>
      </c>
      <c r="D456" s="144">
        <f>IF('WebNLG Combined OD + ZK'!N57="x",5,0)</f>
        <v>0</v>
      </c>
      <c r="E456" s="144">
        <f>IF('WebNLG Combined AB + TCF'!N57="x",5,0)</f>
        <v>0</v>
      </c>
    </row>
    <row r="457">
      <c r="B457" s="161">
        <f>'Original-WebNLG'!A59</f>
        <v>56</v>
      </c>
      <c r="C457" s="144">
        <f>IF('Original-WebNLG'!N59="x",5,0)</f>
        <v>0</v>
      </c>
      <c r="D457" s="144">
        <f>IF('WebNLG Combined OD + ZK'!N58="x",5,0)</f>
        <v>0</v>
      </c>
      <c r="E457" s="144">
        <f>IF('WebNLG Combined AB + TCF'!N58="x",5,0)</f>
        <v>0</v>
      </c>
    </row>
    <row r="458">
      <c r="B458" s="161">
        <f>'Original-WebNLG'!A60</f>
        <v>57</v>
      </c>
      <c r="C458" s="144">
        <f>IF('Original-WebNLG'!N60="x",5,0)</f>
        <v>0</v>
      </c>
      <c r="D458" s="144">
        <f>IF('WebNLG Combined OD + ZK'!N59="x",5,0)</f>
        <v>0</v>
      </c>
      <c r="E458" s="144">
        <f>IF('WebNLG Combined AB + TCF'!N59="x",5,0)</f>
        <v>0</v>
      </c>
    </row>
    <row r="459">
      <c r="B459" s="161">
        <f>'Original-WebNLG'!A61</f>
        <v>58</v>
      </c>
      <c r="C459" s="144">
        <f>IF('Original-WebNLG'!N61="x",5,0)</f>
        <v>0</v>
      </c>
      <c r="D459" s="144">
        <f>IF('WebNLG Combined OD + ZK'!N60="x",5,0)</f>
        <v>0</v>
      </c>
      <c r="E459" s="144">
        <f>IF('WebNLG Combined AB + TCF'!N60="x",5,0)</f>
        <v>0</v>
      </c>
    </row>
    <row r="460">
      <c r="B460" s="161">
        <f>'Original-WebNLG'!A62</f>
        <v>59</v>
      </c>
      <c r="C460" s="144">
        <f>IF('Original-WebNLG'!N62="x",5,0)</f>
        <v>0</v>
      </c>
      <c r="D460" s="144">
        <f>IF('WebNLG Combined OD + ZK'!N61="x",5,0)</f>
        <v>0</v>
      </c>
      <c r="E460" s="144">
        <f>IF('WebNLG Combined AB + TCF'!N61="x",5,0)</f>
        <v>0</v>
      </c>
    </row>
    <row r="461">
      <c r="B461" s="161">
        <f>'Original-WebNLG'!A63</f>
        <v>60</v>
      </c>
      <c r="C461" s="144">
        <f>IF('Original-WebNLG'!N63="x",5,0)</f>
        <v>5</v>
      </c>
      <c r="D461" s="144">
        <f>IF('WebNLG Combined OD + ZK'!N62="x",5,0)</f>
        <v>0</v>
      </c>
      <c r="E461" s="144">
        <f>IF('WebNLG Combined AB + TCF'!N62="x",5,0)</f>
        <v>5</v>
      </c>
    </row>
    <row r="462">
      <c r="B462" s="161">
        <f>'Original-WebNLG'!A64</f>
        <v>61</v>
      </c>
      <c r="C462" s="144">
        <f>IF('Original-WebNLG'!N64="x",5,0)</f>
        <v>0</v>
      </c>
      <c r="D462" s="144">
        <f>IF('WebNLG Combined OD + ZK'!N63="x",5,0)</f>
        <v>0</v>
      </c>
      <c r="E462" s="144">
        <f>IF('WebNLG Combined AB + TCF'!N63="x",5,0)</f>
        <v>0</v>
      </c>
    </row>
    <row r="463">
      <c r="B463" s="161">
        <f>'Original-WebNLG'!A65</f>
        <v>62</v>
      </c>
      <c r="C463" s="144">
        <f>IF('Original-WebNLG'!N65="x",5,0)</f>
        <v>0</v>
      </c>
      <c r="D463" s="144">
        <f>IF('WebNLG Combined OD + ZK'!N64="x",5,0)</f>
        <v>0</v>
      </c>
      <c r="E463" s="144">
        <f>IF('WebNLG Combined AB + TCF'!N64="x",5,0)</f>
        <v>0</v>
      </c>
    </row>
    <row r="464">
      <c r="B464" s="161">
        <f>'Original-WebNLG'!A66</f>
        <v>63</v>
      </c>
      <c r="C464" s="144">
        <f>IF('Original-WebNLG'!N66="x",5,0)</f>
        <v>0</v>
      </c>
      <c r="D464" s="144">
        <f>IF('WebNLG Combined OD + ZK'!N65="x",5,0)</f>
        <v>5</v>
      </c>
      <c r="E464" s="144">
        <f>IF('WebNLG Combined AB + TCF'!N65="x",5,0)</f>
        <v>0</v>
      </c>
    </row>
    <row r="465">
      <c r="B465" s="161">
        <f>'Original-WebNLG'!A67</f>
        <v>64</v>
      </c>
      <c r="C465" s="144">
        <f>IF('Original-WebNLG'!N67="x",5,0)</f>
        <v>0</v>
      </c>
      <c r="D465" s="144">
        <f>IF('WebNLG Combined OD + ZK'!N66="x",5,0)</f>
        <v>0</v>
      </c>
      <c r="E465" s="144">
        <f>IF('WebNLG Combined AB + TCF'!N66="x",5,0)</f>
        <v>0</v>
      </c>
    </row>
    <row r="466">
      <c r="B466" s="161">
        <f>'Original-WebNLG'!A68</f>
        <v>65</v>
      </c>
      <c r="C466" s="144">
        <f>IF('Original-WebNLG'!N68="x",5,0)</f>
        <v>0</v>
      </c>
      <c r="D466" s="144">
        <f>IF('WebNLG Combined OD + ZK'!N67="x",5,0)</f>
        <v>5</v>
      </c>
      <c r="E466" s="144">
        <f>IF('WebNLG Combined AB + TCF'!N67="x",5,0)</f>
        <v>0</v>
      </c>
    </row>
    <row r="467">
      <c r="B467" s="161">
        <f>'Original-WebNLG'!A69</f>
        <v>66</v>
      </c>
      <c r="C467" s="144">
        <f>IF('Original-WebNLG'!N69="x",5,0)</f>
        <v>0</v>
      </c>
      <c r="D467" s="144">
        <f>IF('WebNLG Combined OD + ZK'!N68="x",5,0)</f>
        <v>5</v>
      </c>
      <c r="E467" s="144">
        <f>IF('WebNLG Combined AB + TCF'!N68="x",5,0)</f>
        <v>0</v>
      </c>
    </row>
    <row r="468">
      <c r="B468" s="161">
        <f>'Original-WebNLG'!A70</f>
        <v>67</v>
      </c>
      <c r="C468" s="144">
        <f>IF('Original-WebNLG'!N70="x",5,0)</f>
        <v>0</v>
      </c>
      <c r="D468" s="144">
        <f>IF('WebNLG Combined OD + ZK'!N69="x",5,0)</f>
        <v>5</v>
      </c>
      <c r="E468" s="144">
        <f>IF('WebNLG Combined AB + TCF'!N69="x",5,0)</f>
        <v>0</v>
      </c>
    </row>
    <row r="469">
      <c r="B469" s="161">
        <f>'Original-WebNLG'!A71</f>
        <v>68</v>
      </c>
      <c r="C469" s="144">
        <f>IF('Original-WebNLG'!N71="x",5,0)</f>
        <v>5</v>
      </c>
      <c r="D469" s="144">
        <f>IF('WebNLG Combined OD + ZK'!N70="x",5,0)</f>
        <v>0</v>
      </c>
      <c r="E469" s="144">
        <f>IF('WebNLG Combined AB + TCF'!N70="x",5,0)</f>
        <v>0</v>
      </c>
    </row>
    <row r="470">
      <c r="B470" s="161">
        <f>'Original-WebNLG'!A72</f>
        <v>69</v>
      </c>
      <c r="C470" s="144">
        <f>IF('Original-WebNLG'!N72="x",5,0)</f>
        <v>0</v>
      </c>
      <c r="D470" s="144">
        <f>IF('WebNLG Combined OD + ZK'!N71="x",5,0)</f>
        <v>0</v>
      </c>
      <c r="E470" s="144">
        <f>IF('WebNLG Combined AB + TCF'!N71="x",5,0)</f>
        <v>0</v>
      </c>
    </row>
    <row r="471">
      <c r="B471" s="161">
        <f>'Original-WebNLG'!A73</f>
        <v>70</v>
      </c>
      <c r="C471" s="144">
        <f>IF('Original-WebNLG'!N73="x",5,0)</f>
        <v>0</v>
      </c>
      <c r="D471" s="144">
        <f>IF('WebNLG Combined OD + ZK'!N72="x",5,0)</f>
        <v>0</v>
      </c>
      <c r="E471" s="144">
        <f>IF('WebNLG Combined AB + TCF'!N72="x",5,0)</f>
        <v>0</v>
      </c>
    </row>
    <row r="472">
      <c r="B472" s="161">
        <f>'Original-WebNLG'!A74</f>
        <v>71</v>
      </c>
      <c r="C472" s="144">
        <f>IF('Original-WebNLG'!N74="x",5,0)</f>
        <v>0</v>
      </c>
      <c r="D472" s="144">
        <f>IF('WebNLG Combined OD + ZK'!N73="x",5,0)</f>
        <v>0</v>
      </c>
      <c r="E472" s="144">
        <f>IF('WebNLG Combined AB + TCF'!N73="x",5,0)</f>
        <v>0</v>
      </c>
    </row>
    <row r="473">
      <c r="B473" s="161">
        <f>'Original-WebNLG'!A75</f>
        <v>72</v>
      </c>
      <c r="C473" s="144">
        <f>IF('Original-WebNLG'!N75="x",5,0)</f>
        <v>0</v>
      </c>
      <c r="D473" s="144">
        <f>IF('WebNLG Combined OD + ZK'!N74="x",5,0)</f>
        <v>5</v>
      </c>
      <c r="E473" s="144">
        <f>IF('WebNLG Combined AB + TCF'!N74="x",5,0)</f>
        <v>0</v>
      </c>
    </row>
    <row r="474">
      <c r="B474" s="161">
        <f>'Original-WebNLG'!A76</f>
        <v>73</v>
      </c>
      <c r="C474" s="144">
        <f>IF('Original-WebNLG'!N76="x",5,0)</f>
        <v>5</v>
      </c>
      <c r="D474" s="144">
        <f>IF('WebNLG Combined OD + ZK'!N75="x",5,0)</f>
        <v>0</v>
      </c>
      <c r="E474" s="144">
        <f>IF('WebNLG Combined AB + TCF'!N75="x",5,0)</f>
        <v>5</v>
      </c>
    </row>
    <row r="475">
      <c r="B475" s="161">
        <f>'Original-WebNLG'!A77</f>
        <v>74</v>
      </c>
      <c r="C475" s="144">
        <f>IF('Original-WebNLG'!N77="x",5,0)</f>
        <v>0</v>
      </c>
      <c r="D475" s="144">
        <f>IF('WebNLG Combined OD + ZK'!N76="x",5,0)</f>
        <v>0</v>
      </c>
      <c r="E475" s="144">
        <f>IF('WebNLG Combined AB + TCF'!N76="x",5,0)</f>
        <v>0</v>
      </c>
    </row>
    <row r="476">
      <c r="B476" s="161">
        <f>'Original-WebNLG'!A78</f>
        <v>75</v>
      </c>
      <c r="C476" s="144">
        <f>IF('Original-WebNLG'!N78="x",5,0)</f>
        <v>0</v>
      </c>
      <c r="D476" s="144">
        <f>IF('WebNLG Combined OD + ZK'!N77="x",5,0)</f>
        <v>5</v>
      </c>
      <c r="E476" s="144">
        <f>IF('WebNLG Combined AB + TCF'!N77="x",5,0)</f>
        <v>0</v>
      </c>
    </row>
    <row r="477">
      <c r="B477" s="161">
        <f>'Original-WebNLG'!A79</f>
        <v>76</v>
      </c>
      <c r="C477" s="144">
        <f>IF('Original-WebNLG'!N79="x",5,0)</f>
        <v>0</v>
      </c>
      <c r="D477" s="144">
        <f>IF('WebNLG Combined OD + ZK'!N78="x",5,0)</f>
        <v>0</v>
      </c>
      <c r="E477" s="144">
        <f>IF('WebNLG Combined AB + TCF'!N78="x",5,0)</f>
        <v>0</v>
      </c>
    </row>
    <row r="478">
      <c r="B478" s="161">
        <f>'Original-WebNLG'!A80</f>
        <v>77</v>
      </c>
      <c r="C478" s="144">
        <f>IF('Original-WebNLG'!N80="x",5,0)</f>
        <v>0</v>
      </c>
      <c r="D478" s="144">
        <f>IF('WebNLG Combined OD + ZK'!N79="x",5,0)</f>
        <v>0</v>
      </c>
      <c r="E478" s="144">
        <f>IF('WebNLG Combined AB + TCF'!N79="x",5,0)</f>
        <v>0</v>
      </c>
    </row>
    <row r="479">
      <c r="B479" s="161">
        <f>'Original-WebNLG'!A81</f>
        <v>78</v>
      </c>
      <c r="C479" s="144">
        <f>IF('Original-WebNLG'!N81="x",5,0)</f>
        <v>0</v>
      </c>
      <c r="D479" s="144">
        <f>IF('WebNLG Combined OD + ZK'!N80="x",5,0)</f>
        <v>0</v>
      </c>
      <c r="E479" s="144">
        <f>IF('WebNLG Combined AB + TCF'!N80="x",5,0)</f>
        <v>0</v>
      </c>
    </row>
    <row r="480">
      <c r="B480" s="161">
        <f>'Original-WebNLG'!A82</f>
        <v>79</v>
      </c>
      <c r="C480" s="144">
        <f>IF('Original-WebNLG'!N82="x",5,0)</f>
        <v>0</v>
      </c>
      <c r="D480" s="144">
        <f>IF('WebNLG Combined OD + ZK'!N81="x",5,0)</f>
        <v>0</v>
      </c>
      <c r="E480" s="144">
        <f>IF('WebNLG Combined AB + TCF'!N81="x",5,0)</f>
        <v>0</v>
      </c>
    </row>
    <row r="481">
      <c r="B481" s="161">
        <f>'Original-WebNLG'!A83</f>
        <v>80</v>
      </c>
      <c r="C481" s="144">
        <f>IF('Original-WebNLG'!N83="x",5,0)</f>
        <v>5</v>
      </c>
      <c r="D481" s="144">
        <f>IF('WebNLG Combined OD + ZK'!N82="x",5,0)</f>
        <v>5</v>
      </c>
      <c r="E481" s="144">
        <f>IF('WebNLG Combined AB + TCF'!N82="x",5,0)</f>
        <v>0</v>
      </c>
    </row>
    <row r="482">
      <c r="B482" s="161">
        <f>'Original-WebNLG'!A84</f>
        <v>81</v>
      </c>
      <c r="C482" s="144">
        <f>IF('Original-WebNLG'!N84="x",5,0)</f>
        <v>0</v>
      </c>
      <c r="D482" s="144">
        <f>IF('WebNLG Combined OD + ZK'!N83="x",5,0)</f>
        <v>0</v>
      </c>
      <c r="E482" s="144">
        <f>IF('WebNLG Combined AB + TCF'!N83="x",5,0)</f>
        <v>5</v>
      </c>
    </row>
    <row r="483">
      <c r="B483" s="161">
        <f>'Original-WebNLG'!A85</f>
        <v>82</v>
      </c>
      <c r="C483" s="144">
        <f>IF('Original-WebNLG'!N85="x",5,0)</f>
        <v>0</v>
      </c>
      <c r="D483" s="144">
        <f>IF('WebNLG Combined OD + ZK'!N84="x",5,0)</f>
        <v>0</v>
      </c>
      <c r="E483" s="144">
        <f>IF('WebNLG Combined AB + TCF'!N84="x",5,0)</f>
        <v>0</v>
      </c>
    </row>
    <row r="484">
      <c r="B484" s="161">
        <f>'Original-WebNLG'!A86</f>
        <v>83</v>
      </c>
      <c r="C484" s="144">
        <f>IF('Original-WebNLG'!N86="x",5,0)</f>
        <v>0</v>
      </c>
      <c r="D484" s="144">
        <f>IF('WebNLG Combined OD + ZK'!N85="x",5,0)</f>
        <v>5</v>
      </c>
      <c r="E484" s="144">
        <f>IF('WebNLG Combined AB + TCF'!N85="x",5,0)</f>
        <v>0</v>
      </c>
    </row>
    <row r="485">
      <c r="B485" s="161">
        <f>'Original-WebNLG'!A87</f>
        <v>84</v>
      </c>
      <c r="C485" s="144">
        <f>IF('Original-WebNLG'!N87="x",5,0)</f>
        <v>0</v>
      </c>
      <c r="D485" s="144">
        <f>IF('WebNLG Combined OD + ZK'!N86="x",5,0)</f>
        <v>0</v>
      </c>
      <c r="E485" s="144">
        <f>IF('WebNLG Combined AB + TCF'!N86="x",5,0)</f>
        <v>0</v>
      </c>
    </row>
    <row r="486">
      <c r="B486" s="161">
        <f>'Original-WebNLG'!A88</f>
        <v>85</v>
      </c>
      <c r="C486" s="144">
        <f>IF('Original-WebNLG'!N88="x",5,0)</f>
        <v>0</v>
      </c>
      <c r="D486" s="144">
        <f>IF('WebNLG Combined OD + ZK'!N87="x",5,0)</f>
        <v>0</v>
      </c>
      <c r="E486" s="144">
        <f>IF('WebNLG Combined AB + TCF'!N87="x",5,0)</f>
        <v>0</v>
      </c>
    </row>
    <row r="487">
      <c r="B487" s="161">
        <f>'Original-WebNLG'!A89</f>
        <v>86</v>
      </c>
      <c r="C487" s="144">
        <f>IF('Original-WebNLG'!N89="x",5,0)</f>
        <v>0</v>
      </c>
      <c r="D487" s="144">
        <f>IF('WebNLG Combined OD + ZK'!N88="x",5,0)</f>
        <v>0</v>
      </c>
      <c r="E487" s="144">
        <f>IF('WebNLG Combined AB + TCF'!N88="x",5,0)</f>
        <v>0</v>
      </c>
    </row>
    <row r="488">
      <c r="B488" s="161">
        <f>'Original-WebNLG'!A90</f>
        <v>87</v>
      </c>
      <c r="C488" s="144">
        <f>IF('Original-WebNLG'!N90="x",5,0)</f>
        <v>0</v>
      </c>
      <c r="D488" s="144">
        <f>IF('WebNLG Combined OD + ZK'!N89="x",5,0)</f>
        <v>0</v>
      </c>
      <c r="E488" s="144">
        <f>IF('WebNLG Combined AB + TCF'!N89="x",5,0)</f>
        <v>0</v>
      </c>
    </row>
    <row r="489">
      <c r="B489" s="161">
        <f>'Original-WebNLG'!A91</f>
        <v>88</v>
      </c>
      <c r="C489" s="144">
        <f>IF('Original-WebNLG'!N91="x",5,0)</f>
        <v>0</v>
      </c>
      <c r="D489" s="144">
        <f>IF('WebNLG Combined OD + ZK'!N90="x",5,0)</f>
        <v>0</v>
      </c>
      <c r="E489" s="144">
        <f>IF('WebNLG Combined AB + TCF'!N90="x",5,0)</f>
        <v>0</v>
      </c>
    </row>
    <row r="490">
      <c r="B490" s="161">
        <f>'Original-WebNLG'!A92</f>
        <v>89</v>
      </c>
      <c r="C490" s="144">
        <f>IF('Original-WebNLG'!N92="x",5,0)</f>
        <v>0</v>
      </c>
      <c r="D490" s="144">
        <f>IF('WebNLG Combined OD + ZK'!N91="x",5,0)</f>
        <v>0</v>
      </c>
      <c r="E490" s="144">
        <f>IF('WebNLG Combined AB + TCF'!N91="x",5,0)</f>
        <v>0</v>
      </c>
    </row>
    <row r="491">
      <c r="B491" s="161">
        <f>'Original-WebNLG'!A93</f>
        <v>90</v>
      </c>
      <c r="C491" s="144">
        <f>IF('Original-WebNLG'!N93="x",5,0)</f>
        <v>0</v>
      </c>
      <c r="D491" s="144">
        <f>IF('WebNLG Combined OD + ZK'!N92="x",5,0)</f>
        <v>0</v>
      </c>
      <c r="E491" s="144">
        <f>IF('WebNLG Combined AB + TCF'!N92="x",5,0)</f>
        <v>0</v>
      </c>
    </row>
    <row r="492">
      <c r="B492" s="161">
        <f>'Original-WebNLG'!A94</f>
        <v>91</v>
      </c>
      <c r="C492" s="144">
        <f>IF('Original-WebNLG'!N94="x",5,0)</f>
        <v>0</v>
      </c>
      <c r="D492" s="144">
        <f>IF('WebNLG Combined OD + ZK'!N93="x",5,0)</f>
        <v>0</v>
      </c>
      <c r="E492" s="144">
        <f>IF('WebNLG Combined AB + TCF'!N93="x",5,0)</f>
        <v>0</v>
      </c>
    </row>
    <row r="493">
      <c r="B493" s="161">
        <f>'Original-WebNLG'!A95</f>
        <v>92</v>
      </c>
      <c r="C493" s="144">
        <f>IF('Original-WebNLG'!N95="x",5,0)</f>
        <v>5</v>
      </c>
      <c r="D493" s="144">
        <f>IF('WebNLG Combined OD + ZK'!N94="x",5,0)</f>
        <v>0</v>
      </c>
      <c r="E493" s="144">
        <f>IF('WebNLG Combined AB + TCF'!N94="x",5,0)</f>
        <v>5</v>
      </c>
    </row>
    <row r="494">
      <c r="B494" s="161">
        <f>'Original-WebNLG'!A96</f>
        <v>93</v>
      </c>
      <c r="C494" s="144">
        <f>IF('Original-WebNLG'!N96="x",5,0)</f>
        <v>5</v>
      </c>
      <c r="D494" s="144">
        <f>IF('WebNLG Combined OD + ZK'!N95="x",5,0)</f>
        <v>5</v>
      </c>
      <c r="E494" s="144">
        <f>IF('WebNLG Combined AB + TCF'!N95="x",5,0)</f>
        <v>0</v>
      </c>
    </row>
    <row r="495">
      <c r="B495" s="161">
        <f>'Original-WebNLG'!A97</f>
        <v>94</v>
      </c>
      <c r="C495" s="144">
        <f>IF('Original-WebNLG'!N97="x",5,0)</f>
        <v>0</v>
      </c>
      <c r="D495" s="144">
        <f>IF('WebNLG Combined OD + ZK'!N96="x",5,0)</f>
        <v>0</v>
      </c>
      <c r="E495" s="144">
        <f>IF('WebNLG Combined AB + TCF'!N96="x",5,0)</f>
        <v>0</v>
      </c>
    </row>
    <row r="496">
      <c r="B496" s="161">
        <f>'Original-WebNLG'!A98</f>
        <v>95</v>
      </c>
      <c r="C496" s="144">
        <f>IF('Original-WebNLG'!N98="x",5,0)</f>
        <v>0</v>
      </c>
      <c r="D496" s="144">
        <f>IF('WebNLG Combined OD + ZK'!N97="x",5,0)</f>
        <v>0</v>
      </c>
      <c r="E496" s="144">
        <f>IF('WebNLG Combined AB + TCF'!N97="x",5,0)</f>
        <v>0</v>
      </c>
    </row>
    <row r="497">
      <c r="B497" s="161">
        <f>'Original-WebNLG'!A99</f>
        <v>96</v>
      </c>
      <c r="C497" s="144">
        <f>IF('Original-WebNLG'!N99="x",5,0)</f>
        <v>0</v>
      </c>
      <c r="D497" s="144">
        <f>IF('WebNLG Combined OD + ZK'!N98="x",5,0)</f>
        <v>0</v>
      </c>
      <c r="E497" s="144">
        <f>IF('WebNLG Combined AB + TCF'!N98="x",5,0)</f>
        <v>0</v>
      </c>
    </row>
    <row r="498">
      <c r="B498" s="161">
        <f>'Original-WebNLG'!A100</f>
        <v>97</v>
      </c>
      <c r="C498" s="144">
        <f>IF('Original-WebNLG'!N100="x",5,0)</f>
        <v>5</v>
      </c>
      <c r="D498" s="144">
        <f>IF('WebNLG Combined OD + ZK'!N99="x",5,0)</f>
        <v>5</v>
      </c>
      <c r="E498" s="144">
        <f>IF('WebNLG Combined AB + TCF'!N99="x",5,0)</f>
        <v>0</v>
      </c>
    </row>
    <row r="499">
      <c r="B499" s="161">
        <f>'Original-WebNLG'!A101</f>
        <v>98</v>
      </c>
      <c r="C499" s="144">
        <f>IF('Original-WebNLG'!N101="x",5,0)</f>
        <v>0</v>
      </c>
      <c r="D499" s="144">
        <f>IF('WebNLG Combined OD + ZK'!N100="x",5,0)</f>
        <v>0</v>
      </c>
      <c r="E499" s="144">
        <f>IF('WebNLG Combined AB + TCF'!N100="x",5,0)</f>
        <v>0</v>
      </c>
    </row>
    <row r="500">
      <c r="B500" s="161">
        <f>'Original-WebNLG'!A102</f>
        <v>99</v>
      </c>
      <c r="C500" s="144">
        <f>IF('Original-WebNLG'!N102="x",5,0)</f>
        <v>0</v>
      </c>
      <c r="D500" s="144">
        <f>IF('WebNLG Combined OD + ZK'!N101="x",5,0)</f>
        <v>0</v>
      </c>
      <c r="E500" s="144">
        <f>IF('WebNLG Combined AB + TCF'!N101="x",5,0)</f>
        <v>0</v>
      </c>
    </row>
    <row r="501">
      <c r="B501" s="161">
        <f>'Original-WebNLG'!A103</f>
        <v>100</v>
      </c>
      <c r="C501" s="144">
        <f>IF('Original-WebNLG'!N103="x",5,0)</f>
        <v>0</v>
      </c>
      <c r="D501" s="144">
        <f>IF('WebNLG Combined OD + ZK'!N102="x",5,0)</f>
        <v>0</v>
      </c>
      <c r="E501" s="144">
        <f>IF('WebNLG Combined AB + TCF'!N102="x",5,0)</f>
        <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4.63"/>
    <col customWidth="1" min="2" max="4" width="9.88"/>
    <col customWidth="1" min="5" max="5" width="21.63"/>
    <col customWidth="1" min="6" max="6" width="23.75"/>
    <col customWidth="1" min="7" max="7" width="8.38"/>
    <col customWidth="1" min="8" max="8" width="7.75"/>
    <col customWidth="1" min="9" max="9" width="7.88"/>
    <col customWidth="1" min="10" max="11" width="8.75"/>
    <col customWidth="1" min="12" max="14" width="10.13"/>
    <col customWidth="1" min="15" max="15" width="13.25"/>
    <col customWidth="1" min="16" max="16" width="76.38"/>
    <col customWidth="1" min="17" max="17" width="14.38"/>
  </cols>
  <sheetData>
    <row r="1" ht="15.75" customHeight="1">
      <c r="A1" s="39"/>
      <c r="B1" s="40"/>
      <c r="C1" s="40"/>
      <c r="D1" s="40"/>
      <c r="H1" s="40"/>
      <c r="I1" s="41"/>
      <c r="J1" s="41"/>
      <c r="K1" s="41"/>
      <c r="L1" s="41"/>
      <c r="M1" s="41"/>
      <c r="N1" s="41"/>
      <c r="O1" s="41"/>
      <c r="P1" s="42"/>
      <c r="Q1" s="41"/>
    </row>
    <row r="2" ht="15.75" customHeight="1">
      <c r="A2" s="43"/>
      <c r="B2" s="44" t="s">
        <v>0</v>
      </c>
      <c r="C2" s="44" t="s">
        <v>1</v>
      </c>
      <c r="D2" s="45" t="s">
        <v>2</v>
      </c>
      <c r="E2" s="46" t="s">
        <v>3</v>
      </c>
      <c r="F2" s="47"/>
      <c r="G2" s="46" t="s">
        <v>4</v>
      </c>
      <c r="H2" s="48"/>
      <c r="I2" s="47"/>
      <c r="J2" s="46" t="s">
        <v>5</v>
      </c>
      <c r="K2" s="48"/>
      <c r="L2" s="48"/>
      <c r="M2" s="48"/>
      <c r="N2" s="48"/>
      <c r="O2" s="47"/>
      <c r="P2" s="49"/>
      <c r="Q2" s="41"/>
    </row>
    <row r="3" ht="40.5" customHeight="1">
      <c r="A3" s="50" t="s">
        <v>6</v>
      </c>
      <c r="B3" s="51"/>
      <c r="C3" s="51"/>
      <c r="D3" s="52"/>
      <c r="E3" s="53" t="s">
        <v>7</v>
      </c>
      <c r="F3" s="52" t="s">
        <v>8</v>
      </c>
      <c r="G3" s="53" t="s">
        <v>7</v>
      </c>
      <c r="H3" s="51" t="s">
        <v>8</v>
      </c>
      <c r="I3" s="52" t="s">
        <v>9</v>
      </c>
      <c r="J3" s="53" t="s">
        <v>10</v>
      </c>
      <c r="K3" s="51" t="s">
        <v>11</v>
      </c>
      <c r="L3" s="51" t="s">
        <v>12</v>
      </c>
      <c r="M3" s="51" t="s">
        <v>13</v>
      </c>
      <c r="N3" s="51" t="s">
        <v>14</v>
      </c>
      <c r="O3" s="52" t="s">
        <v>15</v>
      </c>
      <c r="P3" s="52" t="s">
        <v>16</v>
      </c>
      <c r="Q3" s="71" t="s">
        <v>766</v>
      </c>
    </row>
    <row r="4" ht="15.75" customHeight="1">
      <c r="A4" s="54">
        <v>38.0</v>
      </c>
      <c r="B4" s="55" t="s">
        <v>130</v>
      </c>
      <c r="C4" s="55" t="s">
        <v>701</v>
      </c>
      <c r="D4" s="55">
        <v>0.121</v>
      </c>
      <c r="E4" s="55" t="s">
        <v>21</v>
      </c>
      <c r="F4" s="55" t="s">
        <v>20</v>
      </c>
      <c r="G4" s="56" t="s">
        <v>22</v>
      </c>
      <c r="H4" s="57"/>
      <c r="I4" s="58"/>
      <c r="J4" s="57"/>
      <c r="K4" s="57" t="s">
        <v>22</v>
      </c>
      <c r="L4" s="57"/>
      <c r="M4" s="57"/>
      <c r="N4" s="57"/>
      <c r="O4" s="58"/>
      <c r="P4" s="59"/>
      <c r="Q4" s="60">
        <f>random_key!A34</f>
        <v>0.00126792185</v>
      </c>
    </row>
    <row r="5" ht="15.75" customHeight="1">
      <c r="A5" s="54">
        <v>36.0</v>
      </c>
      <c r="B5" s="55" t="s">
        <v>125</v>
      </c>
      <c r="C5" s="55" t="s">
        <v>699</v>
      </c>
      <c r="D5" s="55">
        <v>0.137</v>
      </c>
      <c r="E5" s="55" t="s">
        <v>21</v>
      </c>
      <c r="F5" s="55" t="s">
        <v>20</v>
      </c>
      <c r="G5" s="56" t="s">
        <v>22</v>
      </c>
      <c r="H5" s="57"/>
      <c r="I5" s="58"/>
      <c r="J5" s="57"/>
      <c r="K5" s="57" t="s">
        <v>22</v>
      </c>
      <c r="L5" s="57"/>
      <c r="M5" s="57"/>
      <c r="N5" s="57"/>
      <c r="O5" s="58"/>
      <c r="P5" s="59"/>
      <c r="Q5" s="60">
        <f>random_key!A32</f>
        <v>0.014775109</v>
      </c>
    </row>
    <row r="6" ht="15.75" customHeight="1">
      <c r="A6" s="54">
        <v>92.0</v>
      </c>
      <c r="B6" s="55" t="s">
        <v>264</v>
      </c>
      <c r="C6" s="55" t="s">
        <v>743</v>
      </c>
      <c r="D6" s="55">
        <v>0.434</v>
      </c>
      <c r="E6" s="55" t="s">
        <v>20</v>
      </c>
      <c r="F6" s="55" t="s">
        <v>31</v>
      </c>
      <c r="G6" s="56" t="s">
        <v>22</v>
      </c>
      <c r="H6" s="57"/>
      <c r="I6" s="58"/>
      <c r="J6" s="57"/>
      <c r="K6" s="57"/>
      <c r="L6" s="57"/>
      <c r="M6" s="57"/>
      <c r="N6" s="57"/>
      <c r="O6" s="58"/>
      <c r="P6" s="61"/>
      <c r="Q6" s="60">
        <f>random_key!A78</f>
        <v>0.02361814938</v>
      </c>
    </row>
    <row r="7" ht="15.75" customHeight="1">
      <c r="A7" s="54">
        <v>25.0</v>
      </c>
      <c r="B7" s="55" t="s">
        <v>97</v>
      </c>
      <c r="C7" s="55" t="s">
        <v>688</v>
      </c>
      <c r="D7" s="55">
        <v>0.887</v>
      </c>
      <c r="E7" s="55" t="s">
        <v>20</v>
      </c>
      <c r="F7" s="55" t="s">
        <v>21</v>
      </c>
      <c r="G7" s="56"/>
      <c r="H7" s="57"/>
      <c r="I7" s="58" t="s">
        <v>22</v>
      </c>
      <c r="J7" s="57"/>
      <c r="K7" s="57"/>
      <c r="L7" s="57"/>
      <c r="M7" s="57"/>
      <c r="N7" s="57"/>
      <c r="O7" s="58"/>
      <c r="P7" s="59" t="s">
        <v>689</v>
      </c>
      <c r="Q7" s="60">
        <f>random_key!A24</f>
        <v>0.0411164938</v>
      </c>
    </row>
    <row r="8" ht="15.75" customHeight="1">
      <c r="A8" s="54">
        <v>70.0</v>
      </c>
      <c r="B8" s="55" t="s">
        <v>210</v>
      </c>
      <c r="C8" s="55" t="s">
        <v>728</v>
      </c>
      <c r="D8" s="55">
        <v>0.97</v>
      </c>
      <c r="E8" s="55" t="s">
        <v>31</v>
      </c>
      <c r="F8" s="55" t="s">
        <v>21</v>
      </c>
      <c r="G8" s="56"/>
      <c r="H8" s="57" t="s">
        <v>22</v>
      </c>
      <c r="I8" s="58"/>
      <c r="J8" s="57"/>
      <c r="K8" s="57"/>
      <c r="L8" s="57"/>
      <c r="M8" s="57"/>
      <c r="N8" s="57"/>
      <c r="O8" s="58" t="s">
        <v>22</v>
      </c>
      <c r="P8" s="59"/>
      <c r="Q8" s="60">
        <f>random_key!A60</f>
        <v>0.04241728525</v>
      </c>
    </row>
    <row r="9" ht="15.75" customHeight="1">
      <c r="A9" s="54">
        <v>34.0</v>
      </c>
      <c r="B9" s="55" t="s">
        <v>121</v>
      </c>
      <c r="C9" s="55" t="s">
        <v>697</v>
      </c>
      <c r="D9" s="55">
        <v>0.854</v>
      </c>
      <c r="E9" s="55" t="s">
        <v>20</v>
      </c>
      <c r="F9" s="55" t="s">
        <v>21</v>
      </c>
      <c r="G9" s="56"/>
      <c r="H9" s="57"/>
      <c r="I9" s="58" t="s">
        <v>22</v>
      </c>
      <c r="J9" s="57"/>
      <c r="K9" s="57"/>
      <c r="L9" s="57"/>
      <c r="M9" s="57"/>
      <c r="N9" s="57"/>
      <c r="O9" s="58"/>
      <c r="P9" s="59" t="s">
        <v>698</v>
      </c>
      <c r="Q9" s="60">
        <f>random_key!A31</f>
        <v>0.04729217204</v>
      </c>
    </row>
    <row r="10" ht="15.75" customHeight="1">
      <c r="A10" s="54">
        <v>64.0</v>
      </c>
      <c r="B10" s="55" t="s">
        <v>199</v>
      </c>
      <c r="C10" s="55" t="s">
        <v>724</v>
      </c>
      <c r="D10" s="55">
        <v>0.901</v>
      </c>
      <c r="E10" s="55" t="s">
        <v>20</v>
      </c>
      <c r="F10" s="55" t="s">
        <v>21</v>
      </c>
      <c r="G10" s="56"/>
      <c r="H10" s="57" t="s">
        <v>22</v>
      </c>
      <c r="I10" s="58"/>
      <c r="J10" s="57"/>
      <c r="K10" s="57"/>
      <c r="L10" s="57" t="s">
        <v>22</v>
      </c>
      <c r="M10" s="57"/>
      <c r="N10" s="57"/>
      <c r="O10" s="58"/>
      <c r="P10" s="59"/>
      <c r="Q10" s="60">
        <f>random_key!A56</f>
        <v>0.07656247635</v>
      </c>
    </row>
    <row r="11" ht="15.75" customHeight="1">
      <c r="A11" s="54">
        <v>16.0</v>
      </c>
      <c r="B11" s="55" t="s">
        <v>68</v>
      </c>
      <c r="C11" s="55" t="s">
        <v>678</v>
      </c>
      <c r="D11" s="55">
        <v>0.742</v>
      </c>
      <c r="E11" s="55" t="s">
        <v>20</v>
      </c>
      <c r="F11" s="55" t="s">
        <v>21</v>
      </c>
      <c r="G11" s="56"/>
      <c r="H11" s="57" t="s">
        <v>22</v>
      </c>
      <c r="I11" s="58"/>
      <c r="J11" s="57"/>
      <c r="K11" s="57"/>
      <c r="L11" s="57"/>
      <c r="M11" s="57"/>
      <c r="N11" s="57" t="s">
        <v>22</v>
      </c>
      <c r="O11" s="58"/>
      <c r="P11" s="59"/>
      <c r="Q11" s="60">
        <f>random_key!A15</f>
        <v>0.0980610577</v>
      </c>
    </row>
    <row r="12" ht="15.75" customHeight="1">
      <c r="A12" s="54">
        <v>59.0</v>
      </c>
      <c r="B12" s="55" t="s">
        <v>188</v>
      </c>
      <c r="C12" s="55" t="s">
        <v>720</v>
      </c>
      <c r="D12" s="55">
        <v>0.834</v>
      </c>
      <c r="E12" s="55" t="s">
        <v>20</v>
      </c>
      <c r="F12" s="55" t="s">
        <v>21</v>
      </c>
      <c r="G12" s="56"/>
      <c r="H12" s="57"/>
      <c r="I12" s="58" t="s">
        <v>22</v>
      </c>
      <c r="J12" s="57"/>
      <c r="K12" s="57"/>
      <c r="L12" s="57"/>
      <c r="M12" s="57"/>
      <c r="N12" s="57"/>
      <c r="O12" s="58"/>
      <c r="P12" s="59" t="s">
        <v>698</v>
      </c>
      <c r="Q12" s="60">
        <f>random_key!A52</f>
        <v>0.1163449744</v>
      </c>
    </row>
    <row r="13" ht="15.75" customHeight="1">
      <c r="A13" s="54">
        <v>110.0</v>
      </c>
      <c r="B13" s="55" t="s">
        <v>310</v>
      </c>
      <c r="C13" s="55" t="s">
        <v>757</v>
      </c>
      <c r="D13" s="55">
        <v>0.035</v>
      </c>
      <c r="E13" s="55" t="s">
        <v>21</v>
      </c>
      <c r="F13" s="55" t="s">
        <v>20</v>
      </c>
      <c r="G13" s="56" t="s">
        <v>22</v>
      </c>
      <c r="H13" s="57"/>
      <c r="I13" s="58"/>
      <c r="J13" s="57"/>
      <c r="K13" s="57" t="s">
        <v>22</v>
      </c>
      <c r="L13" s="57"/>
      <c r="M13" s="57"/>
      <c r="N13" s="57"/>
      <c r="O13" s="58"/>
      <c r="P13" s="59"/>
      <c r="Q13" s="60">
        <f>random_key!A92</f>
        <v>0.1176876676</v>
      </c>
    </row>
    <row r="14" ht="15.75" customHeight="1">
      <c r="A14" s="54">
        <v>41.0</v>
      </c>
      <c r="B14" s="55" t="s">
        <v>135</v>
      </c>
      <c r="C14" s="55" t="s">
        <v>702</v>
      </c>
      <c r="D14" s="55">
        <v>0.061</v>
      </c>
      <c r="E14" s="55" t="s">
        <v>21</v>
      </c>
      <c r="F14" s="55" t="s">
        <v>31</v>
      </c>
      <c r="G14" s="56" t="s">
        <v>22</v>
      </c>
      <c r="H14" s="57"/>
      <c r="I14" s="58"/>
      <c r="J14" s="57"/>
      <c r="K14" s="57"/>
      <c r="L14" s="57" t="s">
        <v>22</v>
      </c>
      <c r="M14" s="57"/>
      <c r="N14" s="57"/>
      <c r="O14" s="58"/>
      <c r="P14" s="59"/>
      <c r="Q14" s="60">
        <f>random_key!A36</f>
        <v>0.1197756392</v>
      </c>
    </row>
    <row r="15" ht="15.75" customHeight="1">
      <c r="A15" s="54">
        <v>103.0</v>
      </c>
      <c r="B15" s="55" t="s">
        <v>292</v>
      </c>
      <c r="C15" s="55" t="s">
        <v>752</v>
      </c>
      <c r="D15" s="55">
        <v>0.082</v>
      </c>
      <c r="E15" s="55" t="s">
        <v>21</v>
      </c>
      <c r="F15" s="55" t="s">
        <v>31</v>
      </c>
      <c r="G15" s="56"/>
      <c r="H15" s="57" t="s">
        <v>22</v>
      </c>
      <c r="I15" s="58"/>
      <c r="J15" s="57"/>
      <c r="K15" s="57"/>
      <c r="L15" s="57"/>
      <c r="M15" s="57" t="s">
        <v>22</v>
      </c>
      <c r="N15" s="57"/>
      <c r="O15" s="58"/>
      <c r="P15" s="59"/>
      <c r="Q15" s="60">
        <f>random_key!A87</f>
        <v>0.1801476423</v>
      </c>
    </row>
    <row r="16" ht="15.75" customHeight="1">
      <c r="A16" s="54">
        <v>10.0</v>
      </c>
      <c r="B16" s="55" t="s">
        <v>49</v>
      </c>
      <c r="C16" s="55" t="s">
        <v>671</v>
      </c>
      <c r="D16" s="55">
        <v>0.049</v>
      </c>
      <c r="E16" s="55" t="s">
        <v>21</v>
      </c>
      <c r="F16" s="55" t="s">
        <v>20</v>
      </c>
      <c r="G16" s="56" t="s">
        <v>22</v>
      </c>
      <c r="H16" s="57"/>
      <c r="I16" s="58"/>
      <c r="J16" s="57"/>
      <c r="K16" s="57" t="s">
        <v>22</v>
      </c>
      <c r="L16" s="57"/>
      <c r="M16" s="57"/>
      <c r="N16" s="57"/>
      <c r="O16" s="58"/>
      <c r="P16" s="59"/>
      <c r="Q16" s="60">
        <f>random_key!A9</f>
        <v>0.1930796601</v>
      </c>
    </row>
    <row r="17" ht="15.75" customHeight="1">
      <c r="A17" s="54">
        <v>8.0</v>
      </c>
      <c r="B17" s="55" t="s">
        <v>43</v>
      </c>
      <c r="C17" s="55" t="s">
        <v>669</v>
      </c>
      <c r="D17" s="55">
        <v>0.033</v>
      </c>
      <c r="E17" s="55" t="s">
        <v>21</v>
      </c>
      <c r="F17" s="55" t="s">
        <v>20</v>
      </c>
      <c r="G17" s="56" t="s">
        <v>22</v>
      </c>
      <c r="H17" s="57"/>
      <c r="I17" s="58"/>
      <c r="J17" s="57"/>
      <c r="K17" s="57" t="s">
        <v>22</v>
      </c>
      <c r="L17" s="57"/>
      <c r="M17" s="57"/>
      <c r="N17" s="57"/>
      <c r="O17" s="58"/>
      <c r="P17" s="59"/>
      <c r="Q17" s="60">
        <f>random_key!A7</f>
        <v>0.2005901691</v>
      </c>
    </row>
    <row r="18" ht="15.75" customHeight="1">
      <c r="A18" s="54">
        <v>15.0</v>
      </c>
      <c r="B18" s="55" t="s">
        <v>66</v>
      </c>
      <c r="C18" s="55" t="s">
        <v>677</v>
      </c>
      <c r="D18" s="55">
        <v>0.047</v>
      </c>
      <c r="E18" s="55" t="s">
        <v>21</v>
      </c>
      <c r="F18" s="55" t="s">
        <v>20</v>
      </c>
      <c r="G18" s="56" t="s">
        <v>22</v>
      </c>
      <c r="H18" s="57"/>
      <c r="I18" s="58"/>
      <c r="J18" s="57"/>
      <c r="K18" s="57" t="s">
        <v>22</v>
      </c>
      <c r="L18" s="57"/>
      <c r="M18" s="57"/>
      <c r="N18" s="57"/>
      <c r="O18" s="58"/>
      <c r="P18" s="59"/>
      <c r="Q18" s="60">
        <f>random_key!A14</f>
        <v>0.2045792564</v>
      </c>
    </row>
    <row r="19" ht="15.75" customHeight="1">
      <c r="A19" s="54">
        <v>56.0</v>
      </c>
      <c r="B19" s="55" t="s">
        <v>178</v>
      </c>
      <c r="C19" s="55" t="s">
        <v>717</v>
      </c>
      <c r="D19" s="55">
        <v>0.01</v>
      </c>
      <c r="E19" s="55" t="s">
        <v>20</v>
      </c>
      <c r="F19" s="55" t="s">
        <v>26</v>
      </c>
      <c r="G19" s="56"/>
      <c r="H19" s="57" t="s">
        <v>22</v>
      </c>
      <c r="I19" s="58"/>
      <c r="J19" s="57"/>
      <c r="K19" s="57"/>
      <c r="L19" s="57"/>
      <c r="M19" s="57" t="s">
        <v>22</v>
      </c>
      <c r="N19" s="57"/>
      <c r="O19" s="58"/>
      <c r="P19" s="59"/>
      <c r="Q19" s="60">
        <f>random_key!A49</f>
        <v>0.2046791854</v>
      </c>
    </row>
    <row r="20" ht="15.75" customHeight="1">
      <c r="A20" s="54">
        <v>83.0</v>
      </c>
      <c r="B20" s="55" t="s">
        <v>248</v>
      </c>
      <c r="C20" s="55" t="s">
        <v>739</v>
      </c>
      <c r="D20" s="55">
        <v>0.873</v>
      </c>
      <c r="E20" s="55" t="s">
        <v>20</v>
      </c>
      <c r="F20" s="55" t="s">
        <v>21</v>
      </c>
      <c r="G20" s="56"/>
      <c r="H20" s="57"/>
      <c r="I20" s="58" t="s">
        <v>22</v>
      </c>
      <c r="J20" s="57"/>
      <c r="K20" s="57"/>
      <c r="L20" s="57"/>
      <c r="M20" s="57"/>
      <c r="N20" s="57"/>
      <c r="O20" s="58"/>
      <c r="P20" s="59" t="s">
        <v>689</v>
      </c>
      <c r="Q20" s="60">
        <f>random_key!A73</f>
        <v>0.2060904439</v>
      </c>
    </row>
    <row r="21" ht="15.75" customHeight="1">
      <c r="A21" s="54">
        <v>107.0</v>
      </c>
      <c r="B21" s="55" t="s">
        <v>307</v>
      </c>
      <c r="C21" s="55" t="s">
        <v>756</v>
      </c>
      <c r="D21" s="55">
        <v>0.624</v>
      </c>
      <c r="E21" s="55" t="s">
        <v>20</v>
      </c>
      <c r="F21" s="55" t="s">
        <v>21</v>
      </c>
      <c r="G21" s="56"/>
      <c r="H21" s="57" t="s">
        <v>22</v>
      </c>
      <c r="I21" s="58"/>
      <c r="J21" s="57"/>
      <c r="K21" s="57"/>
      <c r="L21" s="57" t="s">
        <v>22</v>
      </c>
      <c r="M21" s="57"/>
      <c r="N21" s="57"/>
      <c r="O21" s="58"/>
      <c r="P21" s="59"/>
      <c r="Q21" s="60">
        <f>random_key!A91</f>
        <v>0.208460173</v>
      </c>
    </row>
    <row r="22" ht="15.75" customHeight="1">
      <c r="A22" s="54">
        <v>54.0</v>
      </c>
      <c r="B22" s="55" t="s">
        <v>173</v>
      </c>
      <c r="C22" s="55" t="s">
        <v>715</v>
      </c>
      <c r="D22" s="55">
        <v>0.943</v>
      </c>
      <c r="E22" s="55" t="s">
        <v>20</v>
      </c>
      <c r="F22" s="55" t="s">
        <v>21</v>
      </c>
      <c r="G22" s="56"/>
      <c r="H22" s="57" t="s">
        <v>22</v>
      </c>
      <c r="I22" s="58"/>
      <c r="J22" s="57"/>
      <c r="K22" s="57"/>
      <c r="L22" s="57"/>
      <c r="M22" s="57"/>
      <c r="N22" s="57" t="s">
        <v>22</v>
      </c>
      <c r="O22" s="58"/>
      <c r="P22" s="59"/>
      <c r="Q22" s="60">
        <f>random_key!A47</f>
        <v>0.2140410334</v>
      </c>
    </row>
    <row r="23" ht="15.75" customHeight="1">
      <c r="A23" s="54">
        <v>98.0</v>
      </c>
      <c r="B23" s="55" t="s">
        <v>277</v>
      </c>
      <c r="C23" s="55" t="s">
        <v>746</v>
      </c>
      <c r="D23" s="55">
        <v>0.147</v>
      </c>
      <c r="E23" s="55" t="s">
        <v>21</v>
      </c>
      <c r="F23" s="55" t="s">
        <v>20</v>
      </c>
      <c r="G23" s="56" t="s">
        <v>22</v>
      </c>
      <c r="H23" s="57"/>
      <c r="I23" s="58"/>
      <c r="J23" s="57"/>
      <c r="K23" s="57" t="s">
        <v>22</v>
      </c>
      <c r="L23" s="57"/>
      <c r="M23" s="57"/>
      <c r="N23" s="57"/>
      <c r="O23" s="58"/>
      <c r="P23" s="59"/>
      <c r="Q23" s="60">
        <f>random_key!A82</f>
        <v>0.2217316316</v>
      </c>
    </row>
    <row r="24" ht="15.75" customHeight="1">
      <c r="A24" s="54">
        <v>20.0</v>
      </c>
      <c r="B24" s="55" t="s">
        <v>81</v>
      </c>
      <c r="C24" s="55" t="s">
        <v>673</v>
      </c>
      <c r="D24" s="55">
        <v>0.977</v>
      </c>
      <c r="E24" s="55" t="s">
        <v>31</v>
      </c>
      <c r="F24" s="55" t="s">
        <v>21</v>
      </c>
      <c r="G24" s="56"/>
      <c r="H24" s="57" t="s">
        <v>22</v>
      </c>
      <c r="I24" s="58"/>
      <c r="J24" s="57"/>
      <c r="K24" s="57"/>
      <c r="L24" s="57"/>
      <c r="M24" s="57"/>
      <c r="N24" s="57"/>
      <c r="O24" s="58" t="s">
        <v>22</v>
      </c>
      <c r="P24" s="59"/>
      <c r="Q24" s="60">
        <f>random_key!A19</f>
        <v>0.2255976227</v>
      </c>
    </row>
    <row r="25" ht="15.75" customHeight="1">
      <c r="A25" s="54">
        <v>18.0</v>
      </c>
      <c r="B25" s="55" t="s">
        <v>75</v>
      </c>
      <c r="C25" s="55" t="s">
        <v>680</v>
      </c>
      <c r="D25" s="55">
        <v>0.022</v>
      </c>
      <c r="E25" s="55" t="s">
        <v>21</v>
      </c>
      <c r="F25" s="55" t="s">
        <v>20</v>
      </c>
      <c r="G25" s="56" t="s">
        <v>22</v>
      </c>
      <c r="H25" s="57"/>
      <c r="I25" s="58"/>
      <c r="J25" s="57"/>
      <c r="K25" s="57" t="s">
        <v>22</v>
      </c>
      <c r="L25" s="57"/>
      <c r="M25" s="57"/>
      <c r="N25" s="57"/>
      <c r="O25" s="58"/>
      <c r="P25" s="59"/>
      <c r="Q25" s="60">
        <f>random_key!A17</f>
        <v>0.2359531103</v>
      </c>
    </row>
    <row r="26" ht="15.75" customHeight="1">
      <c r="A26" s="54">
        <v>31.0</v>
      </c>
      <c r="B26" s="55" t="s">
        <v>115</v>
      </c>
      <c r="C26" s="55" t="s">
        <v>695</v>
      </c>
      <c r="D26" s="55">
        <v>0.971</v>
      </c>
      <c r="E26" s="55" t="s">
        <v>31</v>
      </c>
      <c r="F26" s="55" t="s">
        <v>21</v>
      </c>
      <c r="G26" s="56"/>
      <c r="H26" s="57" t="s">
        <v>22</v>
      </c>
      <c r="I26" s="58"/>
      <c r="J26" s="57"/>
      <c r="K26" s="57"/>
      <c r="L26" s="57"/>
      <c r="M26" s="57"/>
      <c r="N26" s="57"/>
      <c r="O26" s="58" t="s">
        <v>22</v>
      </c>
      <c r="P26" s="59"/>
      <c r="Q26" s="60">
        <f>random_key!A29</f>
        <v>0.2367282546</v>
      </c>
    </row>
    <row r="27" ht="15.75" customHeight="1">
      <c r="A27" s="54">
        <v>49.0</v>
      </c>
      <c r="B27" s="55" t="s">
        <v>162</v>
      </c>
      <c r="C27" s="55" t="s">
        <v>711</v>
      </c>
      <c r="D27" s="55">
        <v>0.594</v>
      </c>
      <c r="E27" s="55" t="s">
        <v>20</v>
      </c>
      <c r="F27" s="55" t="s">
        <v>21</v>
      </c>
      <c r="G27" s="56"/>
      <c r="H27" s="57"/>
      <c r="I27" s="58" t="s">
        <v>22</v>
      </c>
      <c r="J27" s="57"/>
      <c r="K27" s="57"/>
      <c r="L27" s="57"/>
      <c r="M27" s="57"/>
      <c r="N27" s="57"/>
      <c r="O27" s="58"/>
      <c r="P27" s="59" t="s">
        <v>712</v>
      </c>
      <c r="Q27" s="60">
        <f>random_key!A44</f>
        <v>0.2390760191</v>
      </c>
    </row>
    <row r="28" ht="15.75" customHeight="1">
      <c r="A28" s="54">
        <v>46.0</v>
      </c>
      <c r="B28" s="55" t="s">
        <v>153</v>
      </c>
      <c r="C28" s="55" t="s">
        <v>708</v>
      </c>
      <c r="D28" s="55">
        <v>0.047</v>
      </c>
      <c r="E28" s="55" t="s">
        <v>21</v>
      </c>
      <c r="F28" s="55" t="s">
        <v>20</v>
      </c>
      <c r="G28" s="56" t="s">
        <v>22</v>
      </c>
      <c r="H28" s="57"/>
      <c r="I28" s="58"/>
      <c r="J28" s="57"/>
      <c r="K28" s="57" t="s">
        <v>22</v>
      </c>
      <c r="L28" s="57"/>
      <c r="M28" s="57"/>
      <c r="N28" s="57"/>
      <c r="O28" s="58"/>
      <c r="P28" s="59"/>
      <c r="Q28" s="60">
        <f>random_key!A41</f>
        <v>0.2504741674</v>
      </c>
    </row>
    <row r="29" ht="15.75" customHeight="1">
      <c r="A29" s="54">
        <v>21.0</v>
      </c>
      <c r="B29" s="55" t="s">
        <v>83</v>
      </c>
      <c r="C29" s="55" t="s">
        <v>682</v>
      </c>
      <c r="D29" s="55">
        <v>0.984</v>
      </c>
      <c r="E29" s="55" t="s">
        <v>20</v>
      </c>
      <c r="F29" s="55" t="s">
        <v>21</v>
      </c>
      <c r="G29" s="56"/>
      <c r="H29" s="57" t="s">
        <v>22</v>
      </c>
      <c r="I29" s="58"/>
      <c r="J29" s="57"/>
      <c r="K29" s="57"/>
      <c r="L29" s="57"/>
      <c r="M29" s="57"/>
      <c r="N29" s="57" t="s">
        <v>22</v>
      </c>
      <c r="O29" s="58"/>
      <c r="P29" s="59"/>
      <c r="Q29" s="60">
        <f>random_key!A20</f>
        <v>0.2628754448</v>
      </c>
    </row>
    <row r="30" ht="15.75" customHeight="1">
      <c r="A30" s="54">
        <v>101.0</v>
      </c>
      <c r="B30" s="55" t="s">
        <v>286</v>
      </c>
      <c r="C30" s="55" t="s">
        <v>749</v>
      </c>
      <c r="D30" s="55">
        <v>0.913</v>
      </c>
      <c r="E30" s="55" t="s">
        <v>31</v>
      </c>
      <c r="F30" s="55" t="s">
        <v>21</v>
      </c>
      <c r="G30" s="56"/>
      <c r="H30" s="57"/>
      <c r="I30" s="58" t="s">
        <v>22</v>
      </c>
      <c r="J30" s="57"/>
      <c r="K30" s="57"/>
      <c r="L30" s="57"/>
      <c r="M30" s="57"/>
      <c r="N30" s="57"/>
      <c r="O30" s="58"/>
      <c r="P30" s="59" t="s">
        <v>704</v>
      </c>
      <c r="Q30" s="60">
        <f>random_key!A85</f>
        <v>0.2733204148</v>
      </c>
    </row>
    <row r="31" ht="15.75" customHeight="1">
      <c r="A31" s="54">
        <v>81.0</v>
      </c>
      <c r="B31" s="55" t="s">
        <v>240</v>
      </c>
      <c r="C31" s="55" t="s">
        <v>737</v>
      </c>
      <c r="D31" s="55">
        <v>0.652</v>
      </c>
      <c r="E31" s="55" t="s">
        <v>20</v>
      </c>
      <c r="F31" s="55" t="s">
        <v>21</v>
      </c>
      <c r="G31" s="56"/>
      <c r="H31" s="57" t="s">
        <v>22</v>
      </c>
      <c r="I31" s="58"/>
      <c r="J31" s="57"/>
      <c r="K31" s="57"/>
      <c r="L31" s="57" t="s">
        <v>22</v>
      </c>
      <c r="M31" s="57"/>
      <c r="N31" s="57"/>
      <c r="O31" s="58"/>
      <c r="P31" s="59"/>
      <c r="Q31" s="60">
        <f>random_key!A71</f>
        <v>0.278433439</v>
      </c>
    </row>
    <row r="32" ht="15.75" customHeight="1">
      <c r="A32" s="54">
        <v>104.0</v>
      </c>
      <c r="B32" s="55" t="s">
        <v>296</v>
      </c>
      <c r="C32" s="55" t="s">
        <v>753</v>
      </c>
      <c r="D32" s="55">
        <v>0.874</v>
      </c>
      <c r="E32" s="55" t="s">
        <v>20</v>
      </c>
      <c r="F32" s="55" t="s">
        <v>21</v>
      </c>
      <c r="G32" s="56" t="s">
        <v>22</v>
      </c>
      <c r="H32" s="57"/>
      <c r="I32" s="58"/>
      <c r="J32" s="57" t="s">
        <v>22</v>
      </c>
      <c r="K32" s="57"/>
      <c r="L32" s="57"/>
      <c r="M32" s="57"/>
      <c r="N32" s="57"/>
      <c r="O32" s="58"/>
      <c r="P32" s="59"/>
      <c r="Q32" s="60">
        <f>random_key!A88</f>
        <v>0.2798860334</v>
      </c>
    </row>
    <row r="33" ht="15.75" customHeight="1">
      <c r="A33" s="54">
        <v>42.0</v>
      </c>
      <c r="B33" s="55" t="s">
        <v>139</v>
      </c>
      <c r="C33" s="55" t="s">
        <v>703</v>
      </c>
      <c r="D33" s="55">
        <v>0.895</v>
      </c>
      <c r="E33" s="55" t="s">
        <v>31</v>
      </c>
      <c r="F33" s="55" t="s">
        <v>21</v>
      </c>
      <c r="G33" s="56"/>
      <c r="H33" s="57"/>
      <c r="I33" s="58" t="s">
        <v>22</v>
      </c>
      <c r="J33" s="57"/>
      <c r="K33" s="57"/>
      <c r="L33" s="57"/>
      <c r="M33" s="57"/>
      <c r="N33" s="57"/>
      <c r="O33" s="58"/>
      <c r="P33" s="59" t="s">
        <v>704</v>
      </c>
      <c r="Q33" s="60">
        <f>random_key!A37</f>
        <v>0.2853436585</v>
      </c>
    </row>
    <row r="34" ht="15.75" customHeight="1">
      <c r="A34" s="54">
        <v>3.0</v>
      </c>
      <c r="B34" s="55" t="s">
        <v>23</v>
      </c>
      <c r="C34" s="55" t="s">
        <v>663</v>
      </c>
      <c r="D34" s="55">
        <v>0.004</v>
      </c>
      <c r="E34" s="55" t="s">
        <v>20</v>
      </c>
      <c r="F34" s="55" t="s">
        <v>26</v>
      </c>
      <c r="G34" s="56"/>
      <c r="H34" s="57" t="s">
        <v>22</v>
      </c>
      <c r="I34" s="58"/>
      <c r="J34" s="57"/>
      <c r="K34" s="57"/>
      <c r="L34" s="57"/>
      <c r="M34" s="57" t="s">
        <v>22</v>
      </c>
      <c r="N34" s="57"/>
      <c r="O34" s="58"/>
      <c r="P34" s="59"/>
      <c r="Q34" s="60">
        <f>random_key!A2</f>
        <v>0.3018055165</v>
      </c>
    </row>
    <row r="35" ht="15.75" customHeight="1">
      <c r="A35" s="62">
        <v>116.0</v>
      </c>
      <c r="B35" s="55" t="s">
        <v>329</v>
      </c>
      <c r="C35" s="55" t="s">
        <v>763</v>
      </c>
      <c r="D35" s="55">
        <v>0.611</v>
      </c>
      <c r="E35" s="55" t="s">
        <v>26</v>
      </c>
      <c r="F35" s="55" t="s">
        <v>21</v>
      </c>
      <c r="G35" s="56"/>
      <c r="H35" s="57" t="s">
        <v>22</v>
      </c>
      <c r="I35" s="58"/>
      <c r="J35" s="57"/>
      <c r="K35" s="57"/>
      <c r="L35" s="57"/>
      <c r="M35" s="57"/>
      <c r="N35" s="57"/>
      <c r="O35" s="58"/>
      <c r="P35" s="59" t="s">
        <v>691</v>
      </c>
      <c r="Q35" s="60">
        <f>random_key!A98</f>
        <v>0.340759892</v>
      </c>
    </row>
    <row r="36" ht="15.75" customHeight="1">
      <c r="A36" s="54">
        <v>27.0</v>
      </c>
      <c r="B36" s="55" t="s">
        <v>101</v>
      </c>
      <c r="C36" s="55" t="s">
        <v>690</v>
      </c>
      <c r="D36" s="55">
        <v>0.717</v>
      </c>
      <c r="E36" s="55" t="s">
        <v>20</v>
      </c>
      <c r="F36" s="55" t="s">
        <v>21</v>
      </c>
      <c r="G36" s="56"/>
      <c r="H36" s="57" t="s">
        <v>22</v>
      </c>
      <c r="I36" s="58"/>
      <c r="J36" s="57"/>
      <c r="K36" s="57" t="s">
        <v>22</v>
      </c>
      <c r="L36" s="57"/>
      <c r="M36" s="57"/>
      <c r="N36" s="57"/>
      <c r="O36" s="58"/>
      <c r="P36" s="59" t="s">
        <v>691</v>
      </c>
      <c r="Q36" s="60">
        <f>random_key!A25</f>
        <v>0.3472535053</v>
      </c>
    </row>
    <row r="37" ht="15.75" customHeight="1">
      <c r="A37" s="54">
        <v>51.0</v>
      </c>
      <c r="B37" s="55" t="s">
        <v>166</v>
      </c>
      <c r="C37" s="55" t="s">
        <v>713</v>
      </c>
      <c r="D37" s="55">
        <v>0.346</v>
      </c>
      <c r="E37" s="55" t="s">
        <v>21</v>
      </c>
      <c r="F37" s="55" t="s">
        <v>31</v>
      </c>
      <c r="G37" s="56" t="s">
        <v>22</v>
      </c>
      <c r="H37" s="57"/>
      <c r="I37" s="58"/>
      <c r="J37" s="57"/>
      <c r="K37" s="57"/>
      <c r="L37" s="57" t="s">
        <v>22</v>
      </c>
      <c r="M37" s="57"/>
      <c r="N37" s="57"/>
      <c r="O37" s="58"/>
      <c r="P37" s="59"/>
      <c r="Q37" s="60">
        <f>random_key!A45</f>
        <v>0.3495666817</v>
      </c>
    </row>
    <row r="38" ht="15.75" customHeight="1">
      <c r="A38" s="54">
        <v>7.0</v>
      </c>
      <c r="B38" s="55" t="s">
        <v>40</v>
      </c>
      <c r="C38" s="55" t="s">
        <v>668</v>
      </c>
      <c r="D38" s="55">
        <v>0.047</v>
      </c>
      <c r="E38" s="55" t="s">
        <v>21</v>
      </c>
      <c r="F38" s="55" t="s">
        <v>20</v>
      </c>
      <c r="G38" s="56" t="s">
        <v>22</v>
      </c>
      <c r="H38" s="57"/>
      <c r="I38" s="58"/>
      <c r="J38" s="57"/>
      <c r="K38" s="57" t="s">
        <v>22</v>
      </c>
      <c r="L38" s="57"/>
      <c r="M38" s="57"/>
      <c r="N38" s="57"/>
      <c r="O38" s="58"/>
      <c r="P38" s="59"/>
      <c r="Q38" s="60">
        <f>random_key!A6</f>
        <v>0.3538941995</v>
      </c>
    </row>
    <row r="39" ht="15.75" customHeight="1">
      <c r="A39" s="54">
        <v>94.0</v>
      </c>
      <c r="B39" s="55" t="s">
        <v>268</v>
      </c>
      <c r="C39" s="55" t="s">
        <v>744</v>
      </c>
      <c r="D39" s="55">
        <v>0.932</v>
      </c>
      <c r="E39" s="55" t="s">
        <v>20</v>
      </c>
      <c r="F39" s="55" t="s">
        <v>21</v>
      </c>
      <c r="G39" s="56"/>
      <c r="H39" s="57"/>
      <c r="I39" s="58" t="s">
        <v>22</v>
      </c>
      <c r="J39" s="57"/>
      <c r="K39" s="57"/>
      <c r="L39" s="57"/>
      <c r="M39" s="57"/>
      <c r="N39" s="57"/>
      <c r="O39" s="58"/>
      <c r="P39" s="59" t="s">
        <v>689</v>
      </c>
      <c r="Q39" s="60">
        <f>random_key!A79</f>
        <v>0.4195941883</v>
      </c>
    </row>
    <row r="40" ht="15.75" customHeight="1">
      <c r="A40" s="54">
        <v>6.0</v>
      </c>
      <c r="B40" s="55" t="s">
        <v>36</v>
      </c>
      <c r="C40" s="55" t="s">
        <v>666</v>
      </c>
      <c r="D40" s="55">
        <v>0.913</v>
      </c>
      <c r="E40" s="55" t="s">
        <v>20</v>
      </c>
      <c r="F40" s="55" t="s">
        <v>21</v>
      </c>
      <c r="G40" s="56"/>
      <c r="H40" s="57"/>
      <c r="I40" s="58" t="s">
        <v>22</v>
      </c>
      <c r="J40" s="57"/>
      <c r="K40" s="57"/>
      <c r="L40" s="57"/>
      <c r="M40" s="57"/>
      <c r="N40" s="57"/>
      <c r="O40" s="58"/>
      <c r="P40" s="59" t="s">
        <v>667</v>
      </c>
      <c r="Q40" s="60">
        <f>random_key!A5</f>
        <v>0.4200862284</v>
      </c>
    </row>
    <row r="41" ht="15.75" customHeight="1">
      <c r="A41" s="54">
        <v>96.0</v>
      </c>
      <c r="B41" s="55" t="s">
        <v>273</v>
      </c>
      <c r="C41" s="55" t="s">
        <v>745</v>
      </c>
      <c r="D41" s="55">
        <v>0.054</v>
      </c>
      <c r="E41" s="55" t="s">
        <v>21</v>
      </c>
      <c r="F41" s="55" t="s">
        <v>20</v>
      </c>
      <c r="G41" s="56" t="s">
        <v>22</v>
      </c>
      <c r="H41" s="57"/>
      <c r="I41" s="58"/>
      <c r="J41" s="57"/>
      <c r="K41" s="57" t="s">
        <v>22</v>
      </c>
      <c r="L41" s="57"/>
      <c r="M41" s="57"/>
      <c r="N41" s="57"/>
      <c r="O41" s="58"/>
      <c r="P41" s="59"/>
      <c r="Q41" s="60">
        <f>random_key!A81</f>
        <v>0.4456763806</v>
      </c>
    </row>
    <row r="42" ht="15.75" customHeight="1">
      <c r="A42" s="54">
        <v>90.0</v>
      </c>
      <c r="B42" s="55" t="s">
        <v>257</v>
      </c>
      <c r="C42" s="55" t="s">
        <v>741</v>
      </c>
      <c r="D42" s="55">
        <v>0.0</v>
      </c>
      <c r="E42" s="55" t="s">
        <v>20</v>
      </c>
      <c r="F42" s="55" t="s">
        <v>26</v>
      </c>
      <c r="G42" s="56"/>
      <c r="H42" s="57" t="s">
        <v>22</v>
      </c>
      <c r="I42" s="58"/>
      <c r="J42" s="57"/>
      <c r="K42" s="57"/>
      <c r="L42" s="57" t="s">
        <v>22</v>
      </c>
      <c r="M42" s="57"/>
      <c r="N42" s="57"/>
      <c r="O42" s="58"/>
      <c r="P42" s="59"/>
      <c r="Q42" s="60">
        <f>random_key!A76</f>
        <v>0.4472647815</v>
      </c>
    </row>
    <row r="43" ht="15.75" customHeight="1">
      <c r="A43" s="54">
        <v>22.0</v>
      </c>
      <c r="B43" s="55" t="s">
        <v>86</v>
      </c>
      <c r="C43" s="55" t="s">
        <v>683</v>
      </c>
      <c r="D43" s="55">
        <v>0.005</v>
      </c>
      <c r="E43" s="55" t="s">
        <v>21</v>
      </c>
      <c r="F43" s="55" t="s">
        <v>31</v>
      </c>
      <c r="G43" s="56" t="s">
        <v>22</v>
      </c>
      <c r="H43" s="57"/>
      <c r="I43" s="58"/>
      <c r="J43" s="57"/>
      <c r="K43" s="57"/>
      <c r="L43" s="57"/>
      <c r="M43" s="57"/>
      <c r="N43" s="57"/>
      <c r="O43" s="58" t="s">
        <v>22</v>
      </c>
      <c r="P43" s="59" t="s">
        <v>684</v>
      </c>
      <c r="Q43" s="60">
        <f>random_key!A21</f>
        <v>0.4672776255</v>
      </c>
    </row>
    <row r="44" ht="15.75" customHeight="1">
      <c r="A44" s="54">
        <v>37.0</v>
      </c>
      <c r="B44" s="55" t="s">
        <v>128</v>
      </c>
      <c r="C44" s="55" t="s">
        <v>700</v>
      </c>
      <c r="D44" s="55">
        <v>0.003</v>
      </c>
      <c r="E44" s="55" t="s">
        <v>21</v>
      </c>
      <c r="F44" s="55" t="s">
        <v>20</v>
      </c>
      <c r="G44" s="56" t="s">
        <v>22</v>
      </c>
      <c r="H44" s="57"/>
      <c r="I44" s="58"/>
      <c r="J44" s="57"/>
      <c r="K44" s="57" t="s">
        <v>22</v>
      </c>
      <c r="L44" s="57"/>
      <c r="M44" s="57"/>
      <c r="N44" s="57"/>
      <c r="O44" s="58"/>
      <c r="P44" s="59"/>
      <c r="Q44" s="60">
        <f>random_key!A33</f>
        <v>0.48600759</v>
      </c>
    </row>
    <row r="45" ht="15.75" customHeight="1">
      <c r="A45" s="54">
        <v>69.0</v>
      </c>
      <c r="B45" s="55" t="s">
        <v>207</v>
      </c>
      <c r="C45" s="55" t="s">
        <v>727</v>
      </c>
      <c r="D45" s="55">
        <v>0.012</v>
      </c>
      <c r="E45" s="55" t="s">
        <v>21</v>
      </c>
      <c r="F45" s="55" t="s">
        <v>31</v>
      </c>
      <c r="G45" s="56" t="s">
        <v>22</v>
      </c>
      <c r="H45" s="57"/>
      <c r="I45" s="58"/>
      <c r="J45" s="57"/>
      <c r="K45" s="57"/>
      <c r="L45" s="57" t="s">
        <v>22</v>
      </c>
      <c r="M45" s="57"/>
      <c r="N45" s="57"/>
      <c r="O45" s="58"/>
      <c r="P45" s="59"/>
      <c r="Q45" s="60">
        <f>random_key!A59</f>
        <v>0.4909575479</v>
      </c>
    </row>
    <row r="46" ht="15.75" customHeight="1">
      <c r="A46" s="54">
        <v>47.0</v>
      </c>
      <c r="B46" s="55" t="s">
        <v>155</v>
      </c>
      <c r="C46" s="55" t="s">
        <v>709</v>
      </c>
      <c r="D46" s="55">
        <v>0.052</v>
      </c>
      <c r="E46" s="55" t="s">
        <v>21</v>
      </c>
      <c r="F46" s="55" t="s">
        <v>20</v>
      </c>
      <c r="G46" s="56" t="s">
        <v>22</v>
      </c>
      <c r="H46" s="57"/>
      <c r="I46" s="58"/>
      <c r="J46" s="57"/>
      <c r="K46" s="57" t="s">
        <v>22</v>
      </c>
      <c r="L46" s="57"/>
      <c r="M46" s="57"/>
      <c r="N46" s="57"/>
      <c r="O46" s="58"/>
      <c r="P46" s="59"/>
      <c r="Q46" s="60">
        <f>random_key!A42</f>
        <v>0.5062348543</v>
      </c>
    </row>
    <row r="47" ht="15.75" customHeight="1">
      <c r="A47" s="54">
        <v>43.0</v>
      </c>
      <c r="B47" s="55" t="s">
        <v>143</v>
      </c>
      <c r="C47" s="55" t="s">
        <v>705</v>
      </c>
      <c r="D47" s="55">
        <v>0.928</v>
      </c>
      <c r="E47" s="55" t="s">
        <v>20</v>
      </c>
      <c r="F47" s="55" t="s">
        <v>21</v>
      </c>
      <c r="G47" s="56" t="s">
        <v>22</v>
      </c>
      <c r="H47" s="57"/>
      <c r="I47" s="58"/>
      <c r="J47" s="57" t="s">
        <v>22</v>
      </c>
      <c r="K47" s="57"/>
      <c r="L47" s="57"/>
      <c r="M47" s="57"/>
      <c r="N47" s="57"/>
      <c r="O47" s="58"/>
      <c r="P47" s="59"/>
      <c r="Q47" s="60">
        <f>random_key!A38</f>
        <v>0.5320225834</v>
      </c>
    </row>
    <row r="48" ht="15.75" customHeight="1">
      <c r="A48" s="54">
        <v>66.0</v>
      </c>
      <c r="B48" s="55" t="s">
        <v>202</v>
      </c>
      <c r="C48" s="55" t="s">
        <v>725</v>
      </c>
      <c r="D48" s="55">
        <v>0.029</v>
      </c>
      <c r="E48" s="55" t="s">
        <v>21</v>
      </c>
      <c r="F48" s="55" t="s">
        <v>20</v>
      </c>
      <c r="G48" s="56" t="s">
        <v>22</v>
      </c>
      <c r="H48" s="57"/>
      <c r="I48" s="58"/>
      <c r="J48" s="57"/>
      <c r="K48" s="57" t="s">
        <v>22</v>
      </c>
      <c r="L48" s="57"/>
      <c r="M48" s="57"/>
      <c r="N48" s="57"/>
      <c r="O48" s="58"/>
      <c r="P48" s="59"/>
      <c r="Q48" s="60">
        <f>random_key!A57</f>
        <v>0.5392406636</v>
      </c>
    </row>
    <row r="49" ht="15.75" customHeight="1">
      <c r="A49" s="54">
        <v>113.0</v>
      </c>
      <c r="B49" s="55" t="s">
        <v>318</v>
      </c>
      <c r="C49" s="55" t="s">
        <v>759</v>
      </c>
      <c r="D49" s="55">
        <v>0.002</v>
      </c>
      <c r="E49" s="55" t="s">
        <v>21</v>
      </c>
      <c r="F49" s="55" t="s">
        <v>20</v>
      </c>
      <c r="G49" s="56" t="s">
        <v>22</v>
      </c>
      <c r="H49" s="57"/>
      <c r="I49" s="58"/>
      <c r="J49" s="57"/>
      <c r="K49" s="57" t="s">
        <v>22</v>
      </c>
      <c r="L49" s="57"/>
      <c r="M49" s="57"/>
      <c r="N49" s="57"/>
      <c r="O49" s="58"/>
      <c r="P49" s="59"/>
      <c r="Q49" s="60">
        <f>random_key!A95</f>
        <v>0.5528709074</v>
      </c>
    </row>
    <row r="50" ht="15.75" customHeight="1">
      <c r="A50" s="54">
        <v>9.0</v>
      </c>
      <c r="B50" s="55" t="s">
        <v>46</v>
      </c>
      <c r="C50" s="55" t="s">
        <v>670</v>
      </c>
      <c r="D50" s="55">
        <v>0.771</v>
      </c>
      <c r="E50" s="55" t="s">
        <v>31</v>
      </c>
      <c r="F50" s="55" t="s">
        <v>21</v>
      </c>
      <c r="G50" s="56"/>
      <c r="H50" s="57" t="s">
        <v>22</v>
      </c>
      <c r="I50" s="58"/>
      <c r="J50" s="57" t="s">
        <v>22</v>
      </c>
      <c r="K50" s="57"/>
      <c r="L50" s="57"/>
      <c r="M50" s="57"/>
      <c r="N50" s="57"/>
      <c r="O50" s="58"/>
      <c r="P50" s="59"/>
      <c r="Q50" s="60">
        <f>random_key!A8</f>
        <v>0.554984421</v>
      </c>
    </row>
    <row r="51" ht="15.75" customHeight="1">
      <c r="A51" s="54">
        <v>12.0</v>
      </c>
      <c r="B51" s="55" t="s">
        <v>55</v>
      </c>
      <c r="C51" s="55" t="s">
        <v>673</v>
      </c>
      <c r="D51" s="55">
        <v>0.973</v>
      </c>
      <c r="E51" s="55" t="s">
        <v>31</v>
      </c>
      <c r="F51" s="55" t="s">
        <v>21</v>
      </c>
      <c r="G51" s="56"/>
      <c r="H51" s="57" t="s">
        <v>22</v>
      </c>
      <c r="I51" s="58"/>
      <c r="J51" s="57"/>
      <c r="K51" s="57"/>
      <c r="L51" s="57"/>
      <c r="M51" s="57"/>
      <c r="N51" s="57"/>
      <c r="O51" s="58" t="s">
        <v>22</v>
      </c>
      <c r="P51" s="59"/>
      <c r="Q51" s="60">
        <f>random_key!A11</f>
        <v>0.5740921633</v>
      </c>
    </row>
    <row r="52" ht="15.75" customHeight="1">
      <c r="A52" s="54">
        <v>17.0</v>
      </c>
      <c r="B52" s="55" t="s">
        <v>72</v>
      </c>
      <c r="C52" s="55" t="s">
        <v>679</v>
      </c>
      <c r="D52" s="55">
        <v>0.682</v>
      </c>
      <c r="E52" s="55" t="s">
        <v>20</v>
      </c>
      <c r="F52" s="55" t="s">
        <v>21</v>
      </c>
      <c r="G52" s="56"/>
      <c r="H52" s="57" t="s">
        <v>22</v>
      </c>
      <c r="I52" s="58"/>
      <c r="J52" s="57"/>
      <c r="K52" s="57"/>
      <c r="L52" s="57" t="s">
        <v>22</v>
      </c>
      <c r="M52" s="57"/>
      <c r="N52" s="57"/>
      <c r="O52" s="58"/>
      <c r="P52" s="59"/>
      <c r="Q52" s="60">
        <f>random_key!A16</f>
        <v>0.5758198613</v>
      </c>
    </row>
    <row r="53" ht="15.75" customHeight="1">
      <c r="A53" s="54">
        <v>14.0</v>
      </c>
      <c r="B53" s="55" t="s">
        <v>62</v>
      </c>
      <c r="C53" s="55" t="s">
        <v>676</v>
      </c>
      <c r="D53" s="55">
        <v>0.003</v>
      </c>
      <c r="E53" s="55" t="s">
        <v>20</v>
      </c>
      <c r="F53" s="55" t="s">
        <v>26</v>
      </c>
      <c r="G53" s="56"/>
      <c r="H53" s="57" t="s">
        <v>22</v>
      </c>
      <c r="I53" s="58"/>
      <c r="J53" s="57"/>
      <c r="K53" s="57"/>
      <c r="L53" s="57"/>
      <c r="M53" s="57" t="s">
        <v>22</v>
      </c>
      <c r="N53" s="57"/>
      <c r="O53" s="58"/>
      <c r="P53" s="59"/>
      <c r="Q53" s="60">
        <f>random_key!A13</f>
        <v>0.5806079571</v>
      </c>
    </row>
    <row r="54" ht="15.75" customHeight="1">
      <c r="A54" s="54">
        <v>99.0</v>
      </c>
      <c r="B54" s="55" t="s">
        <v>281</v>
      </c>
      <c r="C54" s="55" t="s">
        <v>747</v>
      </c>
      <c r="D54" s="55">
        <v>0.973</v>
      </c>
      <c r="E54" s="55" t="s">
        <v>31</v>
      </c>
      <c r="F54" s="55" t="s">
        <v>21</v>
      </c>
      <c r="G54" s="56"/>
      <c r="H54" s="57" t="s">
        <v>22</v>
      </c>
      <c r="I54" s="58"/>
      <c r="J54" s="57"/>
      <c r="K54" s="57"/>
      <c r="L54" s="57"/>
      <c r="M54" s="57"/>
      <c r="N54" s="57"/>
      <c r="O54" s="58" t="s">
        <v>22</v>
      </c>
      <c r="P54" s="59"/>
      <c r="Q54" s="60">
        <f>random_key!A83</f>
        <v>0.5810969474</v>
      </c>
    </row>
    <row r="55" ht="15.75" customHeight="1">
      <c r="A55" s="62">
        <v>118.0</v>
      </c>
      <c r="B55" s="55" t="s">
        <v>336</v>
      </c>
      <c r="C55" s="55" t="s">
        <v>765</v>
      </c>
      <c r="D55" s="55">
        <v>0.968</v>
      </c>
      <c r="E55" s="55" t="s">
        <v>26</v>
      </c>
      <c r="F55" s="55" t="s">
        <v>21</v>
      </c>
      <c r="G55" s="56"/>
      <c r="H55" s="57" t="s">
        <v>22</v>
      </c>
      <c r="I55" s="58"/>
      <c r="J55" s="57"/>
      <c r="K55" s="57" t="s">
        <v>22</v>
      </c>
      <c r="L55" s="57"/>
      <c r="M55" s="57"/>
      <c r="N55" s="57"/>
      <c r="O55" s="58"/>
      <c r="P55" s="59"/>
      <c r="Q55" s="60">
        <f>random_key!A100</f>
        <v>0.5847508866</v>
      </c>
      <c r="R55" s="72"/>
      <c r="S55" s="72"/>
      <c r="T55" s="72"/>
      <c r="U55" s="72"/>
      <c r="V55" s="72"/>
      <c r="W55" s="72"/>
      <c r="X55" s="72"/>
      <c r="Y55" s="72"/>
    </row>
    <row r="56" ht="15.75" customHeight="1">
      <c r="A56" s="54">
        <v>19.0</v>
      </c>
      <c r="B56" s="55" t="s">
        <v>78</v>
      </c>
      <c r="C56" s="55" t="s">
        <v>681</v>
      </c>
      <c r="D56" s="55">
        <v>0.977</v>
      </c>
      <c r="E56" s="55" t="s">
        <v>20</v>
      </c>
      <c r="F56" s="55" t="s">
        <v>21</v>
      </c>
      <c r="G56" s="56"/>
      <c r="H56" s="57" t="s">
        <v>22</v>
      </c>
      <c r="I56" s="58"/>
      <c r="J56" s="57"/>
      <c r="K56" s="57"/>
      <c r="L56" s="57"/>
      <c r="M56" s="57"/>
      <c r="N56" s="57" t="s">
        <v>22</v>
      </c>
      <c r="O56" s="58"/>
      <c r="P56" s="59"/>
      <c r="Q56" s="60">
        <f>random_key!A18</f>
        <v>0.586809022</v>
      </c>
    </row>
    <row r="57" ht="15.75" customHeight="1">
      <c r="A57" s="62">
        <v>117.0</v>
      </c>
      <c r="B57" s="55" t="s">
        <v>333</v>
      </c>
      <c r="C57" s="55" t="s">
        <v>764</v>
      </c>
      <c r="D57" s="55">
        <v>0.006</v>
      </c>
      <c r="E57" s="55" t="s">
        <v>26</v>
      </c>
      <c r="F57" s="55" t="s">
        <v>20</v>
      </c>
      <c r="G57" s="56" t="s">
        <v>22</v>
      </c>
      <c r="H57" s="57"/>
      <c r="I57" s="58"/>
      <c r="J57" s="57"/>
      <c r="K57" s="57" t="s">
        <v>22</v>
      </c>
      <c r="L57" s="57"/>
      <c r="M57" s="57"/>
      <c r="N57" s="57"/>
      <c r="O57" s="58"/>
      <c r="P57" s="59"/>
      <c r="Q57" s="60">
        <f>random_key!A99</f>
        <v>0.5960798585</v>
      </c>
    </row>
    <row r="58" ht="15.75" customHeight="1">
      <c r="A58" s="54">
        <v>2.0</v>
      </c>
      <c r="B58" s="55" t="s">
        <v>17</v>
      </c>
      <c r="C58" s="55" t="s">
        <v>662</v>
      </c>
      <c r="D58" s="55">
        <v>0.985</v>
      </c>
      <c r="E58" s="55" t="s">
        <v>20</v>
      </c>
      <c r="F58" s="55" t="s">
        <v>21</v>
      </c>
      <c r="G58" s="56"/>
      <c r="H58" s="57" t="s">
        <v>22</v>
      </c>
      <c r="I58" s="58"/>
      <c r="J58" s="57"/>
      <c r="K58" s="57"/>
      <c r="L58" s="57"/>
      <c r="M58" s="57"/>
      <c r="N58" s="57" t="s">
        <v>22</v>
      </c>
      <c r="O58" s="58"/>
      <c r="P58" s="59"/>
      <c r="Q58" s="60">
        <f>random_key!A1</f>
        <v>0.6058113928</v>
      </c>
    </row>
    <row r="59" ht="15.75" customHeight="1">
      <c r="A59" s="54">
        <v>30.0</v>
      </c>
      <c r="B59" s="55" t="s">
        <v>112</v>
      </c>
      <c r="C59" s="55" t="s">
        <v>694</v>
      </c>
      <c r="D59" s="55">
        <v>0.122</v>
      </c>
      <c r="E59" s="55" t="s">
        <v>21</v>
      </c>
      <c r="F59" s="55" t="s">
        <v>20</v>
      </c>
      <c r="G59" s="56" t="s">
        <v>22</v>
      </c>
      <c r="H59" s="57"/>
      <c r="I59" s="58"/>
      <c r="J59" s="57"/>
      <c r="K59" s="57" t="s">
        <v>22</v>
      </c>
      <c r="L59" s="57"/>
      <c r="M59" s="57"/>
      <c r="N59" s="57"/>
      <c r="O59" s="58"/>
      <c r="P59" s="59"/>
      <c r="Q59" s="60">
        <f>random_key!A28</f>
        <v>0.6095717857</v>
      </c>
    </row>
    <row r="60" ht="15.75" customHeight="1">
      <c r="A60" s="54">
        <v>28.0</v>
      </c>
      <c r="B60" s="55" t="s">
        <v>105</v>
      </c>
      <c r="C60" s="55" t="s">
        <v>692</v>
      </c>
      <c r="D60" s="55">
        <v>0.976</v>
      </c>
      <c r="E60" s="55" t="s">
        <v>31</v>
      </c>
      <c r="F60" s="55" t="s">
        <v>21</v>
      </c>
      <c r="G60" s="56"/>
      <c r="H60" s="57" t="s">
        <v>22</v>
      </c>
      <c r="I60" s="58"/>
      <c r="J60" s="57"/>
      <c r="K60" s="57"/>
      <c r="L60" s="57"/>
      <c r="M60" s="57"/>
      <c r="N60" s="57"/>
      <c r="O60" s="58" t="s">
        <v>22</v>
      </c>
      <c r="P60" s="59"/>
      <c r="Q60" s="60">
        <f>random_key!A26</f>
        <v>0.6126845745</v>
      </c>
    </row>
    <row r="61" ht="15.75" customHeight="1">
      <c r="A61" s="54">
        <v>73.0</v>
      </c>
      <c r="B61" s="55" t="s">
        <v>218</v>
      </c>
      <c r="C61" s="55" t="s">
        <v>730</v>
      </c>
      <c r="D61" s="55">
        <v>0.966</v>
      </c>
      <c r="E61" s="55" t="s">
        <v>20</v>
      </c>
      <c r="F61" s="55" t="s">
        <v>21</v>
      </c>
      <c r="G61" s="56"/>
      <c r="H61" s="57" t="s">
        <v>22</v>
      </c>
      <c r="I61" s="58"/>
      <c r="J61" s="57"/>
      <c r="K61" s="57"/>
      <c r="L61" s="57"/>
      <c r="M61" s="57"/>
      <c r="N61" s="57" t="s">
        <v>22</v>
      </c>
      <c r="O61" s="58"/>
      <c r="P61" s="59"/>
      <c r="Q61" s="60">
        <f>random_key!A63</f>
        <v>0.6156882262</v>
      </c>
    </row>
    <row r="62" ht="15.75" customHeight="1">
      <c r="A62" s="54">
        <v>75.0</v>
      </c>
      <c r="B62" s="55" t="s">
        <v>225</v>
      </c>
      <c r="C62" s="55" t="s">
        <v>733</v>
      </c>
      <c r="D62" s="55">
        <v>0.154</v>
      </c>
      <c r="E62" s="55" t="s">
        <v>21</v>
      </c>
      <c r="F62" s="55" t="s">
        <v>20</v>
      </c>
      <c r="G62" s="56" t="s">
        <v>22</v>
      </c>
      <c r="H62" s="57"/>
      <c r="I62" s="58"/>
      <c r="J62" s="57"/>
      <c r="K62" s="57" t="s">
        <v>22</v>
      </c>
      <c r="L62" s="57"/>
      <c r="M62" s="57"/>
      <c r="N62" s="57"/>
      <c r="O62" s="58"/>
      <c r="P62" s="59"/>
      <c r="Q62" s="60">
        <f>random_key!A65</f>
        <v>0.6172641741</v>
      </c>
    </row>
    <row r="63" ht="15.75" customHeight="1">
      <c r="A63" s="54">
        <v>57.0</v>
      </c>
      <c r="B63" s="55" t="s">
        <v>182</v>
      </c>
      <c r="C63" s="55" t="s">
        <v>718</v>
      </c>
      <c r="D63" s="55">
        <v>0.209</v>
      </c>
      <c r="E63" s="55" t="s">
        <v>21</v>
      </c>
      <c r="F63" s="55" t="s">
        <v>20</v>
      </c>
      <c r="G63" s="56" t="s">
        <v>22</v>
      </c>
      <c r="H63" s="57"/>
      <c r="I63" s="58"/>
      <c r="J63" s="57"/>
      <c r="K63" s="57" t="s">
        <v>22</v>
      </c>
      <c r="L63" s="57"/>
      <c r="M63" s="57"/>
      <c r="N63" s="57"/>
      <c r="O63" s="58"/>
      <c r="P63" s="59"/>
      <c r="Q63" s="60">
        <f>random_key!A50</f>
        <v>0.6196514827</v>
      </c>
    </row>
    <row r="64" ht="15.75" customHeight="1">
      <c r="A64" s="54">
        <v>40.0</v>
      </c>
      <c r="B64" s="55" t="s">
        <v>133</v>
      </c>
      <c r="C64" s="55" t="s">
        <v>688</v>
      </c>
      <c r="D64" s="55">
        <v>0.955</v>
      </c>
      <c r="E64" s="55" t="s">
        <v>31</v>
      </c>
      <c r="F64" s="55" t="s">
        <v>21</v>
      </c>
      <c r="G64" s="56"/>
      <c r="H64" s="57" t="s">
        <v>22</v>
      </c>
      <c r="I64" s="58"/>
      <c r="J64" s="57"/>
      <c r="K64" s="57"/>
      <c r="L64" s="57"/>
      <c r="M64" s="57"/>
      <c r="N64" s="57"/>
      <c r="O64" s="58" t="s">
        <v>22</v>
      </c>
      <c r="P64" s="59"/>
      <c r="Q64" s="60">
        <f>random_key!A35</f>
        <v>0.6326865327</v>
      </c>
    </row>
    <row r="65" ht="15.75" customHeight="1">
      <c r="A65" s="54">
        <v>61.0</v>
      </c>
      <c r="B65" s="55" t="s">
        <v>191</v>
      </c>
      <c r="C65" s="55" t="s">
        <v>721</v>
      </c>
      <c r="D65" s="55">
        <v>0.003</v>
      </c>
      <c r="E65" s="55" t="s">
        <v>20</v>
      </c>
      <c r="F65" s="55" t="s">
        <v>26</v>
      </c>
      <c r="G65" s="56"/>
      <c r="H65" s="57" t="s">
        <v>22</v>
      </c>
      <c r="I65" s="58"/>
      <c r="J65" s="57"/>
      <c r="K65" s="57"/>
      <c r="L65" s="57"/>
      <c r="M65" s="57" t="s">
        <v>22</v>
      </c>
      <c r="N65" s="57"/>
      <c r="O65" s="58"/>
      <c r="P65" s="59"/>
      <c r="Q65" s="60">
        <f>random_key!A53</f>
        <v>0.6338566744</v>
      </c>
    </row>
    <row r="66" ht="15.75" customHeight="1">
      <c r="A66" s="54">
        <v>76.0</v>
      </c>
      <c r="B66" s="55" t="s">
        <v>228</v>
      </c>
      <c r="C66" s="55" t="s">
        <v>734</v>
      </c>
      <c r="D66" s="55">
        <v>0.97</v>
      </c>
      <c r="E66" s="55" t="s">
        <v>20</v>
      </c>
      <c r="F66" s="55" t="s">
        <v>21</v>
      </c>
      <c r="G66" s="56"/>
      <c r="H66" s="57" t="s">
        <v>22</v>
      </c>
      <c r="I66" s="58"/>
      <c r="J66" s="57"/>
      <c r="K66" s="57"/>
      <c r="L66" s="57"/>
      <c r="M66" s="57"/>
      <c r="N66" s="57" t="s">
        <v>22</v>
      </c>
      <c r="O66" s="58"/>
      <c r="P66" s="59"/>
      <c r="Q66" s="60">
        <f>random_key!A66</f>
        <v>0.6338980481</v>
      </c>
    </row>
    <row r="67" ht="15.75" customHeight="1">
      <c r="A67" s="54">
        <v>79.0</v>
      </c>
      <c r="B67" s="55" t="s">
        <v>236</v>
      </c>
      <c r="C67" s="55" t="s">
        <v>715</v>
      </c>
      <c r="D67" s="55">
        <v>0.004</v>
      </c>
      <c r="E67" s="55" t="s">
        <v>21</v>
      </c>
      <c r="F67" s="55" t="s">
        <v>20</v>
      </c>
      <c r="G67" s="56" t="s">
        <v>22</v>
      </c>
      <c r="H67" s="57"/>
      <c r="I67" s="58"/>
      <c r="J67" s="57"/>
      <c r="K67" s="57" t="s">
        <v>22</v>
      </c>
      <c r="L67" s="57"/>
      <c r="M67" s="57"/>
      <c r="N67" s="57"/>
      <c r="O67" s="58"/>
      <c r="P67" s="59"/>
      <c r="Q67" s="60">
        <f>random_key!A69</f>
        <v>0.6380938099</v>
      </c>
    </row>
    <row r="68" ht="15.75" customHeight="1">
      <c r="A68" s="54">
        <v>89.0</v>
      </c>
      <c r="B68" s="55" t="s">
        <v>256</v>
      </c>
      <c r="C68" s="55" t="s">
        <v>688</v>
      </c>
      <c r="D68" s="55">
        <v>0.966</v>
      </c>
      <c r="E68" s="55" t="s">
        <v>31</v>
      </c>
      <c r="F68" s="55" t="s">
        <v>21</v>
      </c>
      <c r="G68" s="56"/>
      <c r="H68" s="57" t="s">
        <v>22</v>
      </c>
      <c r="I68" s="58"/>
      <c r="J68" s="57"/>
      <c r="K68" s="57"/>
      <c r="L68" s="57"/>
      <c r="M68" s="57"/>
      <c r="N68" s="57"/>
      <c r="O68" s="58" t="s">
        <v>22</v>
      </c>
      <c r="P68" s="59"/>
      <c r="Q68" s="60">
        <f>random_key!A75</f>
        <v>0.647923742</v>
      </c>
    </row>
    <row r="69" ht="15.75" customHeight="1">
      <c r="A69" s="54">
        <v>67.0</v>
      </c>
      <c r="B69" s="55" t="s">
        <v>205</v>
      </c>
      <c r="C69" s="55" t="s">
        <v>726</v>
      </c>
      <c r="D69" s="55">
        <v>0.003</v>
      </c>
      <c r="E69" s="55" t="s">
        <v>26</v>
      </c>
      <c r="F69" s="55" t="s">
        <v>20</v>
      </c>
      <c r="G69" s="56"/>
      <c r="H69" s="57" t="s">
        <v>22</v>
      </c>
      <c r="I69" s="58"/>
      <c r="J69" s="57"/>
      <c r="K69" s="57"/>
      <c r="L69" s="57"/>
      <c r="M69" s="57"/>
      <c r="N69" s="57"/>
      <c r="O69" s="58" t="s">
        <v>22</v>
      </c>
      <c r="P69" s="59"/>
      <c r="Q69" s="60">
        <f>random_key!A58</f>
        <v>0.6700016504</v>
      </c>
    </row>
    <row r="70" ht="15.75" customHeight="1">
      <c r="A70" s="54">
        <v>13.0</v>
      </c>
      <c r="B70" s="55" t="s">
        <v>58</v>
      </c>
      <c r="C70" s="55" t="s">
        <v>674</v>
      </c>
      <c r="D70" s="55">
        <v>0.722</v>
      </c>
      <c r="E70" s="55" t="s">
        <v>20</v>
      </c>
      <c r="F70" s="55" t="s">
        <v>21</v>
      </c>
      <c r="G70" s="56"/>
      <c r="H70" s="57"/>
      <c r="I70" s="58" t="s">
        <v>22</v>
      </c>
      <c r="J70" s="57"/>
      <c r="K70" s="57"/>
      <c r="L70" s="57"/>
      <c r="M70" s="57" t="s">
        <v>22</v>
      </c>
      <c r="N70" s="57"/>
      <c r="O70" s="58"/>
      <c r="P70" s="59" t="s">
        <v>675</v>
      </c>
      <c r="Q70" s="60">
        <f>random_key!A12</f>
        <v>0.6836740545</v>
      </c>
    </row>
    <row r="71" ht="15.75" customHeight="1">
      <c r="A71" s="54">
        <v>11.0</v>
      </c>
      <c r="B71" s="55" t="s">
        <v>52</v>
      </c>
      <c r="C71" s="55" t="s">
        <v>672</v>
      </c>
      <c r="D71" s="55">
        <v>0.967</v>
      </c>
      <c r="E71" s="55" t="s">
        <v>20</v>
      </c>
      <c r="F71" s="55" t="s">
        <v>21</v>
      </c>
      <c r="G71" s="56"/>
      <c r="H71" s="57" t="s">
        <v>22</v>
      </c>
      <c r="I71" s="58"/>
      <c r="J71" s="57"/>
      <c r="K71" s="57"/>
      <c r="L71" s="57"/>
      <c r="M71" s="57"/>
      <c r="N71" s="57" t="s">
        <v>22</v>
      </c>
      <c r="O71" s="58"/>
      <c r="P71" s="59"/>
      <c r="Q71" s="60">
        <f>random_key!A10</f>
        <v>0.6919815096</v>
      </c>
    </row>
    <row r="72" ht="15.75" customHeight="1">
      <c r="A72" s="54">
        <v>44.0</v>
      </c>
      <c r="B72" s="55" t="s">
        <v>146</v>
      </c>
      <c r="C72" s="55" t="s">
        <v>706</v>
      </c>
      <c r="D72" s="55">
        <v>0.165</v>
      </c>
      <c r="E72" s="55" t="s">
        <v>21</v>
      </c>
      <c r="F72" s="55" t="s">
        <v>20</v>
      </c>
      <c r="G72" s="56" t="s">
        <v>22</v>
      </c>
      <c r="H72" s="57"/>
      <c r="I72" s="58"/>
      <c r="J72" s="57"/>
      <c r="K72" s="57" t="s">
        <v>22</v>
      </c>
      <c r="L72" s="57"/>
      <c r="M72" s="57"/>
      <c r="N72" s="57"/>
      <c r="O72" s="58"/>
      <c r="P72" s="59"/>
      <c r="Q72" s="60">
        <f>random_key!A39</f>
        <v>0.695756292</v>
      </c>
    </row>
    <row r="73" ht="15.75" customHeight="1">
      <c r="A73" s="54">
        <v>80.0</v>
      </c>
      <c r="B73" s="55" t="s">
        <v>237</v>
      </c>
      <c r="C73" s="55" t="s">
        <v>673</v>
      </c>
      <c r="D73" s="55">
        <v>0.962</v>
      </c>
      <c r="E73" s="55" t="s">
        <v>31</v>
      </c>
      <c r="F73" s="55" t="s">
        <v>21</v>
      </c>
      <c r="G73" s="56"/>
      <c r="H73" s="57" t="s">
        <v>22</v>
      </c>
      <c r="I73" s="58"/>
      <c r="J73" s="57"/>
      <c r="K73" s="57"/>
      <c r="L73" s="57"/>
      <c r="M73" s="57"/>
      <c r="N73" s="57"/>
      <c r="O73" s="58" t="s">
        <v>22</v>
      </c>
      <c r="P73" s="59"/>
      <c r="Q73" s="60">
        <f>random_key!A70</f>
        <v>0.7004230169</v>
      </c>
    </row>
    <row r="74" ht="15.75" customHeight="1">
      <c r="A74" s="54">
        <v>33.0</v>
      </c>
      <c r="B74" s="55" t="s">
        <v>118</v>
      </c>
      <c r="C74" s="55" t="s">
        <v>696</v>
      </c>
      <c r="D74" s="55">
        <v>0.03</v>
      </c>
      <c r="E74" s="55" t="s">
        <v>21</v>
      </c>
      <c r="F74" s="55" t="s">
        <v>20</v>
      </c>
      <c r="G74" s="56" t="s">
        <v>22</v>
      </c>
      <c r="H74" s="57"/>
      <c r="I74" s="58"/>
      <c r="J74" s="57"/>
      <c r="K74" s="57" t="s">
        <v>22</v>
      </c>
      <c r="L74" s="57"/>
      <c r="M74" s="57"/>
      <c r="N74" s="57"/>
      <c r="O74" s="58"/>
      <c r="P74" s="59"/>
      <c r="Q74" s="60">
        <f>random_key!A30</f>
        <v>0.723421083</v>
      </c>
    </row>
    <row r="75" ht="15.75" customHeight="1">
      <c r="A75" s="54">
        <v>106.0</v>
      </c>
      <c r="B75" s="55" t="s">
        <v>304</v>
      </c>
      <c r="C75" s="55" t="s">
        <v>755</v>
      </c>
      <c r="D75" s="55">
        <v>0.004</v>
      </c>
      <c r="E75" s="55" t="s">
        <v>26</v>
      </c>
      <c r="F75" s="55" t="s">
        <v>20</v>
      </c>
      <c r="G75" s="56" t="s">
        <v>22</v>
      </c>
      <c r="H75" s="57"/>
      <c r="I75" s="58"/>
      <c r="J75" s="57" t="s">
        <v>22</v>
      </c>
      <c r="K75" s="57"/>
      <c r="L75" s="57"/>
      <c r="M75" s="57"/>
      <c r="N75" s="57"/>
      <c r="O75" s="58"/>
      <c r="P75" s="59"/>
      <c r="Q75" s="60">
        <f>random_key!A90</f>
        <v>0.727142934</v>
      </c>
    </row>
    <row r="76" ht="15.75" customHeight="1">
      <c r="A76" s="54">
        <v>86.0</v>
      </c>
      <c r="B76" s="55" t="s">
        <v>252</v>
      </c>
      <c r="C76" s="55" t="s">
        <v>740</v>
      </c>
      <c r="D76" s="55">
        <v>0.784</v>
      </c>
      <c r="E76" s="55" t="s">
        <v>20</v>
      </c>
      <c r="F76" s="55" t="s">
        <v>21</v>
      </c>
      <c r="G76" s="56"/>
      <c r="H76" s="57"/>
      <c r="I76" s="58" t="s">
        <v>22</v>
      </c>
      <c r="J76" s="57"/>
      <c r="K76" s="57"/>
      <c r="L76" s="57"/>
      <c r="M76" s="57"/>
      <c r="N76" s="57"/>
      <c r="O76" s="58"/>
      <c r="P76" s="59" t="s">
        <v>698</v>
      </c>
      <c r="Q76" s="60">
        <f>random_key!A74</f>
        <v>0.7435089948</v>
      </c>
    </row>
    <row r="77" ht="15.75" customHeight="1">
      <c r="A77" s="54">
        <v>72.0</v>
      </c>
      <c r="B77" s="55" t="s">
        <v>214</v>
      </c>
      <c r="C77" s="55" t="s">
        <v>729</v>
      </c>
      <c r="D77" s="55">
        <v>0.001</v>
      </c>
      <c r="E77" s="55" t="s">
        <v>20</v>
      </c>
      <c r="F77" s="55" t="s">
        <v>26</v>
      </c>
      <c r="G77" s="56"/>
      <c r="H77" s="57" t="s">
        <v>22</v>
      </c>
      <c r="I77" s="58"/>
      <c r="J77" s="57"/>
      <c r="K77" s="57"/>
      <c r="L77" s="57"/>
      <c r="M77" s="57" t="s">
        <v>22</v>
      </c>
      <c r="N77" s="57"/>
      <c r="O77" s="58"/>
      <c r="P77" s="59"/>
      <c r="Q77" s="60">
        <f>random_key!A62</f>
        <v>0.7471633311</v>
      </c>
    </row>
    <row r="78" ht="15.75" customHeight="1">
      <c r="A78" s="54">
        <v>24.0</v>
      </c>
      <c r="B78" s="55" t="s">
        <v>93</v>
      </c>
      <c r="C78" s="55" t="s">
        <v>686</v>
      </c>
      <c r="D78" s="55">
        <v>0.002</v>
      </c>
      <c r="E78" s="55" t="s">
        <v>21</v>
      </c>
      <c r="F78" s="55" t="s">
        <v>20</v>
      </c>
      <c r="G78" s="56"/>
      <c r="H78" s="57"/>
      <c r="I78" s="58" t="s">
        <v>22</v>
      </c>
      <c r="J78" s="57" t="s">
        <v>22</v>
      </c>
      <c r="K78" s="57"/>
      <c r="L78" s="57"/>
      <c r="M78" s="57"/>
      <c r="N78" s="57"/>
      <c r="O78" s="58"/>
      <c r="P78" s="59" t="s">
        <v>687</v>
      </c>
      <c r="Q78" s="60">
        <f>random_key!A23</f>
        <v>0.7541920884</v>
      </c>
    </row>
    <row r="79" ht="15.75" customHeight="1">
      <c r="A79" s="54">
        <v>63.0</v>
      </c>
      <c r="B79" s="55" t="s">
        <v>196</v>
      </c>
      <c r="C79" s="55" t="s">
        <v>723</v>
      </c>
      <c r="D79" s="55">
        <v>0.205</v>
      </c>
      <c r="E79" s="55" t="s">
        <v>21</v>
      </c>
      <c r="F79" s="55" t="s">
        <v>20</v>
      </c>
      <c r="G79" s="56" t="s">
        <v>22</v>
      </c>
      <c r="H79" s="57"/>
      <c r="I79" s="58"/>
      <c r="J79" s="57"/>
      <c r="K79" s="57" t="s">
        <v>22</v>
      </c>
      <c r="L79" s="57"/>
      <c r="M79" s="57"/>
      <c r="N79" s="57"/>
      <c r="O79" s="58"/>
      <c r="P79" s="59"/>
      <c r="Q79" s="60">
        <f>random_key!A55</f>
        <v>0.7605468318</v>
      </c>
    </row>
    <row r="80" ht="15.75" customHeight="1">
      <c r="A80" s="54">
        <v>5.0</v>
      </c>
      <c r="B80" s="55" t="s">
        <v>32</v>
      </c>
      <c r="C80" s="55" t="s">
        <v>665</v>
      </c>
      <c r="D80" s="55">
        <v>0.55</v>
      </c>
      <c r="E80" s="55" t="s">
        <v>20</v>
      </c>
      <c r="F80" s="55" t="s">
        <v>21</v>
      </c>
      <c r="G80" s="56" t="s">
        <v>22</v>
      </c>
      <c r="H80" s="57"/>
      <c r="I80" s="58"/>
      <c r="J80" s="57" t="s">
        <v>22</v>
      </c>
      <c r="K80" s="57"/>
      <c r="L80" s="57"/>
      <c r="M80" s="57"/>
      <c r="N80" s="57"/>
      <c r="O80" s="58"/>
      <c r="P80" s="59"/>
      <c r="Q80" s="60">
        <f>random_key!A4</f>
        <v>0.7622668932</v>
      </c>
    </row>
    <row r="81" ht="15.75" customHeight="1">
      <c r="A81" s="54">
        <v>23.0</v>
      </c>
      <c r="B81" s="55" t="s">
        <v>90</v>
      </c>
      <c r="C81" s="55" t="s">
        <v>685</v>
      </c>
      <c r="D81" s="55">
        <v>0.949</v>
      </c>
      <c r="E81" s="55" t="s">
        <v>31</v>
      </c>
      <c r="F81" s="55" t="s">
        <v>21</v>
      </c>
      <c r="G81" s="56"/>
      <c r="H81" s="57" t="s">
        <v>22</v>
      </c>
      <c r="I81" s="58"/>
      <c r="J81" s="57"/>
      <c r="K81" s="57"/>
      <c r="L81" s="57"/>
      <c r="M81" s="57"/>
      <c r="N81" s="57"/>
      <c r="O81" s="58" t="s">
        <v>22</v>
      </c>
      <c r="P81" s="59"/>
      <c r="Q81" s="60">
        <f>random_key!A22</f>
        <v>0.7884075586</v>
      </c>
    </row>
    <row r="82" ht="15.75" customHeight="1">
      <c r="A82" s="54">
        <v>100.0</v>
      </c>
      <c r="B82" s="55" t="s">
        <v>283</v>
      </c>
      <c r="C82" s="55" t="s">
        <v>748</v>
      </c>
      <c r="D82" s="55">
        <v>0.024</v>
      </c>
      <c r="E82" s="55" t="s">
        <v>21</v>
      </c>
      <c r="F82" s="55" t="s">
        <v>20</v>
      </c>
      <c r="G82" s="56" t="s">
        <v>22</v>
      </c>
      <c r="H82" s="57"/>
      <c r="I82" s="58"/>
      <c r="J82" s="57"/>
      <c r="K82" s="57" t="s">
        <v>22</v>
      </c>
      <c r="L82" s="57"/>
      <c r="M82" s="57"/>
      <c r="N82" s="57"/>
      <c r="O82" s="58"/>
      <c r="P82" s="59"/>
      <c r="Q82" s="60">
        <f>random_key!A84</f>
        <v>0.7958894172</v>
      </c>
    </row>
    <row r="83" ht="15.75" customHeight="1">
      <c r="A83" s="54">
        <v>58.0</v>
      </c>
      <c r="B83" s="55" t="s">
        <v>185</v>
      </c>
      <c r="C83" s="55" t="s">
        <v>719</v>
      </c>
      <c r="D83" s="55">
        <v>0.862</v>
      </c>
      <c r="E83" s="55" t="s">
        <v>31</v>
      </c>
      <c r="F83" s="55" t="s">
        <v>21</v>
      </c>
      <c r="G83" s="56"/>
      <c r="H83" s="57" t="s">
        <v>22</v>
      </c>
      <c r="I83" s="58"/>
      <c r="J83" s="57" t="s">
        <v>22</v>
      </c>
      <c r="K83" s="57"/>
      <c r="L83" s="57"/>
      <c r="M83" s="57"/>
      <c r="N83" s="57"/>
      <c r="O83" s="58"/>
      <c r="P83" s="59"/>
      <c r="Q83" s="60">
        <f>random_key!A51</f>
        <v>0.799996192</v>
      </c>
    </row>
    <row r="84" ht="15.75" customHeight="1">
      <c r="A84" s="54">
        <v>78.0</v>
      </c>
      <c r="B84" s="55" t="s">
        <v>233</v>
      </c>
      <c r="C84" s="55" t="s">
        <v>736</v>
      </c>
      <c r="D84" s="55">
        <v>0.006</v>
      </c>
      <c r="E84" s="55" t="s">
        <v>21</v>
      </c>
      <c r="F84" s="55" t="s">
        <v>31</v>
      </c>
      <c r="G84" s="56" t="s">
        <v>22</v>
      </c>
      <c r="H84" s="57"/>
      <c r="I84" s="58"/>
      <c r="J84" s="57"/>
      <c r="K84" s="57" t="s">
        <v>22</v>
      </c>
      <c r="L84" s="57"/>
      <c r="M84" s="57"/>
      <c r="N84" s="57"/>
      <c r="O84" s="58"/>
      <c r="P84" s="59"/>
      <c r="Q84" s="60">
        <f>random_key!A68</f>
        <v>0.8182745013</v>
      </c>
    </row>
    <row r="85" ht="15.75" customHeight="1">
      <c r="A85" s="54">
        <v>48.0</v>
      </c>
      <c r="B85" s="55" t="s">
        <v>158</v>
      </c>
      <c r="C85" s="55" t="s">
        <v>710</v>
      </c>
      <c r="D85" s="55">
        <v>0.455</v>
      </c>
      <c r="E85" s="55" t="s">
        <v>20</v>
      </c>
      <c r="F85" s="55" t="s">
        <v>21</v>
      </c>
      <c r="G85" s="56" t="s">
        <v>22</v>
      </c>
      <c r="H85" s="57"/>
      <c r="I85" s="58"/>
      <c r="J85" s="57" t="s">
        <v>22</v>
      </c>
      <c r="K85" s="57"/>
      <c r="L85" s="57"/>
      <c r="M85" s="57"/>
      <c r="N85" s="57"/>
      <c r="O85" s="58"/>
      <c r="P85" s="59"/>
      <c r="Q85" s="60">
        <f>random_key!A43</f>
        <v>0.8376744095</v>
      </c>
    </row>
    <row r="86" ht="15.75" customHeight="1">
      <c r="A86" s="54">
        <v>105.0</v>
      </c>
      <c r="B86" s="55" t="s">
        <v>300</v>
      </c>
      <c r="C86" s="55" t="s">
        <v>754</v>
      </c>
      <c r="D86" s="55">
        <v>0.739</v>
      </c>
      <c r="E86" s="55" t="s">
        <v>20</v>
      </c>
      <c r="F86" s="55" t="s">
        <v>21</v>
      </c>
      <c r="G86" s="56"/>
      <c r="H86" s="57" t="s">
        <v>22</v>
      </c>
      <c r="I86" s="58"/>
      <c r="J86" s="57"/>
      <c r="K86" s="57"/>
      <c r="L86" s="57" t="s">
        <v>22</v>
      </c>
      <c r="M86" s="57"/>
      <c r="N86" s="57"/>
      <c r="O86" s="58"/>
      <c r="P86" s="59"/>
      <c r="Q86" s="60">
        <f>random_key!A89</f>
        <v>0.8543904858</v>
      </c>
    </row>
    <row r="87" ht="15.75" customHeight="1">
      <c r="A87" s="54">
        <v>45.0</v>
      </c>
      <c r="B87" s="55" t="s">
        <v>149</v>
      </c>
      <c r="C87" s="55" t="s">
        <v>707</v>
      </c>
      <c r="D87" s="55">
        <v>0.935</v>
      </c>
      <c r="E87" s="55" t="s">
        <v>20</v>
      </c>
      <c r="F87" s="55" t="s">
        <v>21</v>
      </c>
      <c r="G87" s="56"/>
      <c r="H87" s="57" t="s">
        <v>22</v>
      </c>
      <c r="I87" s="58"/>
      <c r="J87" s="57"/>
      <c r="K87" s="57"/>
      <c r="L87" s="57"/>
      <c r="M87" s="57"/>
      <c r="N87" s="57"/>
      <c r="O87" s="58"/>
      <c r="P87" s="59" t="s">
        <v>691</v>
      </c>
      <c r="Q87" s="60">
        <f>random_key!A40</f>
        <v>0.8587903714</v>
      </c>
    </row>
    <row r="88" ht="15.75" customHeight="1">
      <c r="A88" s="54">
        <v>77.0</v>
      </c>
      <c r="B88" s="55" t="s">
        <v>230</v>
      </c>
      <c r="C88" s="55" t="s">
        <v>735</v>
      </c>
      <c r="D88" s="55">
        <v>0.053</v>
      </c>
      <c r="E88" s="55" t="s">
        <v>21</v>
      </c>
      <c r="F88" s="55" t="s">
        <v>20</v>
      </c>
      <c r="G88" s="56" t="s">
        <v>22</v>
      </c>
      <c r="H88" s="57"/>
      <c r="I88" s="58"/>
      <c r="J88" s="57"/>
      <c r="K88" s="57" t="s">
        <v>22</v>
      </c>
      <c r="L88" s="57"/>
      <c r="M88" s="57"/>
      <c r="N88" s="57"/>
      <c r="O88" s="58"/>
      <c r="P88" s="59"/>
      <c r="Q88" s="60">
        <f>random_key!A67</f>
        <v>0.8642436393</v>
      </c>
    </row>
    <row r="89" ht="15.75" customHeight="1">
      <c r="A89" s="54">
        <v>102.0</v>
      </c>
      <c r="B89" s="55" t="s">
        <v>288</v>
      </c>
      <c r="C89" s="55" t="s">
        <v>750</v>
      </c>
      <c r="D89" s="55">
        <v>0.918</v>
      </c>
      <c r="E89" s="55" t="s">
        <v>20</v>
      </c>
      <c r="F89" s="55" t="s">
        <v>21</v>
      </c>
      <c r="G89" s="56"/>
      <c r="H89" s="57"/>
      <c r="I89" s="58" t="s">
        <v>22</v>
      </c>
      <c r="J89" s="57"/>
      <c r="K89" s="57"/>
      <c r="L89" s="57"/>
      <c r="M89" s="57"/>
      <c r="N89" s="57"/>
      <c r="O89" s="58"/>
      <c r="P89" s="59" t="s">
        <v>751</v>
      </c>
      <c r="Q89" s="60">
        <f>random_key!A86</f>
        <v>0.8755905375</v>
      </c>
    </row>
    <row r="90" ht="15.75" customHeight="1">
      <c r="A90" s="54">
        <v>82.0</v>
      </c>
      <c r="B90" s="55" t="s">
        <v>244</v>
      </c>
      <c r="C90" s="55" t="s">
        <v>738</v>
      </c>
      <c r="D90" s="55">
        <v>0.963</v>
      </c>
      <c r="E90" s="55" t="s">
        <v>20</v>
      </c>
      <c r="F90" s="55" t="s">
        <v>21</v>
      </c>
      <c r="G90" s="56"/>
      <c r="H90" s="57" t="s">
        <v>22</v>
      </c>
      <c r="I90" s="58"/>
      <c r="J90" s="57"/>
      <c r="K90" s="57"/>
      <c r="L90" s="57"/>
      <c r="M90" s="57"/>
      <c r="N90" s="57" t="s">
        <v>22</v>
      </c>
      <c r="O90" s="58"/>
      <c r="P90" s="59"/>
      <c r="Q90" s="60">
        <f>random_key!A72</f>
        <v>0.8871378581</v>
      </c>
    </row>
    <row r="91" ht="15.75" customHeight="1">
      <c r="A91" s="54">
        <v>95.0</v>
      </c>
      <c r="B91" s="55" t="s">
        <v>271</v>
      </c>
      <c r="C91" s="55" t="s">
        <v>726</v>
      </c>
      <c r="D91" s="55">
        <v>0.952</v>
      </c>
      <c r="E91" s="55" t="s">
        <v>31</v>
      </c>
      <c r="F91" s="55" t="s">
        <v>21</v>
      </c>
      <c r="G91" s="56"/>
      <c r="H91" s="57" t="s">
        <v>22</v>
      </c>
      <c r="I91" s="58"/>
      <c r="J91" s="57"/>
      <c r="K91" s="57"/>
      <c r="L91" s="57"/>
      <c r="M91" s="57"/>
      <c r="N91" s="57"/>
      <c r="O91" s="58" t="s">
        <v>22</v>
      </c>
      <c r="P91" s="59"/>
      <c r="Q91" s="60">
        <f>random_key!A80</f>
        <v>0.89023684</v>
      </c>
    </row>
    <row r="92" ht="15.75" customHeight="1">
      <c r="A92" s="54">
        <v>71.0</v>
      </c>
      <c r="B92" s="55" t="s">
        <v>213</v>
      </c>
      <c r="C92" s="55" t="s">
        <v>682</v>
      </c>
      <c r="D92" s="55">
        <v>0.976</v>
      </c>
      <c r="E92" s="55" t="s">
        <v>31</v>
      </c>
      <c r="F92" s="55" t="s">
        <v>21</v>
      </c>
      <c r="G92" s="56"/>
      <c r="H92" s="57" t="s">
        <v>22</v>
      </c>
      <c r="I92" s="58"/>
      <c r="J92" s="57"/>
      <c r="K92" s="57"/>
      <c r="L92" s="57"/>
      <c r="M92" s="57"/>
      <c r="N92" s="57"/>
      <c r="O92" s="58" t="s">
        <v>22</v>
      </c>
      <c r="P92" s="59"/>
      <c r="Q92" s="60">
        <f>random_key!A61</f>
        <v>0.8920769635</v>
      </c>
    </row>
    <row r="93" ht="15.75" customHeight="1">
      <c r="A93" s="54">
        <v>55.0</v>
      </c>
      <c r="B93" s="55" t="s">
        <v>176</v>
      </c>
      <c r="C93" s="55" t="s">
        <v>716</v>
      </c>
      <c r="D93" s="55">
        <v>0.03</v>
      </c>
      <c r="E93" s="55" t="s">
        <v>21</v>
      </c>
      <c r="F93" s="55" t="s">
        <v>20</v>
      </c>
      <c r="G93" s="56" t="s">
        <v>22</v>
      </c>
      <c r="H93" s="57"/>
      <c r="I93" s="58"/>
      <c r="J93" s="57"/>
      <c r="K93" s="57" t="s">
        <v>22</v>
      </c>
      <c r="L93" s="57"/>
      <c r="M93" s="57"/>
      <c r="N93" s="57"/>
      <c r="O93" s="58"/>
      <c r="P93" s="59"/>
      <c r="Q93" s="60">
        <f>random_key!A48</f>
        <v>0.9080452284</v>
      </c>
    </row>
    <row r="94" ht="15.75" customHeight="1">
      <c r="A94" s="54">
        <v>91.0</v>
      </c>
      <c r="B94" s="55" t="s">
        <v>261</v>
      </c>
      <c r="C94" s="55" t="s">
        <v>742</v>
      </c>
      <c r="D94" s="55">
        <v>0.873</v>
      </c>
      <c r="E94" s="55" t="s">
        <v>20</v>
      </c>
      <c r="F94" s="55" t="s">
        <v>21</v>
      </c>
      <c r="G94" s="56"/>
      <c r="H94" s="57" t="s">
        <v>22</v>
      </c>
      <c r="I94" s="58"/>
      <c r="J94" s="57"/>
      <c r="K94" s="57"/>
      <c r="L94" s="57" t="s">
        <v>22</v>
      </c>
      <c r="M94" s="57"/>
      <c r="N94" s="57"/>
      <c r="O94" s="58"/>
      <c r="P94" s="59"/>
      <c r="Q94" s="60">
        <f>random_key!A77</f>
        <v>0.9113679883</v>
      </c>
    </row>
    <row r="95" ht="15.75" customHeight="1">
      <c r="A95" s="54">
        <v>74.0</v>
      </c>
      <c r="B95" s="55" t="s">
        <v>221</v>
      </c>
      <c r="C95" s="55" t="s">
        <v>731</v>
      </c>
      <c r="D95" s="55">
        <v>0.975</v>
      </c>
      <c r="E95" s="55" t="s">
        <v>20</v>
      </c>
      <c r="F95" s="55" t="s">
        <v>21</v>
      </c>
      <c r="G95" s="56"/>
      <c r="H95" s="57"/>
      <c r="I95" s="58" t="s">
        <v>22</v>
      </c>
      <c r="J95" s="57"/>
      <c r="K95" s="57"/>
      <c r="L95" s="57"/>
      <c r="M95" s="57"/>
      <c r="N95" s="57"/>
      <c r="O95" s="58"/>
      <c r="P95" s="59" t="s">
        <v>732</v>
      </c>
      <c r="Q95" s="60">
        <f>random_key!A64</f>
        <v>0.9147453114</v>
      </c>
    </row>
    <row r="96" ht="15.75" customHeight="1">
      <c r="A96" s="62">
        <v>115.0</v>
      </c>
      <c r="B96" s="55" t="s">
        <v>325</v>
      </c>
      <c r="C96" s="55" t="s">
        <v>762</v>
      </c>
      <c r="D96" s="55">
        <v>0.979</v>
      </c>
      <c r="E96" s="55" t="s">
        <v>26</v>
      </c>
      <c r="F96" s="55" t="s">
        <v>21</v>
      </c>
      <c r="G96" s="56"/>
      <c r="H96" s="57" t="s">
        <v>22</v>
      </c>
      <c r="I96" s="58"/>
      <c r="J96" s="57"/>
      <c r="K96" s="57"/>
      <c r="L96" s="57" t="s">
        <v>22</v>
      </c>
      <c r="M96" s="57"/>
      <c r="N96" s="57"/>
      <c r="O96" s="58"/>
      <c r="P96" s="59"/>
      <c r="Q96" s="60">
        <f>random_key!A97</f>
        <v>0.9230041158</v>
      </c>
    </row>
    <row r="97" ht="15.75" customHeight="1">
      <c r="A97" s="54">
        <v>114.0</v>
      </c>
      <c r="B97" s="55" t="s">
        <v>321</v>
      </c>
      <c r="C97" s="55" t="s">
        <v>760</v>
      </c>
      <c r="D97" s="55">
        <v>0.025</v>
      </c>
      <c r="E97" s="55" t="s">
        <v>26</v>
      </c>
      <c r="F97" s="55" t="s">
        <v>20</v>
      </c>
      <c r="G97" s="56" t="s">
        <v>22</v>
      </c>
      <c r="H97" s="57"/>
      <c r="I97" s="58"/>
      <c r="J97" s="57"/>
      <c r="K97" s="57" t="s">
        <v>22</v>
      </c>
      <c r="L97" s="57"/>
      <c r="M97" s="57"/>
      <c r="N97" s="57"/>
      <c r="O97" s="58"/>
      <c r="P97" s="59" t="s">
        <v>761</v>
      </c>
      <c r="Q97" s="60">
        <f>random_key!A96</f>
        <v>0.92778417</v>
      </c>
    </row>
    <row r="98" ht="15.75" customHeight="1">
      <c r="A98" s="54">
        <v>112.0</v>
      </c>
      <c r="B98" s="55" t="s">
        <v>317</v>
      </c>
      <c r="C98" s="55" t="s">
        <v>756</v>
      </c>
      <c r="D98" s="55">
        <v>0.001</v>
      </c>
      <c r="E98" s="55" t="s">
        <v>26</v>
      </c>
      <c r="F98" s="55" t="s">
        <v>20</v>
      </c>
      <c r="G98" s="56" t="s">
        <v>22</v>
      </c>
      <c r="H98" s="57"/>
      <c r="I98" s="58"/>
      <c r="J98" s="57" t="s">
        <v>22</v>
      </c>
      <c r="K98" s="57"/>
      <c r="L98" s="57"/>
      <c r="M98" s="57"/>
      <c r="N98" s="57"/>
      <c r="O98" s="58"/>
      <c r="P98" s="59"/>
      <c r="Q98" s="60">
        <f>random_key!A94</f>
        <v>0.9413106865</v>
      </c>
    </row>
    <row r="99" ht="15.75" customHeight="1">
      <c r="A99" s="54">
        <v>111.0</v>
      </c>
      <c r="B99" s="55" t="s">
        <v>314</v>
      </c>
      <c r="C99" s="55" t="s">
        <v>758</v>
      </c>
      <c r="D99" s="55">
        <v>0.811</v>
      </c>
      <c r="E99" s="55" t="s">
        <v>20</v>
      </c>
      <c r="F99" s="55" t="s">
        <v>21</v>
      </c>
      <c r="G99" s="56" t="s">
        <v>22</v>
      </c>
      <c r="H99" s="57"/>
      <c r="I99" s="58"/>
      <c r="J99" s="57" t="s">
        <v>22</v>
      </c>
      <c r="K99" s="57"/>
      <c r="L99" s="57"/>
      <c r="M99" s="57"/>
      <c r="N99" s="57"/>
      <c r="O99" s="58"/>
      <c r="P99" s="59"/>
      <c r="Q99" s="60">
        <f>random_key!A93</f>
        <v>0.9602527706</v>
      </c>
    </row>
    <row r="100" ht="15.75" customHeight="1">
      <c r="A100" s="54">
        <v>52.0</v>
      </c>
      <c r="B100" s="55" t="s">
        <v>170</v>
      </c>
      <c r="C100" s="55" t="s">
        <v>714</v>
      </c>
      <c r="D100" s="55">
        <v>0.959</v>
      </c>
      <c r="E100" s="55" t="s">
        <v>20</v>
      </c>
      <c r="F100" s="55" t="s">
        <v>21</v>
      </c>
      <c r="G100" s="56"/>
      <c r="H100" s="57" t="s">
        <v>22</v>
      </c>
      <c r="I100" s="58"/>
      <c r="J100" s="57"/>
      <c r="K100" s="57"/>
      <c r="L100" s="57"/>
      <c r="M100" s="57"/>
      <c r="N100" s="57" t="s">
        <v>22</v>
      </c>
      <c r="O100" s="58"/>
      <c r="P100" s="59"/>
      <c r="Q100" s="60">
        <f>random_key!A46</f>
        <v>0.9629101769</v>
      </c>
    </row>
    <row r="101" ht="15.75" customHeight="1">
      <c r="A101" s="54">
        <v>29.0</v>
      </c>
      <c r="B101" s="55" t="s">
        <v>108</v>
      </c>
      <c r="C101" s="55" t="s">
        <v>693</v>
      </c>
      <c r="D101" s="55">
        <v>0.006</v>
      </c>
      <c r="E101" s="55" t="s">
        <v>20</v>
      </c>
      <c r="F101" s="55" t="s">
        <v>26</v>
      </c>
      <c r="G101" s="56"/>
      <c r="H101" s="57" t="s">
        <v>22</v>
      </c>
      <c r="I101" s="58"/>
      <c r="J101" s="57"/>
      <c r="K101" s="57"/>
      <c r="L101" s="57"/>
      <c r="M101" s="57" t="s">
        <v>22</v>
      </c>
      <c r="N101" s="57"/>
      <c r="O101" s="58"/>
      <c r="P101" s="59"/>
      <c r="Q101" s="60">
        <f>random_key!A27</f>
        <v>0.9854616735</v>
      </c>
    </row>
    <row r="102" ht="15.75" customHeight="1">
      <c r="A102" s="54">
        <v>4.0</v>
      </c>
      <c r="B102" s="55" t="s">
        <v>28</v>
      </c>
      <c r="C102" s="55" t="s">
        <v>664</v>
      </c>
      <c r="D102" s="55">
        <v>0.972</v>
      </c>
      <c r="E102" s="55" t="s">
        <v>31</v>
      </c>
      <c r="F102" s="55" t="s">
        <v>21</v>
      </c>
      <c r="G102" s="56"/>
      <c r="H102" s="57" t="s">
        <v>22</v>
      </c>
      <c r="I102" s="58"/>
      <c r="J102" s="57"/>
      <c r="K102" s="57"/>
      <c r="L102" s="57"/>
      <c r="M102" s="57"/>
      <c r="N102" s="57"/>
      <c r="O102" s="58" t="s">
        <v>22</v>
      </c>
      <c r="P102" s="59"/>
      <c r="Q102" s="60">
        <f>random_key!A3</f>
        <v>0.9970902728</v>
      </c>
    </row>
    <row r="103" ht="15.75" customHeight="1">
      <c r="A103" s="54">
        <v>62.0</v>
      </c>
      <c r="B103" s="63" t="s">
        <v>194</v>
      </c>
      <c r="C103" s="63" t="s">
        <v>722</v>
      </c>
      <c r="D103" s="63">
        <v>0.047</v>
      </c>
      <c r="E103" s="63" t="s">
        <v>21</v>
      </c>
      <c r="F103" s="63" t="s">
        <v>20</v>
      </c>
      <c r="G103" s="64" t="s">
        <v>22</v>
      </c>
      <c r="H103" s="65"/>
      <c r="I103" s="66"/>
      <c r="J103" s="65"/>
      <c r="K103" s="65" t="s">
        <v>22</v>
      </c>
      <c r="L103" s="65"/>
      <c r="M103" s="65"/>
      <c r="N103" s="65"/>
      <c r="O103" s="66"/>
      <c r="P103" s="67"/>
      <c r="Q103" s="60">
        <f>random_key!A54</f>
        <v>0.9973993648</v>
      </c>
      <c r="R103" s="73"/>
      <c r="S103" s="73"/>
      <c r="T103" s="73"/>
      <c r="U103" s="73"/>
      <c r="V103" s="73"/>
      <c r="W103" s="73"/>
      <c r="X103" s="73"/>
      <c r="Y103" s="73"/>
    </row>
    <row r="104" ht="15.75" customHeight="1">
      <c r="A104" s="39"/>
      <c r="D104" s="41"/>
      <c r="G104" s="70">
        <f t="shared" ref="G104:O104" si="1">COUNTIF(G4:G103,"x")</f>
        <v>41</v>
      </c>
      <c r="H104" s="70">
        <f t="shared" si="1"/>
        <v>45</v>
      </c>
      <c r="I104" s="41">
        <f t="shared" si="1"/>
        <v>14</v>
      </c>
      <c r="J104" s="41">
        <f t="shared" si="1"/>
        <v>10</v>
      </c>
      <c r="K104" s="41">
        <f t="shared" si="1"/>
        <v>31</v>
      </c>
      <c r="L104" s="41">
        <f t="shared" si="1"/>
        <v>11</v>
      </c>
      <c r="M104" s="41">
        <f t="shared" si="1"/>
        <v>8</v>
      </c>
      <c r="N104" s="41">
        <f t="shared" si="1"/>
        <v>10</v>
      </c>
      <c r="O104" s="41">
        <f t="shared" si="1"/>
        <v>15</v>
      </c>
      <c r="P104" s="42"/>
      <c r="Q104" s="41"/>
    </row>
    <row r="105" ht="15.75" customHeight="1">
      <c r="A105" s="39"/>
      <c r="D105" s="41"/>
      <c r="G105" s="41"/>
      <c r="H105" s="41"/>
      <c r="I105" s="41"/>
      <c r="J105" s="41"/>
      <c r="K105" s="41"/>
      <c r="L105" s="41"/>
      <c r="M105" s="41"/>
      <c r="N105" s="41"/>
      <c r="O105" s="41"/>
      <c r="P105" s="42"/>
      <c r="Q105" s="41"/>
    </row>
    <row r="106" ht="15.75" customHeight="1">
      <c r="A106" s="39"/>
      <c r="D106" s="41"/>
      <c r="G106" s="41"/>
      <c r="H106" s="41"/>
      <c r="I106" s="41"/>
      <c r="J106" s="41"/>
      <c r="K106" s="41"/>
      <c r="L106" s="41"/>
      <c r="M106" s="41"/>
      <c r="N106" s="41"/>
      <c r="O106" s="41"/>
      <c r="P106" s="42"/>
      <c r="Q106" s="41"/>
    </row>
    <row r="107" ht="15.75" customHeight="1">
      <c r="A107" s="39"/>
      <c r="D107" s="41"/>
      <c r="G107" s="41"/>
      <c r="H107" s="41"/>
      <c r="I107" s="41"/>
      <c r="J107" s="41"/>
      <c r="K107" s="41"/>
      <c r="L107" s="41"/>
      <c r="M107" s="41"/>
      <c r="N107" s="41"/>
      <c r="O107" s="41"/>
      <c r="P107" s="42"/>
      <c r="Q107" s="41"/>
    </row>
    <row r="108" ht="15.75" customHeight="1">
      <c r="A108" s="39"/>
      <c r="B108" s="41"/>
      <c r="C108" s="41"/>
      <c r="D108" s="41"/>
      <c r="E108" s="41"/>
      <c r="F108" s="41"/>
      <c r="G108" s="41"/>
      <c r="H108" s="41"/>
      <c r="I108" s="41"/>
      <c r="J108" s="41"/>
      <c r="K108" s="41"/>
      <c r="L108" s="41"/>
      <c r="M108" s="41"/>
      <c r="N108" s="41"/>
      <c r="O108" s="41"/>
      <c r="P108" s="42"/>
      <c r="Q108" s="41"/>
    </row>
    <row r="109" ht="15.75" customHeight="1">
      <c r="A109" s="39"/>
      <c r="B109" s="41"/>
      <c r="C109" s="41"/>
      <c r="D109" s="41"/>
      <c r="E109" s="41"/>
      <c r="F109" s="41"/>
      <c r="G109" s="41"/>
      <c r="H109" s="41"/>
      <c r="I109" s="41"/>
      <c r="J109" s="41"/>
      <c r="K109" s="41"/>
      <c r="L109" s="41"/>
      <c r="M109" s="41"/>
      <c r="N109" s="41"/>
      <c r="O109" s="41"/>
      <c r="P109" s="42"/>
      <c r="Q109" s="41"/>
    </row>
    <row r="110" ht="15.75" customHeight="1">
      <c r="A110" s="39"/>
      <c r="B110" s="41"/>
      <c r="C110" s="41"/>
      <c r="D110" s="41"/>
      <c r="E110" s="41"/>
      <c r="F110" s="41"/>
      <c r="G110" s="41"/>
      <c r="H110" s="41"/>
      <c r="I110" s="41"/>
      <c r="J110" s="41"/>
      <c r="K110" s="41"/>
      <c r="L110" s="41"/>
      <c r="M110" s="41"/>
      <c r="N110" s="41"/>
      <c r="O110" s="41"/>
      <c r="P110" s="42"/>
      <c r="Q110" s="41"/>
    </row>
    <row r="111" ht="15.75" customHeight="1">
      <c r="A111" s="39"/>
      <c r="B111" s="41"/>
      <c r="C111" s="41"/>
      <c r="D111" s="41"/>
      <c r="E111" s="41"/>
      <c r="F111" s="41"/>
      <c r="G111" s="41"/>
      <c r="H111" s="41"/>
      <c r="I111" s="41"/>
      <c r="J111" s="41"/>
      <c r="K111" s="41"/>
      <c r="L111" s="41"/>
      <c r="M111" s="41"/>
      <c r="N111" s="41"/>
      <c r="O111" s="41"/>
      <c r="P111" s="42"/>
      <c r="Q111" s="41"/>
    </row>
    <row r="112" ht="15.75" customHeight="1">
      <c r="A112" s="39"/>
      <c r="B112" s="41"/>
      <c r="C112" s="41"/>
      <c r="D112" s="41"/>
      <c r="E112" s="41"/>
      <c r="F112" s="41"/>
      <c r="G112" s="41"/>
      <c r="H112" s="41"/>
      <c r="I112" s="41"/>
      <c r="J112" s="41"/>
      <c r="K112" s="41"/>
      <c r="L112" s="41"/>
      <c r="M112" s="41"/>
      <c r="N112" s="41"/>
      <c r="O112" s="41"/>
      <c r="P112" s="42"/>
      <c r="Q112" s="41"/>
    </row>
    <row r="113" ht="15.75" customHeight="1">
      <c r="A113" s="39"/>
      <c r="B113" s="41"/>
      <c r="C113" s="41"/>
      <c r="D113" s="41"/>
      <c r="E113" s="41"/>
      <c r="F113" s="41"/>
      <c r="G113" s="41"/>
      <c r="H113" s="41"/>
      <c r="I113" s="41"/>
      <c r="J113" s="41"/>
      <c r="K113" s="41"/>
      <c r="L113" s="41"/>
      <c r="M113" s="41"/>
      <c r="N113" s="41"/>
      <c r="O113" s="41"/>
      <c r="P113" s="42"/>
      <c r="Q113" s="41"/>
    </row>
    <row r="114" ht="15.75" customHeight="1">
      <c r="A114" s="39"/>
      <c r="B114" s="41"/>
      <c r="C114" s="41"/>
      <c r="D114" s="41"/>
      <c r="E114" s="41"/>
      <c r="F114" s="41"/>
      <c r="G114" s="41"/>
      <c r="H114" s="41"/>
      <c r="I114" s="41"/>
      <c r="J114" s="41"/>
      <c r="K114" s="41"/>
      <c r="L114" s="41"/>
      <c r="M114" s="41"/>
      <c r="N114" s="41"/>
      <c r="O114" s="41"/>
      <c r="P114" s="42"/>
      <c r="Q114" s="41"/>
    </row>
    <row r="115" ht="15.75" customHeight="1">
      <c r="A115" s="39"/>
      <c r="B115" s="41"/>
      <c r="C115" s="41"/>
      <c r="D115" s="41"/>
      <c r="E115" s="41"/>
      <c r="F115" s="41"/>
      <c r="G115" s="41"/>
      <c r="H115" s="41"/>
      <c r="I115" s="41"/>
      <c r="J115" s="41"/>
      <c r="K115" s="41"/>
      <c r="L115" s="41"/>
      <c r="M115" s="41"/>
      <c r="N115" s="41"/>
      <c r="O115" s="41"/>
      <c r="P115" s="42"/>
      <c r="Q115" s="41"/>
    </row>
    <row r="116" ht="15.75" customHeight="1">
      <c r="A116" s="39"/>
      <c r="B116" s="41"/>
      <c r="C116" s="41"/>
      <c r="D116" s="41"/>
      <c r="E116" s="41"/>
      <c r="F116" s="41"/>
      <c r="G116" s="41"/>
      <c r="H116" s="41"/>
      <c r="I116" s="41"/>
      <c r="J116" s="41"/>
      <c r="K116" s="41"/>
      <c r="L116" s="41"/>
      <c r="M116" s="41"/>
      <c r="N116" s="41"/>
      <c r="O116" s="41"/>
      <c r="P116" s="42"/>
      <c r="Q116" s="41"/>
    </row>
    <row r="117" ht="15.75" customHeight="1">
      <c r="A117" s="39"/>
      <c r="B117" s="41"/>
      <c r="C117" s="41"/>
      <c r="D117" s="41"/>
      <c r="E117" s="41"/>
      <c r="F117" s="41"/>
      <c r="G117" s="41"/>
      <c r="H117" s="41"/>
      <c r="I117" s="41"/>
      <c r="J117" s="41"/>
      <c r="K117" s="41"/>
      <c r="L117" s="41"/>
      <c r="M117" s="41"/>
      <c r="N117" s="41"/>
      <c r="O117" s="41"/>
      <c r="P117" s="42"/>
      <c r="Q117" s="41"/>
    </row>
    <row r="118" ht="15.75" customHeight="1">
      <c r="A118" s="39"/>
      <c r="B118" s="41"/>
      <c r="C118" s="41"/>
      <c r="D118" s="41"/>
      <c r="E118" s="41"/>
      <c r="F118" s="41"/>
      <c r="G118" s="41"/>
      <c r="H118" s="41"/>
      <c r="I118" s="41"/>
      <c r="J118" s="41"/>
      <c r="K118" s="41"/>
      <c r="L118" s="41"/>
      <c r="M118" s="41"/>
      <c r="N118" s="41"/>
      <c r="O118" s="41"/>
      <c r="P118" s="42"/>
      <c r="Q118" s="41"/>
    </row>
    <row r="119" ht="15.75" customHeight="1">
      <c r="A119" s="39"/>
      <c r="B119" s="41"/>
      <c r="C119" s="41"/>
      <c r="D119" s="41"/>
      <c r="E119" s="41"/>
      <c r="F119" s="41"/>
      <c r="G119" s="41"/>
      <c r="H119" s="41"/>
      <c r="I119" s="41"/>
      <c r="J119" s="41"/>
      <c r="K119" s="41"/>
      <c r="L119" s="41"/>
      <c r="M119" s="41"/>
      <c r="N119" s="41"/>
      <c r="O119" s="41"/>
      <c r="P119" s="42"/>
      <c r="Q119" s="41"/>
    </row>
    <row r="120" ht="15.75" customHeight="1">
      <c r="A120" s="39"/>
      <c r="B120" s="41"/>
      <c r="C120" s="41"/>
      <c r="D120" s="41"/>
      <c r="E120" s="41"/>
      <c r="F120" s="41"/>
      <c r="G120" s="41"/>
      <c r="H120" s="41"/>
      <c r="I120" s="41"/>
      <c r="J120" s="41"/>
      <c r="K120" s="41"/>
      <c r="L120" s="41"/>
      <c r="M120" s="41"/>
      <c r="N120" s="41"/>
      <c r="O120" s="41"/>
      <c r="P120" s="42"/>
      <c r="Q120" s="41"/>
    </row>
    <row r="121" ht="15.75" customHeight="1">
      <c r="A121" s="39"/>
      <c r="B121" s="41"/>
      <c r="C121" s="41"/>
      <c r="D121" s="41"/>
      <c r="E121" s="41"/>
      <c r="F121" s="41"/>
      <c r="G121" s="41"/>
      <c r="H121" s="41"/>
      <c r="I121" s="41"/>
      <c r="J121" s="41"/>
      <c r="K121" s="41"/>
      <c r="L121" s="41"/>
      <c r="M121" s="41"/>
      <c r="N121" s="41"/>
      <c r="O121" s="41"/>
      <c r="P121" s="42"/>
      <c r="Q121" s="41"/>
    </row>
    <row r="122" ht="15.75" customHeight="1">
      <c r="A122" s="39"/>
      <c r="B122" s="41"/>
      <c r="C122" s="41"/>
      <c r="D122" s="41"/>
      <c r="E122" s="41"/>
      <c r="F122" s="41"/>
      <c r="G122" s="41"/>
      <c r="H122" s="41"/>
      <c r="I122" s="41"/>
      <c r="J122" s="41"/>
      <c r="K122" s="41"/>
      <c r="L122" s="41"/>
      <c r="M122" s="41"/>
      <c r="N122" s="41"/>
      <c r="O122" s="41"/>
      <c r="P122" s="42"/>
      <c r="Q122" s="41"/>
    </row>
    <row r="123" ht="15.75" customHeight="1">
      <c r="A123" s="39"/>
      <c r="B123" s="41"/>
      <c r="C123" s="41"/>
      <c r="D123" s="41"/>
      <c r="E123" s="41"/>
      <c r="F123" s="41"/>
      <c r="G123" s="41"/>
      <c r="H123" s="41"/>
      <c r="I123" s="41"/>
      <c r="J123" s="41"/>
      <c r="K123" s="41"/>
      <c r="L123" s="41"/>
      <c r="M123" s="41"/>
      <c r="N123" s="41"/>
      <c r="O123" s="41"/>
      <c r="P123" s="42"/>
      <c r="Q123" s="41"/>
    </row>
    <row r="124" ht="15.75" customHeight="1">
      <c r="A124" s="39"/>
      <c r="B124" s="41"/>
      <c r="C124" s="41"/>
      <c r="D124" s="41"/>
      <c r="E124" s="41"/>
      <c r="F124" s="41"/>
      <c r="G124" s="41"/>
      <c r="H124" s="41"/>
      <c r="I124" s="41"/>
      <c r="J124" s="41"/>
      <c r="K124" s="41"/>
      <c r="L124" s="41"/>
      <c r="M124" s="41"/>
      <c r="N124" s="41"/>
      <c r="O124" s="41"/>
      <c r="P124" s="42"/>
      <c r="Q124" s="41"/>
    </row>
    <row r="125" ht="15.75" customHeight="1">
      <c r="A125" s="39"/>
      <c r="B125" s="41"/>
      <c r="C125" s="41"/>
      <c r="D125" s="41"/>
      <c r="E125" s="41"/>
      <c r="F125" s="41"/>
      <c r="G125" s="41"/>
      <c r="H125" s="41"/>
      <c r="I125" s="41"/>
      <c r="J125" s="41"/>
      <c r="K125" s="41"/>
      <c r="L125" s="41"/>
      <c r="M125" s="41"/>
      <c r="N125" s="41"/>
      <c r="O125" s="41"/>
      <c r="P125" s="42"/>
      <c r="Q125" s="41"/>
    </row>
    <row r="126" ht="15.75" customHeight="1">
      <c r="A126" s="39"/>
      <c r="B126" s="41"/>
      <c r="C126" s="41"/>
      <c r="D126" s="41"/>
      <c r="E126" s="41"/>
      <c r="F126" s="41"/>
      <c r="G126" s="41"/>
      <c r="H126" s="41"/>
      <c r="I126" s="41"/>
      <c r="J126" s="41"/>
      <c r="K126" s="41"/>
      <c r="L126" s="41"/>
      <c r="M126" s="41"/>
      <c r="N126" s="41"/>
      <c r="O126" s="41"/>
      <c r="P126" s="42"/>
      <c r="Q126" s="41"/>
    </row>
    <row r="127" ht="15.75" customHeight="1">
      <c r="A127" s="39"/>
      <c r="B127" s="41"/>
      <c r="C127" s="41"/>
      <c r="D127" s="41"/>
      <c r="E127" s="41"/>
      <c r="F127" s="41"/>
      <c r="G127" s="41"/>
      <c r="H127" s="41"/>
      <c r="I127" s="41"/>
      <c r="J127" s="41"/>
      <c r="K127" s="41"/>
      <c r="L127" s="41"/>
      <c r="M127" s="41"/>
      <c r="N127" s="41"/>
      <c r="O127" s="41"/>
      <c r="P127" s="42"/>
      <c r="Q127" s="41"/>
    </row>
    <row r="128" ht="15.75" customHeight="1">
      <c r="A128" s="39"/>
      <c r="B128" s="41"/>
      <c r="C128" s="41"/>
      <c r="D128" s="41"/>
      <c r="E128" s="41"/>
      <c r="F128" s="41"/>
      <c r="G128" s="41"/>
      <c r="H128" s="41"/>
      <c r="I128" s="41"/>
      <c r="J128" s="41"/>
      <c r="K128" s="41"/>
      <c r="L128" s="41"/>
      <c r="M128" s="41"/>
      <c r="N128" s="41"/>
      <c r="O128" s="41"/>
      <c r="P128" s="42"/>
      <c r="Q128" s="41"/>
    </row>
    <row r="129" ht="15.75" customHeight="1">
      <c r="A129" s="39"/>
      <c r="B129" s="41"/>
      <c r="C129" s="41"/>
      <c r="D129" s="41"/>
      <c r="E129" s="41"/>
      <c r="F129" s="41"/>
      <c r="G129" s="41"/>
      <c r="H129" s="41"/>
      <c r="I129" s="41"/>
      <c r="J129" s="41"/>
      <c r="K129" s="41"/>
      <c r="L129" s="41"/>
      <c r="M129" s="41"/>
      <c r="N129" s="41"/>
      <c r="O129" s="41"/>
      <c r="P129" s="42"/>
      <c r="Q129" s="41"/>
    </row>
    <row r="130" ht="15.75" customHeight="1">
      <c r="A130" s="39"/>
      <c r="B130" s="41"/>
      <c r="C130" s="41"/>
      <c r="D130" s="41"/>
      <c r="E130" s="41"/>
      <c r="F130" s="41"/>
      <c r="G130" s="41"/>
      <c r="H130" s="41"/>
      <c r="I130" s="41"/>
      <c r="J130" s="41"/>
      <c r="K130" s="41"/>
      <c r="L130" s="41"/>
      <c r="M130" s="41"/>
      <c r="N130" s="41"/>
      <c r="O130" s="41"/>
      <c r="P130" s="42"/>
      <c r="Q130" s="41"/>
    </row>
    <row r="131" ht="15.75" customHeight="1">
      <c r="A131" s="39"/>
      <c r="B131" s="41"/>
      <c r="C131" s="41"/>
      <c r="D131" s="41"/>
      <c r="E131" s="41"/>
      <c r="F131" s="41"/>
      <c r="G131" s="41"/>
      <c r="H131" s="41"/>
      <c r="I131" s="41"/>
      <c r="J131" s="41"/>
      <c r="K131" s="41"/>
      <c r="L131" s="41"/>
      <c r="M131" s="41"/>
      <c r="N131" s="41"/>
      <c r="O131" s="41"/>
      <c r="P131" s="42"/>
      <c r="Q131" s="41"/>
    </row>
    <row r="132" ht="15.75" customHeight="1">
      <c r="A132" s="39"/>
      <c r="B132" s="41"/>
      <c r="C132" s="41"/>
      <c r="D132" s="41"/>
      <c r="E132" s="41"/>
      <c r="F132" s="41"/>
      <c r="G132" s="41"/>
      <c r="H132" s="41"/>
      <c r="I132" s="41"/>
      <c r="J132" s="41"/>
      <c r="K132" s="41"/>
      <c r="L132" s="41"/>
      <c r="M132" s="41"/>
      <c r="N132" s="41"/>
      <c r="O132" s="41"/>
      <c r="P132" s="42"/>
      <c r="Q132" s="41"/>
    </row>
    <row r="133" ht="15.75" customHeight="1">
      <c r="A133" s="39"/>
      <c r="B133" s="41"/>
      <c r="C133" s="41"/>
      <c r="D133" s="41"/>
      <c r="E133" s="41"/>
      <c r="F133" s="41"/>
      <c r="G133" s="41"/>
      <c r="H133" s="41"/>
      <c r="I133" s="41"/>
      <c r="J133" s="41"/>
      <c r="K133" s="41"/>
      <c r="L133" s="41"/>
      <c r="M133" s="41"/>
      <c r="N133" s="41"/>
      <c r="O133" s="41"/>
      <c r="P133" s="42"/>
      <c r="Q133" s="41"/>
    </row>
    <row r="134" ht="15.75" customHeight="1">
      <c r="A134" s="39"/>
      <c r="B134" s="41"/>
      <c r="C134" s="41"/>
      <c r="D134" s="41"/>
      <c r="E134" s="41"/>
      <c r="F134" s="41"/>
      <c r="G134" s="41"/>
      <c r="H134" s="41"/>
      <c r="I134" s="41"/>
      <c r="J134" s="41"/>
      <c r="K134" s="41"/>
      <c r="L134" s="41"/>
      <c r="M134" s="41"/>
      <c r="N134" s="41"/>
      <c r="O134" s="41"/>
      <c r="P134" s="42"/>
      <c r="Q134" s="41"/>
    </row>
    <row r="135" ht="15.75" customHeight="1">
      <c r="A135" s="39"/>
      <c r="B135" s="41"/>
      <c r="C135" s="41"/>
      <c r="D135" s="41"/>
      <c r="E135" s="41"/>
      <c r="F135" s="41"/>
      <c r="G135" s="41"/>
      <c r="H135" s="41"/>
      <c r="I135" s="41"/>
      <c r="J135" s="41"/>
      <c r="K135" s="41"/>
      <c r="L135" s="41"/>
      <c r="M135" s="41"/>
      <c r="N135" s="41"/>
      <c r="O135" s="41"/>
      <c r="P135" s="42"/>
      <c r="Q135" s="41"/>
    </row>
    <row r="136" ht="15.75" customHeight="1">
      <c r="A136" s="39"/>
      <c r="B136" s="41"/>
      <c r="C136" s="41"/>
      <c r="D136" s="41"/>
      <c r="E136" s="41"/>
      <c r="F136" s="41"/>
      <c r="G136" s="41"/>
      <c r="H136" s="41"/>
      <c r="I136" s="41"/>
      <c r="J136" s="41"/>
      <c r="K136" s="41"/>
      <c r="L136" s="41"/>
      <c r="M136" s="41"/>
      <c r="N136" s="41"/>
      <c r="O136" s="41"/>
      <c r="P136" s="42"/>
      <c r="Q136" s="41"/>
    </row>
    <row r="137" ht="15.75" customHeight="1">
      <c r="A137" s="39"/>
      <c r="B137" s="41"/>
      <c r="C137" s="41"/>
      <c r="D137" s="41"/>
      <c r="E137" s="41"/>
      <c r="F137" s="41"/>
      <c r="G137" s="41"/>
      <c r="H137" s="41"/>
      <c r="I137" s="41"/>
      <c r="J137" s="41"/>
      <c r="K137" s="41"/>
      <c r="L137" s="41"/>
      <c r="M137" s="41"/>
      <c r="N137" s="41"/>
      <c r="O137" s="41"/>
      <c r="P137" s="42"/>
      <c r="Q137" s="41"/>
    </row>
    <row r="138" ht="15.75" customHeight="1">
      <c r="A138" s="39"/>
      <c r="B138" s="41"/>
      <c r="C138" s="41"/>
      <c r="D138" s="41"/>
      <c r="E138" s="41"/>
      <c r="F138" s="41"/>
      <c r="G138" s="41"/>
      <c r="H138" s="41"/>
      <c r="I138" s="41"/>
      <c r="J138" s="41"/>
      <c r="K138" s="41"/>
      <c r="L138" s="41"/>
      <c r="M138" s="41"/>
      <c r="N138" s="41"/>
      <c r="O138" s="41"/>
      <c r="P138" s="42"/>
      <c r="Q138" s="41"/>
    </row>
    <row r="139" ht="15.75" customHeight="1">
      <c r="A139" s="39"/>
      <c r="B139" s="41"/>
      <c r="C139" s="41"/>
      <c r="D139" s="41"/>
      <c r="E139" s="41"/>
      <c r="F139" s="41"/>
      <c r="G139" s="41"/>
      <c r="H139" s="41"/>
      <c r="I139" s="41"/>
      <c r="J139" s="41"/>
      <c r="K139" s="41"/>
      <c r="L139" s="41"/>
      <c r="M139" s="41"/>
      <c r="N139" s="41"/>
      <c r="O139" s="41"/>
      <c r="P139" s="42"/>
      <c r="Q139" s="41"/>
    </row>
    <row r="140" ht="15.75" customHeight="1">
      <c r="A140" s="39"/>
      <c r="B140" s="41"/>
      <c r="C140" s="41"/>
      <c r="D140" s="41"/>
      <c r="E140" s="41"/>
      <c r="F140" s="41"/>
      <c r="G140" s="41"/>
      <c r="H140" s="41"/>
      <c r="I140" s="41"/>
      <c r="J140" s="41"/>
      <c r="K140" s="41"/>
      <c r="L140" s="41"/>
      <c r="M140" s="41"/>
      <c r="N140" s="41"/>
      <c r="O140" s="41"/>
      <c r="P140" s="42"/>
      <c r="Q140" s="41"/>
    </row>
    <row r="141" ht="15.75" customHeight="1">
      <c r="A141" s="39"/>
      <c r="B141" s="41"/>
      <c r="C141" s="41"/>
      <c r="D141" s="41"/>
      <c r="E141" s="41"/>
      <c r="F141" s="41"/>
      <c r="G141" s="41"/>
      <c r="H141" s="41"/>
      <c r="I141" s="41"/>
      <c r="J141" s="41"/>
      <c r="K141" s="41"/>
      <c r="L141" s="41"/>
      <c r="M141" s="41"/>
      <c r="N141" s="41"/>
      <c r="O141" s="41"/>
      <c r="P141" s="42"/>
      <c r="Q141" s="41"/>
    </row>
    <row r="142" ht="15.75" customHeight="1">
      <c r="A142" s="39"/>
      <c r="B142" s="41"/>
      <c r="C142" s="41"/>
      <c r="D142" s="41"/>
      <c r="E142" s="41"/>
      <c r="F142" s="41"/>
      <c r="G142" s="41"/>
      <c r="H142" s="41"/>
      <c r="I142" s="41"/>
      <c r="J142" s="41"/>
      <c r="K142" s="41"/>
      <c r="L142" s="41"/>
      <c r="M142" s="41"/>
      <c r="N142" s="41"/>
      <c r="O142" s="41"/>
      <c r="P142" s="42"/>
      <c r="Q142" s="41"/>
    </row>
    <row r="143" ht="15.75" customHeight="1">
      <c r="A143" s="39"/>
      <c r="B143" s="41"/>
      <c r="C143" s="41"/>
      <c r="D143" s="41"/>
      <c r="E143" s="41"/>
      <c r="F143" s="41"/>
      <c r="G143" s="41"/>
      <c r="H143" s="41"/>
      <c r="I143" s="41"/>
      <c r="J143" s="41"/>
      <c r="K143" s="41"/>
      <c r="L143" s="41"/>
      <c r="M143" s="41"/>
      <c r="N143" s="41"/>
      <c r="O143" s="41"/>
      <c r="P143" s="42"/>
      <c r="Q143" s="41"/>
    </row>
    <row r="144" ht="15.75" customHeight="1">
      <c r="A144" s="39"/>
      <c r="B144" s="41"/>
      <c r="C144" s="41"/>
      <c r="D144" s="41"/>
      <c r="E144" s="41"/>
      <c r="F144" s="41"/>
      <c r="G144" s="41"/>
      <c r="H144" s="41"/>
      <c r="I144" s="41"/>
      <c r="J144" s="41"/>
      <c r="K144" s="41"/>
      <c r="L144" s="41"/>
      <c r="M144" s="41"/>
      <c r="N144" s="41"/>
      <c r="O144" s="41"/>
      <c r="P144" s="42"/>
      <c r="Q144" s="41"/>
    </row>
    <row r="145" ht="15.75" customHeight="1">
      <c r="A145" s="39"/>
      <c r="B145" s="41"/>
      <c r="C145" s="41"/>
      <c r="D145" s="41"/>
      <c r="E145" s="41"/>
      <c r="F145" s="41"/>
      <c r="G145" s="41"/>
      <c r="H145" s="41"/>
      <c r="I145" s="41"/>
      <c r="J145" s="41"/>
      <c r="K145" s="41"/>
      <c r="L145" s="41"/>
      <c r="M145" s="41"/>
      <c r="N145" s="41"/>
      <c r="O145" s="41"/>
      <c r="P145" s="42"/>
      <c r="Q145" s="41"/>
    </row>
    <row r="146" ht="15.75" customHeight="1">
      <c r="A146" s="39"/>
      <c r="B146" s="41"/>
      <c r="C146" s="41"/>
      <c r="D146" s="41"/>
      <c r="E146" s="41"/>
      <c r="F146" s="41"/>
      <c r="G146" s="41"/>
      <c r="H146" s="41"/>
      <c r="I146" s="41"/>
      <c r="J146" s="41"/>
      <c r="K146" s="41"/>
      <c r="L146" s="41"/>
      <c r="M146" s="41"/>
      <c r="N146" s="41"/>
      <c r="O146" s="41"/>
      <c r="P146" s="42"/>
      <c r="Q146" s="41"/>
    </row>
    <row r="147" ht="15.75" customHeight="1">
      <c r="A147" s="39"/>
      <c r="B147" s="41"/>
      <c r="C147" s="41"/>
      <c r="D147" s="41"/>
      <c r="E147" s="41"/>
      <c r="F147" s="41"/>
      <c r="G147" s="41"/>
      <c r="H147" s="41"/>
      <c r="I147" s="41"/>
      <c r="J147" s="41"/>
      <c r="K147" s="41"/>
      <c r="L147" s="41"/>
      <c r="M147" s="41"/>
      <c r="N147" s="41"/>
      <c r="O147" s="41"/>
      <c r="P147" s="42"/>
      <c r="Q147" s="41"/>
    </row>
    <row r="148" ht="15.75" customHeight="1">
      <c r="A148" s="39"/>
      <c r="B148" s="41"/>
      <c r="C148" s="41"/>
      <c r="D148" s="41"/>
      <c r="E148" s="41"/>
      <c r="F148" s="41"/>
      <c r="G148" s="41"/>
      <c r="H148" s="41"/>
      <c r="I148" s="41"/>
      <c r="J148" s="41"/>
      <c r="K148" s="41"/>
      <c r="L148" s="41"/>
      <c r="M148" s="41"/>
      <c r="N148" s="41"/>
      <c r="O148" s="41"/>
      <c r="P148" s="42"/>
      <c r="Q148" s="41"/>
    </row>
    <row r="149" ht="15.75" customHeight="1">
      <c r="A149" s="39"/>
      <c r="B149" s="41"/>
      <c r="C149" s="41"/>
      <c r="D149" s="41"/>
      <c r="E149" s="41"/>
      <c r="F149" s="41"/>
      <c r="G149" s="41"/>
      <c r="H149" s="41"/>
      <c r="I149" s="41"/>
      <c r="J149" s="41"/>
      <c r="K149" s="41"/>
      <c r="L149" s="41"/>
      <c r="M149" s="41"/>
      <c r="N149" s="41"/>
      <c r="O149" s="41"/>
      <c r="P149" s="42"/>
      <c r="Q149" s="41"/>
    </row>
    <row r="150" ht="15.75" customHeight="1">
      <c r="A150" s="39"/>
      <c r="B150" s="41"/>
      <c r="C150" s="41"/>
      <c r="D150" s="41"/>
      <c r="E150" s="41"/>
      <c r="F150" s="41"/>
      <c r="G150" s="41"/>
      <c r="H150" s="41"/>
      <c r="I150" s="41"/>
      <c r="J150" s="41"/>
      <c r="K150" s="41"/>
      <c r="L150" s="41"/>
      <c r="M150" s="41"/>
      <c r="N150" s="41"/>
      <c r="O150" s="41"/>
      <c r="P150" s="42"/>
      <c r="Q150" s="41"/>
    </row>
    <row r="151" ht="15.75" customHeight="1">
      <c r="A151" s="39"/>
      <c r="B151" s="41"/>
      <c r="C151" s="41"/>
      <c r="D151" s="41"/>
      <c r="E151" s="41"/>
      <c r="F151" s="41"/>
      <c r="G151" s="41"/>
      <c r="H151" s="41"/>
      <c r="I151" s="41"/>
      <c r="J151" s="41"/>
      <c r="K151" s="41"/>
      <c r="L151" s="41"/>
      <c r="M151" s="41"/>
      <c r="N151" s="41"/>
      <c r="O151" s="41"/>
      <c r="P151" s="42"/>
      <c r="Q151" s="41"/>
    </row>
    <row r="152" ht="15.75" customHeight="1">
      <c r="A152" s="39"/>
      <c r="B152" s="41"/>
      <c r="C152" s="41"/>
      <c r="D152" s="41"/>
      <c r="E152" s="41"/>
      <c r="F152" s="41"/>
      <c r="G152" s="41"/>
      <c r="H152" s="41"/>
      <c r="I152" s="41"/>
      <c r="J152" s="41"/>
      <c r="K152" s="41"/>
      <c r="L152" s="41"/>
      <c r="M152" s="41"/>
      <c r="N152" s="41"/>
      <c r="O152" s="41"/>
      <c r="P152" s="42"/>
      <c r="Q152" s="41"/>
    </row>
    <row r="153" ht="15.75" customHeight="1">
      <c r="A153" s="39"/>
      <c r="B153" s="41"/>
      <c r="C153" s="41"/>
      <c r="D153" s="41"/>
      <c r="E153" s="41"/>
      <c r="F153" s="41"/>
      <c r="G153" s="41"/>
      <c r="H153" s="41"/>
      <c r="I153" s="41"/>
      <c r="J153" s="41"/>
      <c r="K153" s="41"/>
      <c r="L153" s="41"/>
      <c r="M153" s="41"/>
      <c r="N153" s="41"/>
      <c r="O153" s="41"/>
      <c r="P153" s="42"/>
      <c r="Q153" s="41"/>
    </row>
    <row r="154" ht="15.75" customHeight="1">
      <c r="A154" s="39"/>
      <c r="B154" s="41"/>
      <c r="C154" s="41"/>
      <c r="D154" s="41"/>
      <c r="E154" s="41"/>
      <c r="F154" s="41"/>
      <c r="G154" s="41"/>
      <c r="H154" s="41"/>
      <c r="I154" s="41"/>
      <c r="J154" s="41"/>
      <c r="K154" s="41"/>
      <c r="L154" s="41"/>
      <c r="M154" s="41"/>
      <c r="N154" s="41"/>
      <c r="O154" s="41"/>
      <c r="P154" s="42"/>
      <c r="Q154" s="41"/>
    </row>
    <row r="155" ht="15.75" customHeight="1">
      <c r="A155" s="39"/>
      <c r="B155" s="41"/>
      <c r="C155" s="41"/>
      <c r="D155" s="41"/>
      <c r="E155" s="41"/>
      <c r="F155" s="41"/>
      <c r="G155" s="41"/>
      <c r="H155" s="41"/>
      <c r="I155" s="41"/>
      <c r="J155" s="41"/>
      <c r="K155" s="41"/>
      <c r="L155" s="41"/>
      <c r="M155" s="41"/>
      <c r="N155" s="41"/>
      <c r="O155" s="41"/>
      <c r="P155" s="42"/>
      <c r="Q155" s="41"/>
    </row>
    <row r="156" ht="15.75" customHeight="1">
      <c r="A156" s="39"/>
      <c r="B156" s="41"/>
      <c r="C156" s="41"/>
      <c r="D156" s="41"/>
      <c r="E156" s="41"/>
      <c r="F156" s="41"/>
      <c r="G156" s="41"/>
      <c r="H156" s="41"/>
      <c r="I156" s="41"/>
      <c r="J156" s="41"/>
      <c r="K156" s="41"/>
      <c r="L156" s="41"/>
      <c r="M156" s="41"/>
      <c r="N156" s="41"/>
      <c r="O156" s="41"/>
      <c r="P156" s="42"/>
      <c r="Q156" s="41"/>
    </row>
    <row r="157" ht="15.75" customHeight="1">
      <c r="A157" s="39"/>
      <c r="B157" s="41"/>
      <c r="C157" s="41"/>
      <c r="D157" s="41"/>
      <c r="E157" s="41"/>
      <c r="F157" s="41"/>
      <c r="G157" s="41"/>
      <c r="H157" s="41"/>
      <c r="I157" s="41"/>
      <c r="J157" s="41"/>
      <c r="K157" s="41"/>
      <c r="L157" s="41"/>
      <c r="M157" s="41"/>
      <c r="N157" s="41"/>
      <c r="O157" s="41"/>
      <c r="P157" s="42"/>
      <c r="Q157" s="41"/>
    </row>
    <row r="158" ht="15.75" customHeight="1">
      <c r="A158" s="39"/>
      <c r="B158" s="41"/>
      <c r="C158" s="41"/>
      <c r="D158" s="41"/>
      <c r="E158" s="41"/>
      <c r="F158" s="41"/>
      <c r="G158" s="41"/>
      <c r="H158" s="41"/>
      <c r="I158" s="41"/>
      <c r="J158" s="41"/>
      <c r="K158" s="41"/>
      <c r="L158" s="41"/>
      <c r="M158" s="41"/>
      <c r="N158" s="41"/>
      <c r="O158" s="41"/>
      <c r="P158" s="42"/>
      <c r="Q158" s="41"/>
    </row>
    <row r="159" ht="15.75" customHeight="1">
      <c r="A159" s="39"/>
      <c r="B159" s="41"/>
      <c r="C159" s="41"/>
      <c r="D159" s="41"/>
      <c r="E159" s="41"/>
      <c r="F159" s="41"/>
      <c r="G159" s="41"/>
      <c r="H159" s="41"/>
      <c r="I159" s="41"/>
      <c r="J159" s="41"/>
      <c r="K159" s="41"/>
      <c r="L159" s="41"/>
      <c r="M159" s="41"/>
      <c r="N159" s="41"/>
      <c r="O159" s="41"/>
      <c r="P159" s="42"/>
      <c r="Q159" s="41"/>
    </row>
    <row r="160" ht="15.75" customHeight="1">
      <c r="A160" s="39"/>
      <c r="B160" s="41"/>
      <c r="C160" s="41"/>
      <c r="D160" s="41"/>
      <c r="E160" s="41"/>
      <c r="F160" s="41"/>
      <c r="G160" s="41"/>
      <c r="H160" s="41"/>
      <c r="I160" s="41"/>
      <c r="J160" s="41"/>
      <c r="K160" s="41"/>
      <c r="L160" s="41"/>
      <c r="M160" s="41"/>
      <c r="N160" s="41"/>
      <c r="O160" s="41"/>
      <c r="P160" s="42"/>
      <c r="Q160" s="41"/>
    </row>
    <row r="161" ht="15.75" customHeight="1">
      <c r="A161" s="39"/>
      <c r="B161" s="41"/>
      <c r="C161" s="41"/>
      <c r="D161" s="41"/>
      <c r="E161" s="41"/>
      <c r="F161" s="41"/>
      <c r="G161" s="41"/>
      <c r="H161" s="41"/>
      <c r="I161" s="41"/>
      <c r="J161" s="41"/>
      <c r="K161" s="41"/>
      <c r="L161" s="41"/>
      <c r="M161" s="41"/>
      <c r="N161" s="41"/>
      <c r="O161" s="41"/>
      <c r="P161" s="42"/>
      <c r="Q161" s="41"/>
    </row>
    <row r="162" ht="15.75" customHeight="1">
      <c r="A162" s="39"/>
      <c r="B162" s="41"/>
      <c r="C162" s="41"/>
      <c r="D162" s="41"/>
      <c r="E162" s="41"/>
      <c r="F162" s="41"/>
      <c r="G162" s="41"/>
      <c r="H162" s="41"/>
      <c r="I162" s="41"/>
      <c r="J162" s="41"/>
      <c r="K162" s="41"/>
      <c r="L162" s="41"/>
      <c r="M162" s="41"/>
      <c r="N162" s="41"/>
      <c r="O162" s="41"/>
      <c r="P162" s="42"/>
      <c r="Q162" s="41"/>
    </row>
    <row r="163" ht="15.75" customHeight="1">
      <c r="A163" s="39"/>
      <c r="B163" s="41"/>
      <c r="C163" s="41"/>
      <c r="D163" s="41"/>
      <c r="E163" s="41"/>
      <c r="F163" s="41"/>
      <c r="G163" s="41"/>
      <c r="H163" s="41"/>
      <c r="I163" s="41"/>
      <c r="J163" s="41"/>
      <c r="K163" s="41"/>
      <c r="L163" s="41"/>
      <c r="M163" s="41"/>
      <c r="N163" s="41"/>
      <c r="O163" s="41"/>
      <c r="P163" s="42"/>
      <c r="Q163" s="41"/>
    </row>
    <row r="164" ht="15.75" customHeight="1">
      <c r="A164" s="39"/>
      <c r="B164" s="41"/>
      <c r="C164" s="41"/>
      <c r="D164" s="41"/>
      <c r="E164" s="41"/>
      <c r="F164" s="41"/>
      <c r="G164" s="41"/>
      <c r="H164" s="41"/>
      <c r="I164" s="41"/>
      <c r="J164" s="41"/>
      <c r="K164" s="41"/>
      <c r="L164" s="41"/>
      <c r="M164" s="41"/>
      <c r="N164" s="41"/>
      <c r="O164" s="41"/>
      <c r="P164" s="42"/>
      <c r="Q164" s="41"/>
    </row>
    <row r="165" ht="15.75" customHeight="1">
      <c r="A165" s="39"/>
      <c r="B165" s="41"/>
      <c r="C165" s="41"/>
      <c r="D165" s="41"/>
      <c r="E165" s="41"/>
      <c r="F165" s="41"/>
      <c r="G165" s="41"/>
      <c r="H165" s="41"/>
      <c r="I165" s="41"/>
      <c r="J165" s="41"/>
      <c r="K165" s="41"/>
      <c r="L165" s="41"/>
      <c r="M165" s="41"/>
      <c r="N165" s="41"/>
      <c r="O165" s="41"/>
      <c r="P165" s="42"/>
      <c r="Q165" s="41"/>
    </row>
    <row r="166" ht="15.75" customHeight="1">
      <c r="A166" s="39"/>
      <c r="B166" s="41"/>
      <c r="C166" s="41"/>
      <c r="D166" s="41"/>
      <c r="E166" s="41"/>
      <c r="F166" s="41"/>
      <c r="G166" s="41"/>
      <c r="H166" s="41"/>
      <c r="I166" s="41"/>
      <c r="J166" s="41"/>
      <c r="K166" s="41"/>
      <c r="L166" s="41"/>
      <c r="M166" s="41"/>
      <c r="N166" s="41"/>
      <c r="O166" s="41"/>
      <c r="P166" s="42"/>
      <c r="Q166" s="41"/>
    </row>
    <row r="167" ht="15.75" customHeight="1">
      <c r="A167" s="39"/>
      <c r="B167" s="41"/>
      <c r="C167" s="41"/>
      <c r="D167" s="41"/>
      <c r="E167" s="41"/>
      <c r="F167" s="41"/>
      <c r="G167" s="41"/>
      <c r="H167" s="41"/>
      <c r="I167" s="41"/>
      <c r="J167" s="41"/>
      <c r="K167" s="41"/>
      <c r="L167" s="41"/>
      <c r="M167" s="41"/>
      <c r="N167" s="41"/>
      <c r="O167" s="41"/>
      <c r="P167" s="42"/>
      <c r="Q167" s="41"/>
    </row>
    <row r="168" ht="15.75" customHeight="1">
      <c r="A168" s="39"/>
      <c r="B168" s="41"/>
      <c r="C168" s="41"/>
      <c r="D168" s="41"/>
      <c r="E168" s="41"/>
      <c r="F168" s="41"/>
      <c r="G168" s="41"/>
      <c r="H168" s="41"/>
      <c r="I168" s="41"/>
      <c r="J168" s="41"/>
      <c r="K168" s="41"/>
      <c r="L168" s="41"/>
      <c r="M168" s="41"/>
      <c r="N168" s="41"/>
      <c r="O168" s="41"/>
      <c r="P168" s="42"/>
      <c r="Q168" s="41"/>
    </row>
    <row r="169" ht="15.75" customHeight="1">
      <c r="A169" s="39"/>
      <c r="B169" s="41"/>
      <c r="C169" s="41"/>
      <c r="D169" s="41"/>
      <c r="E169" s="41"/>
      <c r="F169" s="41"/>
      <c r="G169" s="41"/>
      <c r="H169" s="41"/>
      <c r="I169" s="41"/>
      <c r="J169" s="41"/>
      <c r="K169" s="41"/>
      <c r="L169" s="41"/>
      <c r="M169" s="41"/>
      <c r="N169" s="41"/>
      <c r="O169" s="41"/>
      <c r="P169" s="42"/>
      <c r="Q169" s="41"/>
    </row>
    <row r="170" ht="15.75" customHeight="1">
      <c r="A170" s="39"/>
      <c r="B170" s="41"/>
      <c r="C170" s="41"/>
      <c r="D170" s="41"/>
      <c r="E170" s="41"/>
      <c r="F170" s="41"/>
      <c r="G170" s="41"/>
      <c r="H170" s="41"/>
      <c r="I170" s="41"/>
      <c r="J170" s="41"/>
      <c r="K170" s="41"/>
      <c r="L170" s="41"/>
      <c r="M170" s="41"/>
      <c r="N170" s="41"/>
      <c r="O170" s="41"/>
      <c r="P170" s="42"/>
      <c r="Q170" s="41"/>
    </row>
    <row r="171" ht="15.75" customHeight="1">
      <c r="A171" s="39"/>
      <c r="B171" s="41"/>
      <c r="C171" s="41"/>
      <c r="D171" s="41"/>
      <c r="E171" s="41"/>
      <c r="F171" s="41"/>
      <c r="G171" s="41"/>
      <c r="H171" s="41"/>
      <c r="I171" s="41"/>
      <c r="J171" s="41"/>
      <c r="K171" s="41"/>
      <c r="L171" s="41"/>
      <c r="M171" s="41"/>
      <c r="N171" s="41"/>
      <c r="O171" s="41"/>
      <c r="P171" s="42"/>
      <c r="Q171" s="41"/>
    </row>
    <row r="172" ht="15.75" customHeight="1">
      <c r="A172" s="39"/>
      <c r="B172" s="41"/>
      <c r="C172" s="41"/>
      <c r="D172" s="41"/>
      <c r="E172" s="41"/>
      <c r="F172" s="41"/>
      <c r="G172" s="41"/>
      <c r="H172" s="41"/>
      <c r="I172" s="41"/>
      <c r="J172" s="41"/>
      <c r="K172" s="41"/>
      <c r="L172" s="41"/>
      <c r="M172" s="41"/>
      <c r="N172" s="41"/>
      <c r="O172" s="41"/>
      <c r="P172" s="42"/>
      <c r="Q172" s="41"/>
    </row>
    <row r="173" ht="15.75" customHeight="1">
      <c r="A173" s="39"/>
      <c r="B173" s="41"/>
      <c r="C173" s="41"/>
      <c r="D173" s="41"/>
      <c r="E173" s="41"/>
      <c r="F173" s="41"/>
      <c r="G173" s="41"/>
      <c r="H173" s="41"/>
      <c r="I173" s="41"/>
      <c r="J173" s="41"/>
      <c r="K173" s="41"/>
      <c r="L173" s="41"/>
      <c r="M173" s="41"/>
      <c r="N173" s="41"/>
      <c r="O173" s="41"/>
      <c r="P173" s="42"/>
      <c r="Q173" s="41"/>
    </row>
    <row r="174" ht="15.75" customHeight="1">
      <c r="A174" s="39"/>
      <c r="B174" s="41"/>
      <c r="C174" s="41"/>
      <c r="D174" s="41"/>
      <c r="E174" s="41"/>
      <c r="F174" s="41"/>
      <c r="G174" s="41"/>
      <c r="H174" s="41"/>
      <c r="I174" s="41"/>
      <c r="J174" s="41"/>
      <c r="K174" s="41"/>
      <c r="L174" s="41"/>
      <c r="M174" s="41"/>
      <c r="N174" s="41"/>
      <c r="O174" s="41"/>
      <c r="P174" s="42"/>
      <c r="Q174" s="41"/>
    </row>
    <row r="175" ht="15.75" customHeight="1">
      <c r="A175" s="39"/>
      <c r="B175" s="41"/>
      <c r="C175" s="41"/>
      <c r="D175" s="41"/>
      <c r="E175" s="41"/>
      <c r="F175" s="41"/>
      <c r="G175" s="41"/>
      <c r="H175" s="41"/>
      <c r="I175" s="41"/>
      <c r="J175" s="41"/>
      <c r="K175" s="41"/>
      <c r="L175" s="41"/>
      <c r="M175" s="41"/>
      <c r="N175" s="41"/>
      <c r="O175" s="41"/>
      <c r="P175" s="42"/>
      <c r="Q175" s="41"/>
    </row>
    <row r="176" ht="15.75" customHeight="1">
      <c r="A176" s="39"/>
      <c r="B176" s="41"/>
      <c r="C176" s="41"/>
      <c r="D176" s="41"/>
      <c r="E176" s="41"/>
      <c r="F176" s="41"/>
      <c r="G176" s="41"/>
      <c r="H176" s="41"/>
      <c r="I176" s="41"/>
      <c r="J176" s="41"/>
      <c r="K176" s="41"/>
      <c r="L176" s="41"/>
      <c r="M176" s="41"/>
      <c r="N176" s="41"/>
      <c r="O176" s="41"/>
      <c r="P176" s="42"/>
      <c r="Q176" s="41"/>
    </row>
    <row r="177" ht="15.75" customHeight="1">
      <c r="A177" s="39"/>
      <c r="B177" s="41"/>
      <c r="C177" s="41"/>
      <c r="D177" s="41"/>
      <c r="E177" s="41"/>
      <c r="F177" s="41"/>
      <c r="G177" s="41"/>
      <c r="H177" s="41"/>
      <c r="I177" s="41"/>
      <c r="J177" s="41"/>
      <c r="K177" s="41"/>
      <c r="L177" s="41"/>
      <c r="M177" s="41"/>
      <c r="N177" s="41"/>
      <c r="O177" s="41"/>
      <c r="P177" s="42"/>
      <c r="Q177" s="41"/>
    </row>
    <row r="178" ht="15.75" customHeight="1">
      <c r="A178" s="39"/>
      <c r="B178" s="41"/>
      <c r="C178" s="41"/>
      <c r="D178" s="41"/>
      <c r="E178" s="41"/>
      <c r="F178" s="41"/>
      <c r="G178" s="41"/>
      <c r="H178" s="41"/>
      <c r="I178" s="41"/>
      <c r="J178" s="41"/>
      <c r="K178" s="41"/>
      <c r="L178" s="41"/>
      <c r="M178" s="41"/>
      <c r="N178" s="41"/>
      <c r="O178" s="41"/>
      <c r="P178" s="42"/>
      <c r="Q178" s="41"/>
    </row>
    <row r="179" ht="15.75" customHeight="1">
      <c r="A179" s="39"/>
      <c r="B179" s="41"/>
      <c r="C179" s="41"/>
      <c r="D179" s="41"/>
      <c r="E179" s="41"/>
      <c r="F179" s="41"/>
      <c r="G179" s="41"/>
      <c r="H179" s="41"/>
      <c r="I179" s="41"/>
      <c r="J179" s="41"/>
      <c r="K179" s="41"/>
      <c r="L179" s="41"/>
      <c r="M179" s="41"/>
      <c r="N179" s="41"/>
      <c r="O179" s="41"/>
      <c r="P179" s="42"/>
      <c r="Q179" s="41"/>
    </row>
    <row r="180" ht="15.75" customHeight="1">
      <c r="A180" s="39"/>
      <c r="B180" s="41"/>
      <c r="C180" s="41"/>
      <c r="D180" s="41"/>
      <c r="E180" s="41"/>
      <c r="F180" s="41"/>
      <c r="G180" s="41"/>
      <c r="H180" s="41"/>
      <c r="I180" s="41"/>
      <c r="J180" s="41"/>
      <c r="K180" s="41"/>
      <c r="L180" s="41"/>
      <c r="M180" s="41"/>
      <c r="N180" s="41"/>
      <c r="O180" s="41"/>
      <c r="P180" s="42"/>
      <c r="Q180" s="41"/>
    </row>
    <row r="181" ht="15.75" customHeight="1">
      <c r="A181" s="39"/>
      <c r="B181" s="41"/>
      <c r="C181" s="41"/>
      <c r="D181" s="41"/>
      <c r="E181" s="41"/>
      <c r="F181" s="41"/>
      <c r="G181" s="41"/>
      <c r="H181" s="41"/>
      <c r="I181" s="41"/>
      <c r="J181" s="41"/>
      <c r="K181" s="41"/>
      <c r="L181" s="41"/>
      <c r="M181" s="41"/>
      <c r="N181" s="41"/>
      <c r="O181" s="41"/>
      <c r="P181" s="42"/>
      <c r="Q181" s="41"/>
    </row>
    <row r="182" ht="15.75" customHeight="1">
      <c r="A182" s="39"/>
      <c r="B182" s="41"/>
      <c r="C182" s="41"/>
      <c r="D182" s="41"/>
      <c r="E182" s="41"/>
      <c r="F182" s="41"/>
      <c r="G182" s="41"/>
      <c r="H182" s="41"/>
      <c r="I182" s="41"/>
      <c r="J182" s="41"/>
      <c r="K182" s="41"/>
      <c r="L182" s="41"/>
      <c r="M182" s="41"/>
      <c r="N182" s="41"/>
      <c r="O182" s="41"/>
      <c r="P182" s="42"/>
      <c r="Q182" s="41"/>
    </row>
    <row r="183" ht="15.75" customHeight="1">
      <c r="A183" s="39"/>
      <c r="B183" s="41"/>
      <c r="C183" s="41"/>
      <c r="D183" s="41"/>
      <c r="E183" s="41"/>
      <c r="F183" s="41"/>
      <c r="G183" s="41"/>
      <c r="H183" s="41"/>
      <c r="I183" s="41"/>
      <c r="J183" s="41"/>
      <c r="K183" s="41"/>
      <c r="L183" s="41"/>
      <c r="M183" s="41"/>
      <c r="N183" s="41"/>
      <c r="O183" s="41"/>
      <c r="P183" s="42"/>
      <c r="Q183" s="41"/>
    </row>
    <row r="184" ht="15.75" customHeight="1">
      <c r="A184" s="39"/>
      <c r="B184" s="41"/>
      <c r="C184" s="41"/>
      <c r="D184" s="41"/>
      <c r="E184" s="41"/>
      <c r="F184" s="41"/>
      <c r="G184" s="41"/>
      <c r="H184" s="41"/>
      <c r="I184" s="41"/>
      <c r="J184" s="41"/>
      <c r="K184" s="41"/>
      <c r="L184" s="41"/>
      <c r="M184" s="41"/>
      <c r="N184" s="41"/>
      <c r="O184" s="41"/>
      <c r="P184" s="42"/>
      <c r="Q184" s="41"/>
    </row>
    <row r="185" ht="15.75" customHeight="1">
      <c r="A185" s="39"/>
      <c r="B185" s="41"/>
      <c r="C185" s="41"/>
      <c r="D185" s="41"/>
      <c r="E185" s="41"/>
      <c r="F185" s="41"/>
      <c r="G185" s="41"/>
      <c r="H185" s="41"/>
      <c r="I185" s="41"/>
      <c r="J185" s="41"/>
      <c r="K185" s="41"/>
      <c r="L185" s="41"/>
      <c r="M185" s="41"/>
      <c r="N185" s="41"/>
      <c r="O185" s="41"/>
      <c r="P185" s="42"/>
      <c r="Q185" s="41"/>
    </row>
    <row r="186" ht="15.75" customHeight="1">
      <c r="A186" s="39"/>
      <c r="B186" s="41"/>
      <c r="C186" s="41"/>
      <c r="D186" s="41"/>
      <c r="E186" s="41"/>
      <c r="F186" s="41"/>
      <c r="G186" s="41"/>
      <c r="H186" s="41"/>
      <c r="I186" s="41"/>
      <c r="J186" s="41"/>
      <c r="K186" s="41"/>
      <c r="L186" s="41"/>
      <c r="M186" s="41"/>
      <c r="N186" s="41"/>
      <c r="O186" s="41"/>
      <c r="P186" s="42"/>
      <c r="Q186" s="41"/>
    </row>
    <row r="187" ht="15.75" customHeight="1">
      <c r="A187" s="39"/>
      <c r="B187" s="41"/>
      <c r="C187" s="41"/>
      <c r="D187" s="41"/>
      <c r="E187" s="41"/>
      <c r="F187" s="41"/>
      <c r="G187" s="41"/>
      <c r="H187" s="41"/>
      <c r="I187" s="41"/>
      <c r="J187" s="41"/>
      <c r="K187" s="41"/>
      <c r="L187" s="41"/>
      <c r="M187" s="41"/>
      <c r="N187" s="41"/>
      <c r="O187" s="41"/>
      <c r="P187" s="42"/>
      <c r="Q187" s="41"/>
    </row>
    <row r="188" ht="15.75" customHeight="1">
      <c r="A188" s="39"/>
      <c r="B188" s="41"/>
      <c r="C188" s="41"/>
      <c r="D188" s="41"/>
      <c r="E188" s="41"/>
      <c r="F188" s="41"/>
      <c r="G188" s="41"/>
      <c r="H188" s="41"/>
      <c r="I188" s="41"/>
      <c r="J188" s="41"/>
      <c r="K188" s="41"/>
      <c r="L188" s="41"/>
      <c r="M188" s="41"/>
      <c r="N188" s="41"/>
      <c r="O188" s="41"/>
      <c r="P188" s="42"/>
      <c r="Q188" s="41"/>
    </row>
    <row r="189" ht="15.75" customHeight="1">
      <c r="A189" s="39"/>
      <c r="B189" s="41"/>
      <c r="C189" s="41"/>
      <c r="D189" s="41"/>
      <c r="E189" s="41"/>
      <c r="F189" s="41"/>
      <c r="G189" s="41"/>
      <c r="H189" s="41"/>
      <c r="I189" s="41"/>
      <c r="J189" s="41"/>
      <c r="K189" s="41"/>
      <c r="L189" s="41"/>
      <c r="M189" s="41"/>
      <c r="N189" s="41"/>
      <c r="O189" s="41"/>
      <c r="P189" s="42"/>
      <c r="Q189" s="41"/>
    </row>
    <row r="190" ht="15.75" customHeight="1">
      <c r="A190" s="39"/>
      <c r="B190" s="41"/>
      <c r="C190" s="41"/>
      <c r="D190" s="41"/>
      <c r="E190" s="41"/>
      <c r="F190" s="41"/>
      <c r="G190" s="41"/>
      <c r="H190" s="41"/>
      <c r="I190" s="41"/>
      <c r="J190" s="41"/>
      <c r="K190" s="41"/>
      <c r="L190" s="41"/>
      <c r="M190" s="41"/>
      <c r="N190" s="41"/>
      <c r="O190" s="41"/>
      <c r="P190" s="42"/>
      <c r="Q190" s="41"/>
    </row>
    <row r="191" ht="15.75" customHeight="1">
      <c r="A191" s="39"/>
      <c r="B191" s="41"/>
      <c r="C191" s="41"/>
      <c r="D191" s="41"/>
      <c r="E191" s="41"/>
      <c r="F191" s="41"/>
      <c r="G191" s="41"/>
      <c r="H191" s="41"/>
      <c r="I191" s="41"/>
      <c r="J191" s="41"/>
      <c r="K191" s="41"/>
      <c r="L191" s="41"/>
      <c r="M191" s="41"/>
      <c r="N191" s="41"/>
      <c r="O191" s="41"/>
      <c r="P191" s="42"/>
      <c r="Q191" s="41"/>
    </row>
    <row r="192" ht="15.75" customHeight="1">
      <c r="A192" s="39"/>
      <c r="B192" s="41"/>
      <c r="C192" s="41"/>
      <c r="D192" s="41"/>
      <c r="E192" s="41"/>
      <c r="F192" s="41"/>
      <c r="G192" s="41"/>
      <c r="H192" s="41"/>
      <c r="I192" s="41"/>
      <c r="J192" s="41"/>
      <c r="K192" s="41"/>
      <c r="L192" s="41"/>
      <c r="M192" s="41"/>
      <c r="N192" s="41"/>
      <c r="O192" s="41"/>
      <c r="P192" s="42"/>
      <c r="Q192" s="41"/>
    </row>
    <row r="193" ht="15.75" customHeight="1">
      <c r="A193" s="39"/>
      <c r="B193" s="41"/>
      <c r="C193" s="41"/>
      <c r="D193" s="41"/>
      <c r="E193" s="41"/>
      <c r="F193" s="41"/>
      <c r="G193" s="41"/>
      <c r="H193" s="41"/>
      <c r="I193" s="41"/>
      <c r="J193" s="41"/>
      <c r="K193" s="41"/>
      <c r="L193" s="41"/>
      <c r="M193" s="41"/>
      <c r="N193" s="41"/>
      <c r="O193" s="41"/>
      <c r="P193" s="42"/>
      <c r="Q193" s="41"/>
    </row>
    <row r="194" ht="15.75" customHeight="1">
      <c r="A194" s="39"/>
      <c r="B194" s="41"/>
      <c r="C194" s="41"/>
      <c r="D194" s="41"/>
      <c r="E194" s="41"/>
      <c r="F194" s="41"/>
      <c r="G194" s="41"/>
      <c r="H194" s="41"/>
      <c r="I194" s="41"/>
      <c r="J194" s="41"/>
      <c r="K194" s="41"/>
      <c r="L194" s="41"/>
      <c r="M194" s="41"/>
      <c r="N194" s="41"/>
      <c r="O194" s="41"/>
      <c r="P194" s="42"/>
      <c r="Q194" s="41"/>
    </row>
    <row r="195" ht="15.75" customHeight="1">
      <c r="A195" s="39"/>
      <c r="B195" s="41"/>
      <c r="C195" s="41"/>
      <c r="D195" s="41"/>
      <c r="E195" s="41"/>
      <c r="F195" s="41"/>
      <c r="G195" s="41"/>
      <c r="H195" s="41"/>
      <c r="I195" s="41"/>
      <c r="J195" s="41"/>
      <c r="K195" s="41"/>
      <c r="L195" s="41"/>
      <c r="M195" s="41"/>
      <c r="N195" s="41"/>
      <c r="O195" s="41"/>
      <c r="P195" s="42"/>
      <c r="Q195" s="41"/>
    </row>
    <row r="196" ht="15.75" customHeight="1">
      <c r="A196" s="39"/>
      <c r="B196" s="41"/>
      <c r="C196" s="41"/>
      <c r="D196" s="41"/>
      <c r="E196" s="41"/>
      <c r="F196" s="41"/>
      <c r="G196" s="41"/>
      <c r="H196" s="41"/>
      <c r="I196" s="41"/>
      <c r="J196" s="41"/>
      <c r="K196" s="41"/>
      <c r="L196" s="41"/>
      <c r="M196" s="41"/>
      <c r="N196" s="41"/>
      <c r="O196" s="41"/>
      <c r="P196" s="42"/>
      <c r="Q196" s="41"/>
    </row>
    <row r="197" ht="15.75" customHeight="1">
      <c r="A197" s="39"/>
      <c r="B197" s="41"/>
      <c r="C197" s="41"/>
      <c r="D197" s="41"/>
      <c r="E197" s="41"/>
      <c r="F197" s="41"/>
      <c r="G197" s="41"/>
      <c r="H197" s="41"/>
      <c r="I197" s="41"/>
      <c r="J197" s="41"/>
      <c r="K197" s="41"/>
      <c r="L197" s="41"/>
      <c r="M197" s="41"/>
      <c r="N197" s="41"/>
      <c r="O197" s="41"/>
      <c r="P197" s="42"/>
      <c r="Q197" s="41"/>
    </row>
    <row r="198" ht="15.75" customHeight="1">
      <c r="A198" s="39"/>
      <c r="B198" s="41"/>
      <c r="C198" s="41"/>
      <c r="D198" s="41"/>
      <c r="E198" s="41"/>
      <c r="F198" s="41"/>
      <c r="G198" s="41"/>
      <c r="H198" s="41"/>
      <c r="I198" s="41"/>
      <c r="J198" s="41"/>
      <c r="K198" s="41"/>
      <c r="L198" s="41"/>
      <c r="M198" s="41"/>
      <c r="N198" s="41"/>
      <c r="O198" s="41"/>
      <c r="P198" s="42"/>
      <c r="Q198" s="41"/>
    </row>
    <row r="199" ht="15.75" customHeight="1">
      <c r="A199" s="39"/>
      <c r="B199" s="41"/>
      <c r="C199" s="41"/>
      <c r="D199" s="41"/>
      <c r="E199" s="41"/>
      <c r="F199" s="41"/>
      <c r="G199" s="41"/>
      <c r="H199" s="41"/>
      <c r="I199" s="41"/>
      <c r="J199" s="41"/>
      <c r="K199" s="41"/>
      <c r="L199" s="41"/>
      <c r="M199" s="41"/>
      <c r="N199" s="41"/>
      <c r="O199" s="41"/>
      <c r="P199" s="42"/>
      <c r="Q199" s="41"/>
    </row>
    <row r="200" ht="15.75" customHeight="1">
      <c r="A200" s="39"/>
      <c r="B200" s="41"/>
      <c r="C200" s="41"/>
      <c r="D200" s="41"/>
      <c r="E200" s="41"/>
      <c r="F200" s="41"/>
      <c r="G200" s="41"/>
      <c r="H200" s="41"/>
      <c r="I200" s="41"/>
      <c r="J200" s="41"/>
      <c r="K200" s="41"/>
      <c r="L200" s="41"/>
      <c r="M200" s="41"/>
      <c r="N200" s="41"/>
      <c r="O200" s="41"/>
      <c r="P200" s="42"/>
      <c r="Q200" s="41"/>
    </row>
    <row r="201" ht="15.75" customHeight="1">
      <c r="A201" s="39"/>
      <c r="B201" s="41"/>
      <c r="C201" s="41"/>
      <c r="D201" s="41"/>
      <c r="E201" s="41"/>
      <c r="F201" s="41"/>
      <c r="G201" s="41"/>
      <c r="H201" s="41"/>
      <c r="I201" s="41"/>
      <c r="J201" s="41"/>
      <c r="K201" s="41"/>
      <c r="L201" s="41"/>
      <c r="M201" s="41"/>
      <c r="N201" s="41"/>
      <c r="O201" s="41"/>
      <c r="P201" s="42"/>
      <c r="Q201" s="41"/>
    </row>
    <row r="202" ht="15.75" customHeight="1">
      <c r="A202" s="39"/>
      <c r="B202" s="41"/>
      <c r="C202" s="41"/>
      <c r="D202" s="41"/>
      <c r="E202" s="41"/>
      <c r="F202" s="41"/>
      <c r="G202" s="41"/>
      <c r="H202" s="41"/>
      <c r="I202" s="41"/>
      <c r="J202" s="41"/>
      <c r="K202" s="41"/>
      <c r="L202" s="41"/>
      <c r="M202" s="41"/>
      <c r="N202" s="41"/>
      <c r="O202" s="41"/>
      <c r="P202" s="42"/>
      <c r="Q202" s="41"/>
    </row>
    <row r="203" ht="15.75" customHeight="1">
      <c r="A203" s="39"/>
      <c r="B203" s="41"/>
      <c r="C203" s="41"/>
      <c r="D203" s="41"/>
      <c r="E203" s="41"/>
      <c r="F203" s="41"/>
      <c r="G203" s="41"/>
      <c r="H203" s="41"/>
      <c r="I203" s="41"/>
      <c r="J203" s="41"/>
      <c r="K203" s="41"/>
      <c r="L203" s="41"/>
      <c r="M203" s="41"/>
      <c r="N203" s="41"/>
      <c r="O203" s="41"/>
      <c r="P203" s="42"/>
      <c r="Q203" s="41"/>
    </row>
    <row r="204" ht="15.75" customHeight="1">
      <c r="A204" s="39"/>
      <c r="B204" s="41"/>
      <c r="C204" s="41"/>
      <c r="D204" s="41"/>
      <c r="E204" s="41"/>
      <c r="F204" s="41"/>
      <c r="G204" s="41"/>
      <c r="H204" s="41"/>
      <c r="I204" s="41"/>
      <c r="J204" s="41"/>
      <c r="K204" s="41"/>
      <c r="L204" s="41"/>
      <c r="M204" s="41"/>
      <c r="N204" s="41"/>
      <c r="O204" s="41"/>
      <c r="P204" s="42"/>
      <c r="Q204" s="41"/>
    </row>
    <row r="205" ht="15.75" customHeight="1">
      <c r="A205" s="39"/>
      <c r="B205" s="41"/>
      <c r="C205" s="41"/>
      <c r="D205" s="41"/>
      <c r="E205" s="41"/>
      <c r="F205" s="41"/>
      <c r="G205" s="41"/>
      <c r="H205" s="41"/>
      <c r="I205" s="41"/>
      <c r="J205" s="41"/>
      <c r="K205" s="41"/>
      <c r="L205" s="41"/>
      <c r="M205" s="41"/>
      <c r="N205" s="41"/>
      <c r="O205" s="41"/>
      <c r="P205" s="42"/>
      <c r="Q205" s="41"/>
    </row>
    <row r="206" ht="15.75" customHeight="1">
      <c r="A206" s="39"/>
      <c r="B206" s="41"/>
      <c r="C206" s="41"/>
      <c r="D206" s="41"/>
      <c r="E206" s="41"/>
      <c r="F206" s="41"/>
      <c r="G206" s="41"/>
      <c r="H206" s="41"/>
      <c r="I206" s="41"/>
      <c r="J206" s="41"/>
      <c r="K206" s="41"/>
      <c r="L206" s="41"/>
      <c r="M206" s="41"/>
      <c r="N206" s="41"/>
      <c r="O206" s="41"/>
      <c r="P206" s="42"/>
      <c r="Q206" s="41"/>
    </row>
    <row r="207" ht="15.75" customHeight="1">
      <c r="A207" s="39"/>
      <c r="B207" s="41"/>
      <c r="C207" s="41"/>
      <c r="D207" s="41"/>
      <c r="E207" s="41"/>
      <c r="F207" s="41"/>
      <c r="G207" s="41"/>
      <c r="H207" s="41"/>
      <c r="I207" s="41"/>
      <c r="J207" s="41"/>
      <c r="K207" s="41"/>
      <c r="L207" s="41"/>
      <c r="M207" s="41"/>
      <c r="N207" s="41"/>
      <c r="O207" s="41"/>
      <c r="P207" s="42"/>
      <c r="Q207" s="41"/>
    </row>
    <row r="208" ht="15.75" customHeight="1">
      <c r="A208" s="39"/>
      <c r="B208" s="41"/>
      <c r="C208" s="41"/>
      <c r="D208" s="41"/>
      <c r="E208" s="41"/>
      <c r="F208" s="41"/>
      <c r="G208" s="41"/>
      <c r="H208" s="41"/>
      <c r="I208" s="41"/>
      <c r="J208" s="41"/>
      <c r="K208" s="41"/>
      <c r="L208" s="41"/>
      <c r="M208" s="41"/>
      <c r="N208" s="41"/>
      <c r="O208" s="41"/>
      <c r="P208" s="42"/>
      <c r="Q208" s="41"/>
    </row>
    <row r="209" ht="15.75" customHeight="1">
      <c r="A209" s="39"/>
      <c r="B209" s="41"/>
      <c r="C209" s="41"/>
      <c r="D209" s="41"/>
      <c r="E209" s="41"/>
      <c r="F209" s="41"/>
      <c r="G209" s="41"/>
      <c r="H209" s="41"/>
      <c r="I209" s="41"/>
      <c r="J209" s="41"/>
      <c r="K209" s="41"/>
      <c r="L209" s="41"/>
      <c r="M209" s="41"/>
      <c r="N209" s="41"/>
      <c r="O209" s="41"/>
      <c r="P209" s="42"/>
      <c r="Q209" s="41"/>
    </row>
    <row r="210" ht="15.75" customHeight="1">
      <c r="A210" s="39"/>
      <c r="B210" s="41"/>
      <c r="C210" s="41"/>
      <c r="D210" s="41"/>
      <c r="E210" s="41"/>
      <c r="F210" s="41"/>
      <c r="G210" s="41"/>
      <c r="H210" s="41"/>
      <c r="I210" s="41"/>
      <c r="J210" s="41"/>
      <c r="K210" s="41"/>
      <c r="L210" s="41"/>
      <c r="M210" s="41"/>
      <c r="N210" s="41"/>
      <c r="O210" s="41"/>
      <c r="P210" s="42"/>
      <c r="Q210" s="41"/>
    </row>
    <row r="211" ht="15.75" customHeight="1">
      <c r="A211" s="39"/>
      <c r="B211" s="41"/>
      <c r="C211" s="41"/>
      <c r="D211" s="41"/>
      <c r="E211" s="41"/>
      <c r="F211" s="41"/>
      <c r="G211" s="41"/>
      <c r="H211" s="41"/>
      <c r="I211" s="41"/>
      <c r="J211" s="41"/>
      <c r="K211" s="41"/>
      <c r="L211" s="41"/>
      <c r="M211" s="41"/>
      <c r="N211" s="41"/>
      <c r="O211" s="41"/>
      <c r="P211" s="42"/>
      <c r="Q211" s="41"/>
    </row>
    <row r="212" ht="15.75" customHeight="1">
      <c r="A212" s="39"/>
      <c r="B212" s="41"/>
      <c r="C212" s="41"/>
      <c r="D212" s="41"/>
      <c r="E212" s="41"/>
      <c r="F212" s="41"/>
      <c r="G212" s="41"/>
      <c r="H212" s="41"/>
      <c r="I212" s="41"/>
      <c r="J212" s="41"/>
      <c r="K212" s="41"/>
      <c r="L212" s="41"/>
      <c r="M212" s="41"/>
      <c r="N212" s="41"/>
      <c r="O212" s="41"/>
      <c r="P212" s="42"/>
      <c r="Q212" s="41"/>
    </row>
    <row r="213" ht="15.75" customHeight="1">
      <c r="A213" s="39"/>
      <c r="B213" s="41"/>
      <c r="C213" s="41"/>
      <c r="D213" s="41"/>
      <c r="E213" s="41"/>
      <c r="F213" s="41"/>
      <c r="G213" s="41"/>
      <c r="H213" s="41"/>
      <c r="I213" s="41"/>
      <c r="J213" s="41"/>
      <c r="K213" s="41"/>
      <c r="L213" s="41"/>
      <c r="M213" s="41"/>
      <c r="N213" s="41"/>
      <c r="O213" s="41"/>
      <c r="P213" s="42"/>
      <c r="Q213" s="41"/>
    </row>
    <row r="214" ht="15.75" customHeight="1">
      <c r="A214" s="39"/>
      <c r="B214" s="41"/>
      <c r="C214" s="41"/>
      <c r="D214" s="41"/>
      <c r="E214" s="41"/>
      <c r="F214" s="41"/>
      <c r="G214" s="41"/>
      <c r="H214" s="41"/>
      <c r="I214" s="41"/>
      <c r="J214" s="41"/>
      <c r="K214" s="41"/>
      <c r="L214" s="41"/>
      <c r="M214" s="41"/>
      <c r="N214" s="41"/>
      <c r="O214" s="41"/>
      <c r="P214" s="42"/>
      <c r="Q214" s="41"/>
    </row>
    <row r="215" ht="15.75" customHeight="1">
      <c r="A215" s="39"/>
      <c r="B215" s="41"/>
      <c r="C215" s="41"/>
      <c r="D215" s="41"/>
      <c r="E215" s="41"/>
      <c r="F215" s="41"/>
      <c r="G215" s="41"/>
      <c r="H215" s="41"/>
      <c r="I215" s="41"/>
      <c r="J215" s="41"/>
      <c r="K215" s="41"/>
      <c r="L215" s="41"/>
      <c r="M215" s="41"/>
      <c r="N215" s="41"/>
      <c r="O215" s="41"/>
      <c r="P215" s="42"/>
      <c r="Q215" s="41"/>
    </row>
    <row r="216" ht="15.75" customHeight="1">
      <c r="A216" s="39"/>
      <c r="B216" s="41"/>
      <c r="C216" s="41"/>
      <c r="D216" s="41"/>
      <c r="E216" s="41"/>
      <c r="F216" s="41"/>
      <c r="G216" s="41"/>
      <c r="H216" s="41"/>
      <c r="I216" s="41"/>
      <c r="J216" s="41"/>
      <c r="K216" s="41"/>
      <c r="L216" s="41"/>
      <c r="M216" s="41"/>
      <c r="N216" s="41"/>
      <c r="O216" s="41"/>
      <c r="P216" s="42"/>
      <c r="Q216" s="41"/>
    </row>
    <row r="217" ht="15.75" customHeight="1">
      <c r="A217" s="39"/>
      <c r="B217" s="41"/>
      <c r="C217" s="41"/>
      <c r="D217" s="41"/>
      <c r="E217" s="41"/>
      <c r="F217" s="41"/>
      <c r="G217" s="41"/>
      <c r="H217" s="41"/>
      <c r="I217" s="41"/>
      <c r="J217" s="41"/>
      <c r="K217" s="41"/>
      <c r="L217" s="41"/>
      <c r="M217" s="41"/>
      <c r="N217" s="41"/>
      <c r="O217" s="41"/>
      <c r="P217" s="42"/>
      <c r="Q217" s="41"/>
    </row>
    <row r="218" ht="15.75" customHeight="1">
      <c r="A218" s="39"/>
      <c r="B218" s="41"/>
      <c r="C218" s="41"/>
      <c r="D218" s="41"/>
      <c r="E218" s="41"/>
      <c r="F218" s="41"/>
      <c r="G218" s="41"/>
      <c r="H218" s="41"/>
      <c r="I218" s="41"/>
      <c r="J218" s="41"/>
      <c r="K218" s="41"/>
      <c r="L218" s="41"/>
      <c r="M218" s="41"/>
      <c r="N218" s="41"/>
      <c r="O218" s="41"/>
      <c r="P218" s="42"/>
      <c r="Q218" s="41"/>
    </row>
    <row r="219" ht="15.75" customHeight="1">
      <c r="A219" s="39"/>
      <c r="B219" s="41"/>
      <c r="C219" s="41"/>
      <c r="D219" s="41"/>
      <c r="E219" s="41"/>
      <c r="F219" s="41"/>
      <c r="G219" s="41"/>
      <c r="H219" s="41"/>
      <c r="I219" s="41"/>
      <c r="J219" s="41"/>
      <c r="K219" s="41"/>
      <c r="L219" s="41"/>
      <c r="M219" s="41"/>
      <c r="N219" s="41"/>
      <c r="O219" s="41"/>
      <c r="P219" s="42"/>
      <c r="Q219" s="41"/>
    </row>
    <row r="220" ht="15.75" customHeight="1">
      <c r="A220" s="39"/>
      <c r="B220" s="41"/>
      <c r="C220" s="41"/>
      <c r="D220" s="41"/>
      <c r="E220" s="41"/>
      <c r="F220" s="41"/>
      <c r="G220" s="41"/>
      <c r="H220" s="41"/>
      <c r="I220" s="41"/>
      <c r="J220" s="41"/>
      <c r="K220" s="41"/>
      <c r="L220" s="41"/>
      <c r="M220" s="41"/>
      <c r="N220" s="41"/>
      <c r="O220" s="41"/>
      <c r="P220" s="42"/>
      <c r="Q220" s="41"/>
    </row>
    <row r="221" ht="15.75" customHeight="1">
      <c r="A221" s="39"/>
      <c r="B221" s="41"/>
      <c r="C221" s="41"/>
      <c r="D221" s="41"/>
      <c r="E221" s="41"/>
      <c r="F221" s="41"/>
      <c r="G221" s="41"/>
      <c r="H221" s="41"/>
      <c r="I221" s="41"/>
      <c r="J221" s="41"/>
      <c r="K221" s="41"/>
      <c r="L221" s="41"/>
      <c r="M221" s="41"/>
      <c r="N221" s="41"/>
      <c r="O221" s="41"/>
      <c r="P221" s="42"/>
      <c r="Q221" s="41"/>
    </row>
    <row r="222" ht="15.75" customHeight="1">
      <c r="A222" s="39"/>
      <c r="B222" s="41"/>
      <c r="C222" s="41"/>
      <c r="D222" s="41"/>
      <c r="E222" s="41"/>
      <c r="F222" s="41"/>
      <c r="G222" s="41"/>
      <c r="H222" s="41"/>
      <c r="I222" s="41"/>
      <c r="J222" s="41"/>
      <c r="K222" s="41"/>
      <c r="L222" s="41"/>
      <c r="M222" s="41"/>
      <c r="N222" s="41"/>
      <c r="O222" s="41"/>
      <c r="P222" s="42"/>
      <c r="Q222" s="41"/>
    </row>
    <row r="223" ht="15.75" customHeight="1">
      <c r="A223" s="39"/>
      <c r="B223" s="41"/>
      <c r="C223" s="41"/>
      <c r="D223" s="41"/>
      <c r="E223" s="41"/>
      <c r="F223" s="41"/>
      <c r="G223" s="41"/>
      <c r="H223" s="41"/>
      <c r="I223" s="41"/>
      <c r="J223" s="41"/>
      <c r="K223" s="41"/>
      <c r="L223" s="41"/>
      <c r="M223" s="41"/>
      <c r="N223" s="41"/>
      <c r="O223" s="41"/>
      <c r="P223" s="42"/>
      <c r="Q223" s="41"/>
    </row>
    <row r="224" ht="15.75" customHeight="1">
      <c r="A224" s="39"/>
      <c r="B224" s="41"/>
      <c r="C224" s="41"/>
      <c r="D224" s="41"/>
      <c r="E224" s="41"/>
      <c r="F224" s="41"/>
      <c r="G224" s="41"/>
      <c r="H224" s="41"/>
      <c r="I224" s="41"/>
      <c r="J224" s="41"/>
      <c r="K224" s="41"/>
      <c r="L224" s="41"/>
      <c r="M224" s="41"/>
      <c r="N224" s="41"/>
      <c r="O224" s="41"/>
      <c r="P224" s="42"/>
      <c r="Q224" s="41"/>
    </row>
    <row r="225" ht="15.75" customHeight="1">
      <c r="A225" s="39"/>
      <c r="B225" s="41"/>
      <c r="C225" s="41"/>
      <c r="D225" s="41"/>
      <c r="E225" s="41"/>
      <c r="F225" s="41"/>
      <c r="G225" s="41"/>
      <c r="H225" s="41"/>
      <c r="I225" s="41"/>
      <c r="J225" s="41"/>
      <c r="K225" s="41"/>
      <c r="L225" s="41"/>
      <c r="M225" s="41"/>
      <c r="N225" s="41"/>
      <c r="O225" s="41"/>
      <c r="P225" s="42"/>
      <c r="Q225" s="41"/>
    </row>
    <row r="226" ht="15.75" customHeight="1">
      <c r="A226" s="39"/>
      <c r="B226" s="41"/>
      <c r="C226" s="41"/>
      <c r="D226" s="41"/>
      <c r="E226" s="41"/>
      <c r="F226" s="41"/>
      <c r="G226" s="41"/>
      <c r="H226" s="41"/>
      <c r="I226" s="41"/>
      <c r="J226" s="41"/>
      <c r="K226" s="41"/>
      <c r="L226" s="41"/>
      <c r="M226" s="41"/>
      <c r="N226" s="41"/>
      <c r="O226" s="41"/>
      <c r="P226" s="42"/>
      <c r="Q226" s="41"/>
    </row>
    <row r="227" ht="15.75" customHeight="1">
      <c r="A227" s="39"/>
      <c r="B227" s="41"/>
      <c r="C227" s="41"/>
      <c r="D227" s="41"/>
      <c r="E227" s="41"/>
      <c r="F227" s="41"/>
      <c r="G227" s="41"/>
      <c r="H227" s="41"/>
      <c r="I227" s="41"/>
      <c r="J227" s="41"/>
      <c r="K227" s="41"/>
      <c r="L227" s="41"/>
      <c r="M227" s="41"/>
      <c r="N227" s="41"/>
      <c r="O227" s="41"/>
      <c r="P227" s="42"/>
      <c r="Q227" s="41"/>
    </row>
    <row r="228" ht="15.75" customHeight="1">
      <c r="A228" s="39"/>
      <c r="B228" s="41"/>
      <c r="C228" s="41"/>
      <c r="D228" s="41"/>
      <c r="E228" s="41"/>
      <c r="F228" s="41"/>
      <c r="G228" s="41"/>
      <c r="H228" s="41"/>
      <c r="I228" s="41"/>
      <c r="J228" s="41"/>
      <c r="K228" s="41"/>
      <c r="L228" s="41"/>
      <c r="M228" s="41"/>
      <c r="N228" s="41"/>
      <c r="O228" s="41"/>
      <c r="P228" s="42"/>
      <c r="Q228" s="41"/>
    </row>
    <row r="229" ht="15.75" customHeight="1">
      <c r="A229" s="39"/>
      <c r="B229" s="41"/>
      <c r="C229" s="41"/>
      <c r="D229" s="41"/>
      <c r="E229" s="41"/>
      <c r="F229" s="41"/>
      <c r="G229" s="41"/>
      <c r="H229" s="41"/>
      <c r="I229" s="41"/>
      <c r="J229" s="41"/>
      <c r="K229" s="41"/>
      <c r="L229" s="41"/>
      <c r="M229" s="41"/>
      <c r="N229" s="41"/>
      <c r="O229" s="41"/>
      <c r="P229" s="42"/>
      <c r="Q229" s="41"/>
    </row>
    <row r="230" ht="15.75" customHeight="1">
      <c r="A230" s="39"/>
      <c r="B230" s="41"/>
      <c r="C230" s="41"/>
      <c r="D230" s="41"/>
      <c r="E230" s="41"/>
      <c r="F230" s="41"/>
      <c r="G230" s="41"/>
      <c r="H230" s="41"/>
      <c r="I230" s="41"/>
      <c r="J230" s="41"/>
      <c r="K230" s="41"/>
      <c r="L230" s="41"/>
      <c r="M230" s="41"/>
      <c r="N230" s="41"/>
      <c r="O230" s="41"/>
      <c r="P230" s="42"/>
      <c r="Q230" s="41"/>
    </row>
    <row r="231" ht="15.75" customHeight="1">
      <c r="A231" s="39"/>
      <c r="B231" s="41"/>
      <c r="C231" s="41"/>
      <c r="D231" s="41"/>
      <c r="E231" s="41"/>
      <c r="F231" s="41"/>
      <c r="G231" s="41"/>
      <c r="H231" s="41"/>
      <c r="I231" s="41"/>
      <c r="J231" s="41"/>
      <c r="K231" s="41"/>
      <c r="L231" s="41"/>
      <c r="M231" s="41"/>
      <c r="N231" s="41"/>
      <c r="O231" s="41"/>
      <c r="P231" s="42"/>
      <c r="Q231" s="41"/>
    </row>
    <row r="232" ht="15.75" customHeight="1">
      <c r="A232" s="39"/>
      <c r="B232" s="41"/>
      <c r="C232" s="41"/>
      <c r="D232" s="41"/>
      <c r="E232" s="41"/>
      <c r="F232" s="41"/>
      <c r="G232" s="41"/>
      <c r="H232" s="41"/>
      <c r="I232" s="41"/>
      <c r="J232" s="41"/>
      <c r="K232" s="41"/>
      <c r="L232" s="41"/>
      <c r="M232" s="41"/>
      <c r="N232" s="41"/>
      <c r="O232" s="41"/>
      <c r="P232" s="42"/>
      <c r="Q232" s="41"/>
    </row>
    <row r="233" ht="15.75" customHeight="1">
      <c r="A233" s="39"/>
      <c r="B233" s="41"/>
      <c r="C233" s="41"/>
      <c r="D233" s="41"/>
      <c r="E233" s="41"/>
      <c r="F233" s="41"/>
      <c r="G233" s="41"/>
      <c r="H233" s="41"/>
      <c r="I233" s="41"/>
      <c r="J233" s="41"/>
      <c r="K233" s="41"/>
      <c r="L233" s="41"/>
      <c r="M233" s="41"/>
      <c r="N233" s="41"/>
      <c r="O233" s="41"/>
      <c r="P233" s="42"/>
      <c r="Q233" s="41"/>
    </row>
    <row r="234" ht="15.75" customHeight="1">
      <c r="A234" s="39"/>
      <c r="B234" s="41"/>
      <c r="C234" s="41"/>
      <c r="D234" s="41"/>
      <c r="E234" s="41"/>
      <c r="F234" s="41"/>
      <c r="G234" s="41"/>
      <c r="H234" s="41"/>
      <c r="I234" s="41"/>
      <c r="J234" s="41"/>
      <c r="K234" s="41"/>
      <c r="L234" s="41"/>
      <c r="M234" s="41"/>
      <c r="N234" s="41"/>
      <c r="O234" s="41"/>
      <c r="P234" s="42"/>
      <c r="Q234" s="41"/>
    </row>
    <row r="235" ht="15.75" customHeight="1">
      <c r="A235" s="39"/>
      <c r="B235" s="41"/>
      <c r="C235" s="41"/>
      <c r="D235" s="41"/>
      <c r="E235" s="41"/>
      <c r="F235" s="41"/>
      <c r="G235" s="41"/>
      <c r="H235" s="41"/>
      <c r="I235" s="41"/>
      <c r="J235" s="41"/>
      <c r="K235" s="41"/>
      <c r="L235" s="41"/>
      <c r="M235" s="41"/>
      <c r="N235" s="41"/>
      <c r="O235" s="41"/>
      <c r="P235" s="42"/>
      <c r="Q235" s="41"/>
    </row>
    <row r="236" ht="15.75" customHeight="1">
      <c r="A236" s="39"/>
      <c r="B236" s="41"/>
      <c r="C236" s="41"/>
      <c r="D236" s="41"/>
      <c r="E236" s="41"/>
      <c r="F236" s="41"/>
      <c r="G236" s="41"/>
      <c r="H236" s="41"/>
      <c r="I236" s="41"/>
      <c r="J236" s="41"/>
      <c r="K236" s="41"/>
      <c r="L236" s="41"/>
      <c r="M236" s="41"/>
      <c r="N236" s="41"/>
      <c r="O236" s="41"/>
      <c r="P236" s="42"/>
      <c r="Q236" s="41"/>
    </row>
    <row r="237" ht="15.75" customHeight="1">
      <c r="A237" s="39"/>
      <c r="B237" s="41"/>
      <c r="C237" s="41"/>
      <c r="D237" s="41"/>
      <c r="E237" s="41"/>
      <c r="F237" s="41"/>
      <c r="G237" s="41"/>
      <c r="H237" s="41"/>
      <c r="I237" s="41"/>
      <c r="J237" s="41"/>
      <c r="K237" s="41"/>
      <c r="L237" s="41"/>
      <c r="M237" s="41"/>
      <c r="N237" s="41"/>
      <c r="O237" s="41"/>
      <c r="P237" s="42"/>
      <c r="Q237" s="41"/>
    </row>
    <row r="238" ht="15.75" customHeight="1">
      <c r="A238" s="39"/>
      <c r="B238" s="41"/>
      <c r="C238" s="41"/>
      <c r="D238" s="41"/>
      <c r="E238" s="41"/>
      <c r="F238" s="41"/>
      <c r="G238" s="41"/>
      <c r="H238" s="41"/>
      <c r="I238" s="41"/>
      <c r="J238" s="41"/>
      <c r="K238" s="41"/>
      <c r="L238" s="41"/>
      <c r="M238" s="41"/>
      <c r="N238" s="41"/>
      <c r="O238" s="41"/>
      <c r="P238" s="42"/>
      <c r="Q238" s="41"/>
    </row>
    <row r="239" ht="15.75" customHeight="1">
      <c r="A239" s="39"/>
      <c r="B239" s="41"/>
      <c r="C239" s="41"/>
      <c r="D239" s="41"/>
      <c r="E239" s="41"/>
      <c r="F239" s="41"/>
      <c r="G239" s="41"/>
      <c r="H239" s="41"/>
      <c r="I239" s="41"/>
      <c r="J239" s="41"/>
      <c r="K239" s="41"/>
      <c r="L239" s="41"/>
      <c r="M239" s="41"/>
      <c r="N239" s="41"/>
      <c r="O239" s="41"/>
      <c r="P239" s="42"/>
      <c r="Q239" s="41"/>
    </row>
    <row r="240" ht="15.75" customHeight="1">
      <c r="A240" s="39"/>
      <c r="B240" s="41"/>
      <c r="C240" s="41"/>
      <c r="D240" s="41"/>
      <c r="E240" s="41"/>
      <c r="F240" s="41"/>
      <c r="G240" s="41"/>
      <c r="H240" s="41"/>
      <c r="I240" s="41"/>
      <c r="J240" s="41"/>
      <c r="K240" s="41"/>
      <c r="L240" s="41"/>
      <c r="M240" s="41"/>
      <c r="N240" s="41"/>
      <c r="O240" s="41"/>
      <c r="P240" s="42"/>
      <c r="Q240" s="41"/>
    </row>
    <row r="241" ht="15.75" customHeight="1">
      <c r="A241" s="39"/>
      <c r="B241" s="41"/>
      <c r="C241" s="41"/>
      <c r="D241" s="41"/>
      <c r="E241" s="41"/>
      <c r="F241" s="41"/>
      <c r="G241" s="41"/>
      <c r="H241" s="41"/>
      <c r="I241" s="41"/>
      <c r="J241" s="41"/>
      <c r="K241" s="41"/>
      <c r="L241" s="41"/>
      <c r="M241" s="41"/>
      <c r="N241" s="41"/>
      <c r="O241" s="41"/>
      <c r="P241" s="42"/>
      <c r="Q241" s="41"/>
    </row>
    <row r="242" ht="15.75" customHeight="1">
      <c r="A242" s="39"/>
      <c r="B242" s="41"/>
      <c r="C242" s="41"/>
      <c r="D242" s="41"/>
      <c r="E242" s="41"/>
      <c r="F242" s="41"/>
      <c r="G242" s="41"/>
      <c r="H242" s="41"/>
      <c r="I242" s="41"/>
      <c r="J242" s="41"/>
      <c r="K242" s="41"/>
      <c r="L242" s="41"/>
      <c r="M242" s="41"/>
      <c r="N242" s="41"/>
      <c r="O242" s="41"/>
      <c r="P242" s="42"/>
      <c r="Q242" s="41"/>
    </row>
    <row r="243" ht="15.75" customHeight="1">
      <c r="A243" s="39"/>
      <c r="B243" s="41"/>
      <c r="C243" s="41"/>
      <c r="D243" s="41"/>
      <c r="E243" s="41"/>
      <c r="F243" s="41"/>
      <c r="G243" s="41"/>
      <c r="H243" s="41"/>
      <c r="I243" s="41"/>
      <c r="J243" s="41"/>
      <c r="K243" s="41"/>
      <c r="L243" s="41"/>
      <c r="M243" s="41"/>
      <c r="N243" s="41"/>
      <c r="O243" s="41"/>
      <c r="P243" s="42"/>
      <c r="Q243" s="41"/>
    </row>
    <row r="244" ht="15.75" customHeight="1">
      <c r="A244" s="39"/>
      <c r="B244" s="41"/>
      <c r="C244" s="41"/>
      <c r="D244" s="41"/>
      <c r="E244" s="41"/>
      <c r="F244" s="41"/>
      <c r="G244" s="41"/>
      <c r="H244" s="41"/>
      <c r="I244" s="41"/>
      <c r="J244" s="41"/>
      <c r="K244" s="41"/>
      <c r="L244" s="41"/>
      <c r="M244" s="41"/>
      <c r="N244" s="41"/>
      <c r="O244" s="41"/>
      <c r="P244" s="42"/>
      <c r="Q244" s="41"/>
    </row>
    <row r="245" ht="15.75" customHeight="1">
      <c r="A245" s="39"/>
      <c r="B245" s="41"/>
      <c r="C245" s="41"/>
      <c r="D245" s="41"/>
      <c r="E245" s="41"/>
      <c r="F245" s="41"/>
      <c r="G245" s="41"/>
      <c r="H245" s="41"/>
      <c r="I245" s="41"/>
      <c r="J245" s="41"/>
      <c r="K245" s="41"/>
      <c r="L245" s="41"/>
      <c r="M245" s="41"/>
      <c r="N245" s="41"/>
      <c r="O245" s="41"/>
      <c r="P245" s="42"/>
      <c r="Q245" s="41"/>
    </row>
    <row r="246" ht="15.75" customHeight="1">
      <c r="A246" s="39"/>
      <c r="B246" s="41"/>
      <c r="C246" s="41"/>
      <c r="D246" s="41"/>
      <c r="E246" s="41"/>
      <c r="F246" s="41"/>
      <c r="G246" s="41"/>
      <c r="H246" s="41"/>
      <c r="I246" s="41"/>
      <c r="J246" s="41"/>
      <c r="K246" s="41"/>
      <c r="L246" s="41"/>
      <c r="M246" s="41"/>
      <c r="N246" s="41"/>
      <c r="O246" s="41"/>
      <c r="P246" s="42"/>
      <c r="Q246" s="41"/>
    </row>
    <row r="247" ht="15.75" customHeight="1">
      <c r="A247" s="39"/>
      <c r="B247" s="41"/>
      <c r="C247" s="41"/>
      <c r="D247" s="41"/>
      <c r="E247" s="41"/>
      <c r="F247" s="41"/>
      <c r="G247" s="41"/>
      <c r="H247" s="41"/>
      <c r="I247" s="41"/>
      <c r="J247" s="41"/>
      <c r="K247" s="41"/>
      <c r="L247" s="41"/>
      <c r="M247" s="41"/>
      <c r="N247" s="41"/>
      <c r="O247" s="41"/>
      <c r="P247" s="42"/>
      <c r="Q247" s="41"/>
    </row>
    <row r="248" ht="15.75" customHeight="1">
      <c r="A248" s="39"/>
      <c r="B248" s="41"/>
      <c r="C248" s="41"/>
      <c r="D248" s="41"/>
      <c r="E248" s="41"/>
      <c r="F248" s="41"/>
      <c r="G248" s="41"/>
      <c r="H248" s="41"/>
      <c r="I248" s="41"/>
      <c r="J248" s="41"/>
      <c r="K248" s="41"/>
      <c r="L248" s="41"/>
      <c r="M248" s="41"/>
      <c r="N248" s="41"/>
      <c r="O248" s="41"/>
      <c r="P248" s="42"/>
      <c r="Q248" s="41"/>
    </row>
    <row r="249" ht="15.75" customHeight="1">
      <c r="A249" s="39"/>
      <c r="B249" s="41"/>
      <c r="C249" s="41"/>
      <c r="D249" s="41"/>
      <c r="E249" s="41"/>
      <c r="F249" s="41"/>
      <c r="G249" s="41"/>
      <c r="H249" s="41"/>
      <c r="I249" s="41"/>
      <c r="J249" s="41"/>
      <c r="K249" s="41"/>
      <c r="L249" s="41"/>
      <c r="M249" s="41"/>
      <c r="N249" s="41"/>
      <c r="O249" s="41"/>
      <c r="P249" s="42"/>
      <c r="Q249" s="41"/>
    </row>
    <row r="250" ht="15.75" customHeight="1">
      <c r="A250" s="39"/>
      <c r="B250" s="41"/>
      <c r="C250" s="41"/>
      <c r="D250" s="41"/>
      <c r="E250" s="41"/>
      <c r="F250" s="41"/>
      <c r="G250" s="41"/>
      <c r="H250" s="41"/>
      <c r="I250" s="41"/>
      <c r="J250" s="41"/>
      <c r="K250" s="41"/>
      <c r="L250" s="41"/>
      <c r="M250" s="41"/>
      <c r="N250" s="41"/>
      <c r="O250" s="41"/>
      <c r="P250" s="42"/>
      <c r="Q250" s="41"/>
    </row>
    <row r="251" ht="15.75" customHeight="1">
      <c r="A251" s="39"/>
      <c r="B251" s="41"/>
      <c r="C251" s="41"/>
      <c r="D251" s="41"/>
      <c r="E251" s="41"/>
      <c r="F251" s="41"/>
      <c r="G251" s="41"/>
      <c r="H251" s="41"/>
      <c r="I251" s="41"/>
      <c r="J251" s="41"/>
      <c r="K251" s="41"/>
      <c r="L251" s="41"/>
      <c r="M251" s="41"/>
      <c r="N251" s="41"/>
      <c r="O251" s="41"/>
      <c r="P251" s="42"/>
      <c r="Q251" s="41"/>
    </row>
    <row r="252" ht="15.75" customHeight="1">
      <c r="A252" s="39"/>
      <c r="B252" s="41"/>
      <c r="C252" s="41"/>
      <c r="D252" s="41"/>
      <c r="E252" s="41"/>
      <c r="F252" s="41"/>
      <c r="G252" s="41"/>
      <c r="H252" s="41"/>
      <c r="I252" s="41"/>
      <c r="J252" s="41"/>
      <c r="K252" s="41"/>
      <c r="L252" s="41"/>
      <c r="M252" s="41"/>
      <c r="N252" s="41"/>
      <c r="O252" s="41"/>
      <c r="P252" s="42"/>
      <c r="Q252" s="41"/>
    </row>
    <row r="253" ht="15.75" customHeight="1">
      <c r="A253" s="39"/>
      <c r="B253" s="41"/>
      <c r="C253" s="41"/>
      <c r="D253" s="41"/>
      <c r="E253" s="41"/>
      <c r="F253" s="41"/>
      <c r="G253" s="41"/>
      <c r="H253" s="41"/>
      <c r="I253" s="41"/>
      <c r="J253" s="41"/>
      <c r="K253" s="41"/>
      <c r="L253" s="41"/>
      <c r="M253" s="41"/>
      <c r="N253" s="41"/>
      <c r="O253" s="41"/>
      <c r="P253" s="42"/>
      <c r="Q253" s="41"/>
    </row>
    <row r="254" ht="15.75" customHeight="1">
      <c r="A254" s="39"/>
      <c r="B254" s="41"/>
      <c r="C254" s="41"/>
      <c r="D254" s="41"/>
      <c r="E254" s="41"/>
      <c r="F254" s="41"/>
      <c r="G254" s="41"/>
      <c r="H254" s="41"/>
      <c r="I254" s="41"/>
      <c r="J254" s="41"/>
      <c r="K254" s="41"/>
      <c r="L254" s="41"/>
      <c r="M254" s="41"/>
      <c r="N254" s="41"/>
      <c r="O254" s="41"/>
      <c r="P254" s="42"/>
      <c r="Q254" s="41"/>
    </row>
    <row r="255" ht="15.75" customHeight="1">
      <c r="A255" s="39"/>
      <c r="B255" s="41"/>
      <c r="C255" s="41"/>
      <c r="D255" s="41"/>
      <c r="E255" s="41"/>
      <c r="F255" s="41"/>
      <c r="G255" s="41"/>
      <c r="H255" s="41"/>
      <c r="I255" s="41"/>
      <c r="J255" s="41"/>
      <c r="K255" s="41"/>
      <c r="L255" s="41"/>
      <c r="M255" s="41"/>
      <c r="N255" s="41"/>
      <c r="O255" s="41"/>
      <c r="P255" s="42"/>
      <c r="Q255" s="41"/>
    </row>
    <row r="256" ht="15.75" customHeight="1">
      <c r="A256" s="39"/>
      <c r="B256" s="41"/>
      <c r="C256" s="41"/>
      <c r="D256" s="41"/>
      <c r="E256" s="41"/>
      <c r="F256" s="41"/>
      <c r="G256" s="41"/>
      <c r="H256" s="41"/>
      <c r="I256" s="41"/>
      <c r="J256" s="41"/>
      <c r="K256" s="41"/>
      <c r="L256" s="41"/>
      <c r="M256" s="41"/>
      <c r="N256" s="41"/>
      <c r="O256" s="41"/>
      <c r="P256" s="42"/>
      <c r="Q256" s="41"/>
    </row>
    <row r="257" ht="15.75" customHeight="1">
      <c r="A257" s="39"/>
      <c r="B257" s="41"/>
      <c r="C257" s="41"/>
      <c r="D257" s="41"/>
      <c r="E257" s="41"/>
      <c r="F257" s="41"/>
      <c r="G257" s="41"/>
      <c r="H257" s="41"/>
      <c r="I257" s="41"/>
      <c r="J257" s="41"/>
      <c r="K257" s="41"/>
      <c r="L257" s="41"/>
      <c r="M257" s="41"/>
      <c r="N257" s="41"/>
      <c r="O257" s="41"/>
      <c r="P257" s="42"/>
      <c r="Q257" s="41"/>
    </row>
    <row r="258" ht="15.75" customHeight="1">
      <c r="A258" s="39"/>
      <c r="B258" s="41"/>
      <c r="C258" s="41"/>
      <c r="D258" s="41"/>
      <c r="E258" s="41"/>
      <c r="F258" s="41"/>
      <c r="G258" s="41"/>
      <c r="H258" s="41"/>
      <c r="I258" s="41"/>
      <c r="J258" s="41"/>
      <c r="K258" s="41"/>
      <c r="L258" s="41"/>
      <c r="M258" s="41"/>
      <c r="N258" s="41"/>
      <c r="O258" s="41"/>
      <c r="P258" s="42"/>
      <c r="Q258" s="41"/>
    </row>
    <row r="259" ht="15.75" customHeight="1">
      <c r="A259" s="39"/>
      <c r="B259" s="41"/>
      <c r="C259" s="41"/>
      <c r="D259" s="41"/>
      <c r="E259" s="41"/>
      <c r="F259" s="41"/>
      <c r="G259" s="41"/>
      <c r="H259" s="41"/>
      <c r="I259" s="41"/>
      <c r="J259" s="41"/>
      <c r="K259" s="41"/>
      <c r="L259" s="41"/>
      <c r="M259" s="41"/>
      <c r="N259" s="41"/>
      <c r="O259" s="41"/>
      <c r="P259" s="42"/>
      <c r="Q259" s="41"/>
    </row>
    <row r="260" ht="15.75" customHeight="1">
      <c r="A260" s="39"/>
      <c r="B260" s="41"/>
      <c r="C260" s="41"/>
      <c r="D260" s="41"/>
      <c r="E260" s="41"/>
      <c r="F260" s="41"/>
      <c r="G260" s="41"/>
      <c r="H260" s="41"/>
      <c r="I260" s="41"/>
      <c r="J260" s="41"/>
      <c r="K260" s="41"/>
      <c r="L260" s="41"/>
      <c r="M260" s="41"/>
      <c r="N260" s="41"/>
      <c r="O260" s="41"/>
      <c r="P260" s="42"/>
      <c r="Q260" s="41"/>
    </row>
    <row r="261" ht="15.75" customHeight="1">
      <c r="A261" s="39"/>
      <c r="B261" s="41"/>
      <c r="C261" s="41"/>
      <c r="D261" s="41"/>
      <c r="E261" s="41"/>
      <c r="F261" s="41"/>
      <c r="G261" s="41"/>
      <c r="H261" s="41"/>
      <c r="I261" s="41"/>
      <c r="J261" s="41"/>
      <c r="K261" s="41"/>
      <c r="L261" s="41"/>
      <c r="M261" s="41"/>
      <c r="N261" s="41"/>
      <c r="O261" s="41"/>
      <c r="P261" s="42"/>
      <c r="Q261" s="41"/>
    </row>
    <row r="262" ht="15.75" customHeight="1">
      <c r="A262" s="39"/>
      <c r="B262" s="41"/>
      <c r="C262" s="41"/>
      <c r="D262" s="41"/>
      <c r="E262" s="41"/>
      <c r="F262" s="41"/>
      <c r="G262" s="41"/>
      <c r="H262" s="41"/>
      <c r="I262" s="41"/>
      <c r="J262" s="41"/>
      <c r="K262" s="41"/>
      <c r="L262" s="41"/>
      <c r="M262" s="41"/>
      <c r="N262" s="41"/>
      <c r="O262" s="41"/>
      <c r="P262" s="42"/>
      <c r="Q262" s="41"/>
    </row>
    <row r="263" ht="15.75" customHeight="1">
      <c r="A263" s="39"/>
      <c r="B263" s="41"/>
      <c r="C263" s="41"/>
      <c r="D263" s="41"/>
      <c r="E263" s="41"/>
      <c r="F263" s="41"/>
      <c r="G263" s="41"/>
      <c r="H263" s="41"/>
      <c r="I263" s="41"/>
      <c r="J263" s="41"/>
      <c r="K263" s="41"/>
      <c r="L263" s="41"/>
      <c r="M263" s="41"/>
      <c r="N263" s="41"/>
      <c r="O263" s="41"/>
      <c r="P263" s="42"/>
      <c r="Q263" s="41"/>
    </row>
    <row r="264" ht="15.75" customHeight="1">
      <c r="A264" s="39"/>
      <c r="B264" s="41"/>
      <c r="C264" s="41"/>
      <c r="D264" s="41"/>
      <c r="E264" s="41"/>
      <c r="F264" s="41"/>
      <c r="G264" s="41"/>
      <c r="H264" s="41"/>
      <c r="I264" s="41"/>
      <c r="J264" s="41"/>
      <c r="K264" s="41"/>
      <c r="L264" s="41"/>
      <c r="M264" s="41"/>
      <c r="N264" s="41"/>
      <c r="O264" s="41"/>
      <c r="P264" s="42"/>
      <c r="Q264" s="41"/>
    </row>
    <row r="265" ht="15.75" customHeight="1">
      <c r="A265" s="39"/>
      <c r="B265" s="41"/>
      <c r="C265" s="41"/>
      <c r="D265" s="41"/>
      <c r="E265" s="41"/>
      <c r="F265" s="41"/>
      <c r="G265" s="41"/>
      <c r="H265" s="41"/>
      <c r="I265" s="41"/>
      <c r="J265" s="41"/>
      <c r="K265" s="41"/>
      <c r="L265" s="41"/>
      <c r="M265" s="41"/>
      <c r="N265" s="41"/>
      <c r="O265" s="41"/>
      <c r="P265" s="42"/>
      <c r="Q265" s="41"/>
    </row>
    <row r="266" ht="15.75" customHeight="1">
      <c r="A266" s="39"/>
      <c r="B266" s="41"/>
      <c r="C266" s="41"/>
      <c r="D266" s="41"/>
      <c r="E266" s="41"/>
      <c r="F266" s="41"/>
      <c r="G266" s="41"/>
      <c r="H266" s="41"/>
      <c r="I266" s="41"/>
      <c r="J266" s="41"/>
      <c r="K266" s="41"/>
      <c r="L266" s="41"/>
      <c r="M266" s="41"/>
      <c r="N266" s="41"/>
      <c r="O266" s="41"/>
      <c r="P266" s="42"/>
      <c r="Q266" s="41"/>
    </row>
    <row r="267" ht="15.75" customHeight="1">
      <c r="A267" s="39"/>
      <c r="B267" s="41"/>
      <c r="C267" s="41"/>
      <c r="D267" s="41"/>
      <c r="E267" s="41"/>
      <c r="F267" s="41"/>
      <c r="G267" s="41"/>
      <c r="H267" s="41"/>
      <c r="I267" s="41"/>
      <c r="J267" s="41"/>
      <c r="K267" s="41"/>
      <c r="L267" s="41"/>
      <c r="M267" s="41"/>
      <c r="N267" s="41"/>
      <c r="O267" s="41"/>
      <c r="P267" s="42"/>
      <c r="Q267" s="41"/>
    </row>
    <row r="268" ht="15.75" customHeight="1">
      <c r="A268" s="39"/>
      <c r="B268" s="41"/>
      <c r="C268" s="41"/>
      <c r="D268" s="41"/>
      <c r="E268" s="41"/>
      <c r="F268" s="41"/>
      <c r="G268" s="41"/>
      <c r="H268" s="41"/>
      <c r="I268" s="41"/>
      <c r="J268" s="41"/>
      <c r="K268" s="41"/>
      <c r="L268" s="41"/>
      <c r="M268" s="41"/>
      <c r="N268" s="41"/>
      <c r="O268" s="41"/>
      <c r="P268" s="42"/>
      <c r="Q268" s="41"/>
    </row>
    <row r="269" ht="15.75" customHeight="1">
      <c r="A269" s="39"/>
      <c r="B269" s="41"/>
      <c r="C269" s="41"/>
      <c r="D269" s="41"/>
      <c r="E269" s="41"/>
      <c r="F269" s="41"/>
      <c r="G269" s="41"/>
      <c r="H269" s="41"/>
      <c r="I269" s="41"/>
      <c r="J269" s="41"/>
      <c r="K269" s="41"/>
      <c r="L269" s="41"/>
      <c r="M269" s="41"/>
      <c r="N269" s="41"/>
      <c r="O269" s="41"/>
      <c r="P269" s="42"/>
      <c r="Q269" s="41"/>
    </row>
    <row r="270" ht="15.75" customHeight="1">
      <c r="A270" s="39"/>
      <c r="B270" s="41"/>
      <c r="C270" s="41"/>
      <c r="D270" s="41"/>
      <c r="E270" s="41"/>
      <c r="F270" s="41"/>
      <c r="G270" s="41"/>
      <c r="H270" s="41"/>
      <c r="I270" s="41"/>
      <c r="J270" s="41"/>
      <c r="K270" s="41"/>
      <c r="L270" s="41"/>
      <c r="M270" s="41"/>
      <c r="N270" s="41"/>
      <c r="O270" s="41"/>
      <c r="P270" s="42"/>
      <c r="Q270" s="41"/>
    </row>
    <row r="271" ht="15.75" customHeight="1">
      <c r="A271" s="39"/>
      <c r="B271" s="41"/>
      <c r="C271" s="41"/>
      <c r="D271" s="41"/>
      <c r="E271" s="41"/>
      <c r="F271" s="41"/>
      <c r="G271" s="41"/>
      <c r="H271" s="41"/>
      <c r="I271" s="41"/>
      <c r="J271" s="41"/>
      <c r="K271" s="41"/>
      <c r="L271" s="41"/>
      <c r="M271" s="41"/>
      <c r="N271" s="41"/>
      <c r="O271" s="41"/>
      <c r="P271" s="42"/>
      <c r="Q271" s="41"/>
    </row>
    <row r="272" ht="15.75" customHeight="1">
      <c r="A272" s="39"/>
      <c r="B272" s="41"/>
      <c r="C272" s="41"/>
      <c r="D272" s="41"/>
      <c r="E272" s="41"/>
      <c r="F272" s="41"/>
      <c r="G272" s="41"/>
      <c r="H272" s="41"/>
      <c r="I272" s="41"/>
      <c r="J272" s="41"/>
      <c r="K272" s="41"/>
      <c r="L272" s="41"/>
      <c r="M272" s="41"/>
      <c r="N272" s="41"/>
      <c r="O272" s="41"/>
      <c r="P272" s="42"/>
      <c r="Q272" s="41"/>
    </row>
    <row r="273" ht="15.75" customHeight="1">
      <c r="A273" s="39"/>
      <c r="B273" s="41"/>
      <c r="C273" s="41"/>
      <c r="D273" s="41"/>
      <c r="E273" s="41"/>
      <c r="F273" s="41"/>
      <c r="G273" s="41"/>
      <c r="H273" s="41"/>
      <c r="I273" s="41"/>
      <c r="J273" s="41"/>
      <c r="K273" s="41"/>
      <c r="L273" s="41"/>
      <c r="M273" s="41"/>
      <c r="N273" s="41"/>
      <c r="O273" s="41"/>
      <c r="P273" s="42"/>
      <c r="Q273" s="41"/>
    </row>
    <row r="274" ht="15.75" customHeight="1">
      <c r="A274" s="39"/>
      <c r="B274" s="41"/>
      <c r="C274" s="41"/>
      <c r="D274" s="41"/>
      <c r="E274" s="41"/>
      <c r="F274" s="41"/>
      <c r="G274" s="41"/>
      <c r="H274" s="41"/>
      <c r="I274" s="41"/>
      <c r="J274" s="41"/>
      <c r="K274" s="41"/>
      <c r="L274" s="41"/>
      <c r="M274" s="41"/>
      <c r="N274" s="41"/>
      <c r="O274" s="41"/>
      <c r="P274" s="42"/>
      <c r="Q274" s="41"/>
    </row>
    <row r="275" ht="15.75" customHeight="1">
      <c r="A275" s="39"/>
      <c r="B275" s="41"/>
      <c r="C275" s="41"/>
      <c r="D275" s="41"/>
      <c r="E275" s="41"/>
      <c r="F275" s="41"/>
      <c r="G275" s="41"/>
      <c r="H275" s="41"/>
      <c r="I275" s="41"/>
      <c r="J275" s="41"/>
      <c r="K275" s="41"/>
      <c r="L275" s="41"/>
      <c r="M275" s="41"/>
      <c r="N275" s="41"/>
      <c r="O275" s="41"/>
      <c r="P275" s="42"/>
      <c r="Q275" s="41"/>
    </row>
    <row r="276" ht="15.75" customHeight="1">
      <c r="A276" s="39"/>
      <c r="B276" s="41"/>
      <c r="C276" s="41"/>
      <c r="D276" s="41"/>
      <c r="E276" s="41"/>
      <c r="F276" s="41"/>
      <c r="G276" s="41"/>
      <c r="H276" s="41"/>
      <c r="I276" s="41"/>
      <c r="J276" s="41"/>
      <c r="K276" s="41"/>
      <c r="L276" s="41"/>
      <c r="M276" s="41"/>
      <c r="N276" s="41"/>
      <c r="O276" s="41"/>
      <c r="P276" s="42"/>
      <c r="Q276" s="41"/>
    </row>
    <row r="277" ht="15.75" customHeight="1">
      <c r="A277" s="39"/>
      <c r="B277" s="41"/>
      <c r="C277" s="41"/>
      <c r="D277" s="41"/>
      <c r="E277" s="41"/>
      <c r="F277" s="41"/>
      <c r="G277" s="41"/>
      <c r="H277" s="41"/>
      <c r="I277" s="41"/>
      <c r="J277" s="41"/>
      <c r="K277" s="41"/>
      <c r="L277" s="41"/>
      <c r="M277" s="41"/>
      <c r="N277" s="41"/>
      <c r="O277" s="41"/>
      <c r="P277" s="42"/>
      <c r="Q277" s="41"/>
    </row>
    <row r="278" ht="15.75" customHeight="1">
      <c r="A278" s="39"/>
      <c r="B278" s="41"/>
      <c r="C278" s="41"/>
      <c r="D278" s="41"/>
      <c r="E278" s="41"/>
      <c r="F278" s="41"/>
      <c r="G278" s="41"/>
      <c r="H278" s="41"/>
      <c r="I278" s="41"/>
      <c r="J278" s="41"/>
      <c r="K278" s="41"/>
      <c r="L278" s="41"/>
      <c r="M278" s="41"/>
      <c r="N278" s="41"/>
      <c r="O278" s="41"/>
      <c r="P278" s="42"/>
      <c r="Q278" s="41"/>
    </row>
    <row r="279" ht="15.75" customHeight="1">
      <c r="A279" s="39"/>
      <c r="B279" s="41"/>
      <c r="C279" s="41"/>
      <c r="D279" s="41"/>
      <c r="E279" s="41"/>
      <c r="F279" s="41"/>
      <c r="G279" s="41"/>
      <c r="H279" s="41"/>
      <c r="I279" s="41"/>
      <c r="J279" s="41"/>
      <c r="K279" s="41"/>
      <c r="L279" s="41"/>
      <c r="M279" s="41"/>
      <c r="N279" s="41"/>
      <c r="O279" s="41"/>
      <c r="P279" s="42"/>
      <c r="Q279" s="41"/>
    </row>
    <row r="280" ht="15.75" customHeight="1">
      <c r="A280" s="39"/>
      <c r="B280" s="41"/>
      <c r="C280" s="41"/>
      <c r="D280" s="41"/>
      <c r="E280" s="41"/>
      <c r="F280" s="41"/>
      <c r="G280" s="41"/>
      <c r="H280" s="41"/>
      <c r="I280" s="41"/>
      <c r="J280" s="41"/>
      <c r="K280" s="41"/>
      <c r="L280" s="41"/>
      <c r="M280" s="41"/>
      <c r="N280" s="41"/>
      <c r="O280" s="41"/>
      <c r="P280" s="42"/>
      <c r="Q280" s="41"/>
    </row>
    <row r="281" ht="15.75" customHeight="1">
      <c r="A281" s="39"/>
      <c r="B281" s="41"/>
      <c r="C281" s="41"/>
      <c r="D281" s="41"/>
      <c r="E281" s="41"/>
      <c r="F281" s="41"/>
      <c r="G281" s="41"/>
      <c r="H281" s="41"/>
      <c r="I281" s="41"/>
      <c r="J281" s="41"/>
      <c r="K281" s="41"/>
      <c r="L281" s="41"/>
      <c r="M281" s="41"/>
      <c r="N281" s="41"/>
      <c r="O281" s="41"/>
      <c r="P281" s="42"/>
      <c r="Q281" s="41"/>
    </row>
    <row r="282" ht="15.75" customHeight="1">
      <c r="A282" s="39"/>
      <c r="B282" s="41"/>
      <c r="C282" s="41"/>
      <c r="D282" s="41"/>
      <c r="E282" s="41"/>
      <c r="F282" s="41"/>
      <c r="G282" s="41"/>
      <c r="H282" s="41"/>
      <c r="I282" s="41"/>
      <c r="J282" s="41"/>
      <c r="K282" s="41"/>
      <c r="L282" s="41"/>
      <c r="M282" s="41"/>
      <c r="N282" s="41"/>
      <c r="O282" s="41"/>
      <c r="P282" s="42"/>
      <c r="Q282" s="41"/>
    </row>
    <row r="283" ht="15.75" customHeight="1">
      <c r="A283" s="39"/>
      <c r="B283" s="41"/>
      <c r="C283" s="41"/>
      <c r="D283" s="41"/>
      <c r="E283" s="41"/>
      <c r="F283" s="41"/>
      <c r="G283" s="41"/>
      <c r="H283" s="41"/>
      <c r="I283" s="41"/>
      <c r="J283" s="41"/>
      <c r="K283" s="41"/>
      <c r="L283" s="41"/>
      <c r="M283" s="41"/>
      <c r="N283" s="41"/>
      <c r="O283" s="41"/>
      <c r="P283" s="42"/>
      <c r="Q283" s="41"/>
    </row>
    <row r="284" ht="15.75" customHeight="1">
      <c r="A284" s="39"/>
      <c r="B284" s="41"/>
      <c r="C284" s="41"/>
      <c r="D284" s="41"/>
      <c r="E284" s="41"/>
      <c r="F284" s="41"/>
      <c r="G284" s="41"/>
      <c r="H284" s="41"/>
      <c r="I284" s="41"/>
      <c r="J284" s="41"/>
      <c r="K284" s="41"/>
      <c r="L284" s="41"/>
      <c r="M284" s="41"/>
      <c r="N284" s="41"/>
      <c r="O284" s="41"/>
      <c r="P284" s="42"/>
      <c r="Q284" s="41"/>
    </row>
    <row r="285" ht="15.75" customHeight="1">
      <c r="A285" s="39"/>
      <c r="B285" s="41"/>
      <c r="C285" s="41"/>
      <c r="D285" s="41"/>
      <c r="E285" s="41"/>
      <c r="F285" s="41"/>
      <c r="G285" s="41"/>
      <c r="H285" s="41"/>
      <c r="I285" s="41"/>
      <c r="J285" s="41"/>
      <c r="K285" s="41"/>
      <c r="L285" s="41"/>
      <c r="M285" s="41"/>
      <c r="N285" s="41"/>
      <c r="O285" s="41"/>
      <c r="P285" s="42"/>
      <c r="Q285" s="41"/>
    </row>
    <row r="286" ht="15.75" customHeight="1">
      <c r="A286" s="39"/>
      <c r="B286" s="41"/>
      <c r="C286" s="41"/>
      <c r="D286" s="41"/>
      <c r="E286" s="41"/>
      <c r="F286" s="41"/>
      <c r="G286" s="41"/>
      <c r="H286" s="41"/>
      <c r="I286" s="41"/>
      <c r="J286" s="41"/>
      <c r="K286" s="41"/>
      <c r="L286" s="41"/>
      <c r="M286" s="41"/>
      <c r="N286" s="41"/>
      <c r="O286" s="41"/>
      <c r="P286" s="42"/>
      <c r="Q286" s="41"/>
    </row>
    <row r="287" ht="15.75" customHeight="1">
      <c r="A287" s="39"/>
      <c r="B287" s="41"/>
      <c r="C287" s="41"/>
      <c r="D287" s="41"/>
      <c r="E287" s="41"/>
      <c r="F287" s="41"/>
      <c r="G287" s="41"/>
      <c r="H287" s="41"/>
      <c r="I287" s="41"/>
      <c r="J287" s="41"/>
      <c r="K287" s="41"/>
      <c r="L287" s="41"/>
      <c r="M287" s="41"/>
      <c r="N287" s="41"/>
      <c r="O287" s="41"/>
      <c r="P287" s="42"/>
      <c r="Q287" s="41"/>
    </row>
    <row r="288" ht="15.75" customHeight="1">
      <c r="A288" s="39"/>
      <c r="B288" s="41"/>
      <c r="C288" s="41"/>
      <c r="D288" s="41"/>
      <c r="E288" s="41"/>
      <c r="F288" s="41"/>
      <c r="G288" s="41"/>
      <c r="H288" s="41"/>
      <c r="I288" s="41"/>
      <c r="J288" s="41"/>
      <c r="K288" s="41"/>
      <c r="L288" s="41"/>
      <c r="M288" s="41"/>
      <c r="N288" s="41"/>
      <c r="O288" s="41"/>
      <c r="P288" s="42"/>
      <c r="Q288" s="41"/>
    </row>
    <row r="289" ht="15.75" customHeight="1">
      <c r="A289" s="39"/>
      <c r="B289" s="41"/>
      <c r="C289" s="41"/>
      <c r="D289" s="41"/>
      <c r="E289" s="41"/>
      <c r="F289" s="41"/>
      <c r="G289" s="41"/>
      <c r="H289" s="41"/>
      <c r="I289" s="41"/>
      <c r="J289" s="41"/>
      <c r="K289" s="41"/>
      <c r="L289" s="41"/>
      <c r="M289" s="41"/>
      <c r="N289" s="41"/>
      <c r="O289" s="41"/>
      <c r="P289" s="42"/>
      <c r="Q289" s="41"/>
    </row>
    <row r="290" ht="15.75" customHeight="1">
      <c r="A290" s="39"/>
      <c r="B290" s="41"/>
      <c r="C290" s="41"/>
      <c r="D290" s="41"/>
      <c r="E290" s="41"/>
      <c r="F290" s="41"/>
      <c r="G290" s="41"/>
      <c r="H290" s="41"/>
      <c r="I290" s="41"/>
      <c r="J290" s="41"/>
      <c r="K290" s="41"/>
      <c r="L290" s="41"/>
      <c r="M290" s="41"/>
      <c r="N290" s="41"/>
      <c r="O290" s="41"/>
      <c r="P290" s="42"/>
      <c r="Q290" s="41"/>
    </row>
    <row r="291" ht="15.75" customHeight="1">
      <c r="A291" s="39"/>
      <c r="B291" s="41"/>
      <c r="C291" s="41"/>
      <c r="D291" s="41"/>
      <c r="E291" s="41"/>
      <c r="F291" s="41"/>
      <c r="G291" s="41"/>
      <c r="H291" s="41"/>
      <c r="I291" s="41"/>
      <c r="J291" s="41"/>
      <c r="K291" s="41"/>
      <c r="L291" s="41"/>
      <c r="M291" s="41"/>
      <c r="N291" s="41"/>
      <c r="O291" s="41"/>
      <c r="P291" s="42"/>
      <c r="Q291" s="41"/>
    </row>
    <row r="292" ht="15.75" customHeight="1">
      <c r="A292" s="39"/>
      <c r="B292" s="41"/>
      <c r="C292" s="41"/>
      <c r="D292" s="41"/>
      <c r="E292" s="41"/>
      <c r="F292" s="41"/>
      <c r="G292" s="41"/>
      <c r="H292" s="41"/>
      <c r="I292" s="41"/>
      <c r="J292" s="41"/>
      <c r="K292" s="41"/>
      <c r="L292" s="41"/>
      <c r="M292" s="41"/>
      <c r="N292" s="41"/>
      <c r="O292" s="41"/>
      <c r="P292" s="42"/>
      <c r="Q292" s="41"/>
    </row>
    <row r="293" ht="15.75" customHeight="1">
      <c r="A293" s="39"/>
      <c r="B293" s="41"/>
      <c r="C293" s="41"/>
      <c r="D293" s="41"/>
      <c r="E293" s="41"/>
      <c r="F293" s="41"/>
      <c r="G293" s="41"/>
      <c r="H293" s="41"/>
      <c r="I293" s="41"/>
      <c r="J293" s="41"/>
      <c r="K293" s="41"/>
      <c r="L293" s="41"/>
      <c r="M293" s="41"/>
      <c r="N293" s="41"/>
      <c r="O293" s="41"/>
      <c r="P293" s="42"/>
      <c r="Q293" s="41"/>
    </row>
    <row r="294" ht="15.75" customHeight="1">
      <c r="A294" s="39"/>
      <c r="B294" s="41"/>
      <c r="C294" s="41"/>
      <c r="D294" s="41"/>
      <c r="E294" s="41"/>
      <c r="F294" s="41"/>
      <c r="G294" s="41"/>
      <c r="H294" s="41"/>
      <c r="I294" s="41"/>
      <c r="J294" s="41"/>
      <c r="K294" s="41"/>
      <c r="L294" s="41"/>
      <c r="M294" s="41"/>
      <c r="N294" s="41"/>
      <c r="O294" s="41"/>
      <c r="P294" s="42"/>
      <c r="Q294" s="41"/>
    </row>
    <row r="295" ht="15.75" customHeight="1">
      <c r="A295" s="39"/>
      <c r="B295" s="41"/>
      <c r="C295" s="41"/>
      <c r="D295" s="41"/>
      <c r="E295" s="41"/>
      <c r="F295" s="41"/>
      <c r="G295" s="41"/>
      <c r="H295" s="41"/>
      <c r="I295" s="41"/>
      <c r="J295" s="41"/>
      <c r="K295" s="41"/>
      <c r="L295" s="41"/>
      <c r="M295" s="41"/>
      <c r="N295" s="41"/>
      <c r="O295" s="41"/>
      <c r="P295" s="42"/>
      <c r="Q295" s="41"/>
    </row>
    <row r="296" ht="15.75" customHeight="1">
      <c r="A296" s="39"/>
      <c r="B296" s="41"/>
      <c r="C296" s="41"/>
      <c r="D296" s="41"/>
      <c r="E296" s="41"/>
      <c r="F296" s="41"/>
      <c r="G296" s="41"/>
      <c r="H296" s="41"/>
      <c r="I296" s="41"/>
      <c r="J296" s="41"/>
      <c r="K296" s="41"/>
      <c r="L296" s="41"/>
      <c r="M296" s="41"/>
      <c r="N296" s="41"/>
      <c r="O296" s="41"/>
      <c r="P296" s="42"/>
      <c r="Q296" s="41"/>
    </row>
    <row r="297" ht="15.75" customHeight="1">
      <c r="A297" s="39"/>
      <c r="B297" s="41"/>
      <c r="C297" s="41"/>
      <c r="D297" s="41"/>
      <c r="E297" s="41"/>
      <c r="F297" s="41"/>
      <c r="G297" s="41"/>
      <c r="H297" s="41"/>
      <c r="I297" s="41"/>
      <c r="J297" s="41"/>
      <c r="K297" s="41"/>
      <c r="L297" s="41"/>
      <c r="M297" s="41"/>
      <c r="N297" s="41"/>
      <c r="O297" s="41"/>
      <c r="P297" s="42"/>
      <c r="Q297" s="41"/>
    </row>
    <row r="298" ht="15.75" customHeight="1">
      <c r="A298" s="39"/>
      <c r="B298" s="41"/>
      <c r="C298" s="41"/>
      <c r="D298" s="41"/>
      <c r="E298" s="41"/>
      <c r="F298" s="41"/>
      <c r="G298" s="41"/>
      <c r="H298" s="41"/>
      <c r="I298" s="41"/>
      <c r="J298" s="41"/>
      <c r="K298" s="41"/>
      <c r="L298" s="41"/>
      <c r="M298" s="41"/>
      <c r="N298" s="41"/>
      <c r="O298" s="41"/>
      <c r="P298" s="42"/>
      <c r="Q298" s="41"/>
    </row>
    <row r="299" ht="15.75" customHeight="1">
      <c r="A299" s="39"/>
      <c r="B299" s="41"/>
      <c r="C299" s="41"/>
      <c r="D299" s="41"/>
      <c r="E299" s="41"/>
      <c r="F299" s="41"/>
      <c r="G299" s="41"/>
      <c r="H299" s="41"/>
      <c r="I299" s="41"/>
      <c r="J299" s="41"/>
      <c r="K299" s="41"/>
      <c r="L299" s="41"/>
      <c r="M299" s="41"/>
      <c r="N299" s="41"/>
      <c r="O299" s="41"/>
      <c r="P299" s="42"/>
      <c r="Q299" s="41"/>
    </row>
    <row r="300" ht="15.75" customHeight="1">
      <c r="A300" s="39"/>
      <c r="B300" s="41"/>
      <c r="C300" s="41"/>
      <c r="D300" s="41"/>
      <c r="E300" s="41"/>
      <c r="F300" s="41"/>
      <c r="G300" s="41"/>
      <c r="H300" s="41"/>
      <c r="I300" s="41"/>
      <c r="J300" s="41"/>
      <c r="K300" s="41"/>
      <c r="L300" s="41"/>
      <c r="M300" s="41"/>
      <c r="N300" s="41"/>
      <c r="O300" s="41"/>
      <c r="P300" s="42"/>
      <c r="Q300" s="41"/>
    </row>
    <row r="301" ht="15.75" customHeight="1">
      <c r="A301" s="39"/>
      <c r="B301" s="41"/>
      <c r="C301" s="41"/>
      <c r="D301" s="41"/>
      <c r="E301" s="41"/>
      <c r="F301" s="41"/>
      <c r="G301" s="41"/>
      <c r="H301" s="41"/>
      <c r="I301" s="41"/>
      <c r="J301" s="41"/>
      <c r="K301" s="41"/>
      <c r="L301" s="41"/>
      <c r="M301" s="41"/>
      <c r="N301" s="41"/>
      <c r="O301" s="41"/>
      <c r="P301" s="42"/>
      <c r="Q301" s="41"/>
    </row>
    <row r="302" ht="15.75" customHeight="1">
      <c r="A302" s="39"/>
      <c r="B302" s="41"/>
      <c r="C302" s="41"/>
      <c r="D302" s="41"/>
      <c r="E302" s="41"/>
      <c r="F302" s="41"/>
      <c r="G302" s="41"/>
      <c r="H302" s="41"/>
      <c r="I302" s="41"/>
      <c r="J302" s="41"/>
      <c r="K302" s="41"/>
      <c r="L302" s="41"/>
      <c r="M302" s="41"/>
      <c r="N302" s="41"/>
      <c r="O302" s="41"/>
      <c r="P302" s="42"/>
      <c r="Q302" s="41"/>
    </row>
    <row r="303" ht="15.75" customHeight="1">
      <c r="A303" s="39"/>
      <c r="B303" s="41"/>
      <c r="C303" s="41"/>
      <c r="D303" s="41"/>
      <c r="E303" s="41"/>
      <c r="F303" s="41"/>
      <c r="G303" s="41"/>
      <c r="H303" s="41"/>
      <c r="I303" s="41"/>
      <c r="J303" s="41"/>
      <c r="K303" s="41"/>
      <c r="L303" s="41"/>
      <c r="M303" s="41"/>
      <c r="N303" s="41"/>
      <c r="O303" s="41"/>
      <c r="P303" s="42"/>
      <c r="Q303" s="41"/>
    </row>
    <row r="304" ht="15.75" customHeight="1">
      <c r="A304" s="39"/>
    </row>
    <row r="305" ht="15.75" customHeight="1">
      <c r="A305" s="39"/>
    </row>
    <row r="306" ht="15.75" customHeight="1">
      <c r="A306" s="39"/>
    </row>
    <row r="307" ht="15.75" customHeight="1">
      <c r="A307" s="39"/>
    </row>
    <row r="308" ht="15.75" customHeight="1">
      <c r="A308" s="39"/>
    </row>
    <row r="309" ht="15.75" customHeight="1">
      <c r="A309" s="39"/>
    </row>
    <row r="310" ht="15.75" customHeight="1">
      <c r="A310" s="39"/>
    </row>
    <row r="311" ht="15.75" customHeight="1">
      <c r="A311" s="39"/>
    </row>
    <row r="312" ht="15.75" customHeight="1">
      <c r="A312" s="39"/>
    </row>
    <row r="313" ht="15.75" customHeight="1">
      <c r="A313" s="39"/>
    </row>
    <row r="314" ht="15.75" customHeight="1">
      <c r="A314" s="39"/>
    </row>
    <row r="315" ht="15.75" customHeight="1">
      <c r="A315" s="39"/>
    </row>
    <row r="316" ht="15.75" customHeight="1">
      <c r="A316" s="39"/>
    </row>
    <row r="317" ht="15.75" customHeight="1">
      <c r="A317" s="39"/>
    </row>
    <row r="318" ht="15.75" customHeight="1">
      <c r="A318" s="39"/>
    </row>
    <row r="319" ht="15.75" customHeight="1">
      <c r="A319" s="39"/>
    </row>
    <row r="320" ht="15.75" customHeight="1">
      <c r="A320" s="39"/>
    </row>
    <row r="321" ht="15.75" customHeight="1">
      <c r="A321" s="39"/>
    </row>
    <row r="322" ht="15.75" customHeight="1">
      <c r="A322" s="39"/>
    </row>
    <row r="323" ht="15.75" customHeight="1">
      <c r="A323" s="39"/>
    </row>
    <row r="324" ht="15.75" customHeight="1">
      <c r="A324" s="39"/>
    </row>
    <row r="325" ht="15.75" customHeight="1">
      <c r="A325" s="39"/>
    </row>
    <row r="326" ht="15.75" customHeight="1">
      <c r="A326" s="39"/>
    </row>
    <row r="327" ht="15.75" customHeight="1">
      <c r="A327" s="39"/>
    </row>
    <row r="328" ht="15.75" customHeight="1">
      <c r="A328" s="39"/>
    </row>
    <row r="329" ht="15.75" customHeight="1">
      <c r="A329" s="39"/>
    </row>
    <row r="330" ht="15.75" customHeight="1">
      <c r="A330" s="39"/>
    </row>
    <row r="331" ht="15.75" customHeight="1">
      <c r="A331" s="39"/>
    </row>
    <row r="332" ht="15.75" customHeight="1">
      <c r="A332" s="39"/>
    </row>
    <row r="333" ht="15.75" customHeight="1">
      <c r="A333" s="39"/>
    </row>
    <row r="334" ht="15.75" customHeight="1">
      <c r="A334" s="39"/>
    </row>
    <row r="335" ht="15.75" customHeight="1">
      <c r="A335" s="39"/>
    </row>
    <row r="336" ht="15.75" customHeight="1">
      <c r="A336" s="39"/>
    </row>
    <row r="337" ht="15.75" customHeight="1">
      <c r="A337" s="39"/>
    </row>
    <row r="338" ht="15.75" customHeight="1">
      <c r="A338" s="39"/>
    </row>
    <row r="339" ht="15.75" customHeight="1">
      <c r="A339" s="39"/>
    </row>
    <row r="340" ht="15.75" customHeight="1">
      <c r="A340" s="39"/>
    </row>
    <row r="341" ht="15.75" customHeight="1">
      <c r="A341" s="39"/>
    </row>
    <row r="342" ht="15.75" customHeight="1">
      <c r="A342" s="39"/>
    </row>
    <row r="343" ht="15.75" customHeight="1">
      <c r="A343" s="39"/>
    </row>
    <row r="344" ht="15.75" customHeight="1">
      <c r="A344" s="39"/>
    </row>
    <row r="345" ht="15.75" customHeight="1">
      <c r="A345" s="39"/>
    </row>
    <row r="346" ht="15.75" customHeight="1">
      <c r="A346" s="39"/>
    </row>
    <row r="347" ht="15.75" customHeight="1">
      <c r="A347" s="39"/>
    </row>
    <row r="348" ht="15.75" customHeight="1">
      <c r="A348" s="39"/>
    </row>
    <row r="349" ht="15.75" customHeight="1">
      <c r="A349" s="39"/>
    </row>
    <row r="350" ht="15.75" customHeight="1">
      <c r="A350" s="39"/>
    </row>
    <row r="351" ht="15.75" customHeight="1">
      <c r="A351" s="39"/>
    </row>
    <row r="352" ht="15.75" customHeight="1">
      <c r="A352" s="39"/>
    </row>
    <row r="353" ht="15.75" customHeight="1">
      <c r="A353" s="39"/>
    </row>
    <row r="354" ht="15.75" customHeight="1">
      <c r="A354" s="39"/>
    </row>
    <row r="355" ht="15.75" customHeight="1">
      <c r="A355" s="39"/>
    </row>
    <row r="356" ht="15.75" customHeight="1">
      <c r="A356" s="39"/>
    </row>
    <row r="357" ht="15.75" customHeight="1">
      <c r="A357" s="39"/>
    </row>
    <row r="358" ht="15.75" customHeight="1">
      <c r="A358" s="39"/>
    </row>
    <row r="359" ht="15.75" customHeight="1">
      <c r="A359" s="39"/>
    </row>
    <row r="360" ht="15.75" customHeight="1">
      <c r="A360" s="39"/>
    </row>
    <row r="361" ht="15.75" customHeight="1">
      <c r="A361" s="39"/>
    </row>
    <row r="362" ht="15.75" customHeight="1">
      <c r="A362" s="39"/>
    </row>
    <row r="363" ht="15.75" customHeight="1">
      <c r="A363" s="39"/>
    </row>
    <row r="364" ht="15.75" customHeight="1">
      <c r="A364" s="39"/>
    </row>
    <row r="365" ht="15.75" customHeight="1">
      <c r="A365" s="39"/>
    </row>
    <row r="366" ht="15.75" customHeight="1">
      <c r="A366" s="39"/>
    </row>
    <row r="367" ht="15.75" customHeight="1">
      <c r="A367" s="39"/>
    </row>
    <row r="368" ht="15.75" customHeight="1">
      <c r="A368" s="39"/>
    </row>
    <row r="369" ht="15.75" customHeight="1">
      <c r="A369" s="39"/>
    </row>
    <row r="370" ht="15.75" customHeight="1">
      <c r="A370" s="39"/>
    </row>
    <row r="371" ht="15.75" customHeight="1">
      <c r="A371" s="39"/>
    </row>
    <row r="372" ht="15.75" customHeight="1">
      <c r="A372" s="39"/>
    </row>
    <row r="373" ht="15.75" customHeight="1">
      <c r="A373" s="39"/>
    </row>
    <row r="374" ht="15.75" customHeight="1">
      <c r="A374" s="39"/>
    </row>
    <row r="375" ht="15.75" customHeight="1">
      <c r="A375" s="39"/>
    </row>
    <row r="376" ht="15.75" customHeight="1">
      <c r="A376" s="39"/>
    </row>
    <row r="377" ht="15.75" customHeight="1">
      <c r="A377" s="39"/>
    </row>
    <row r="378" ht="15.75" customHeight="1">
      <c r="A378" s="39"/>
    </row>
    <row r="379" ht="15.75" customHeight="1">
      <c r="A379" s="39"/>
    </row>
    <row r="380" ht="15.75" customHeight="1">
      <c r="A380" s="39"/>
    </row>
    <row r="381" ht="15.75" customHeight="1">
      <c r="A381" s="39"/>
    </row>
    <row r="382" ht="15.75" customHeight="1">
      <c r="A382" s="39"/>
    </row>
    <row r="383" ht="15.75" customHeight="1">
      <c r="A383" s="39"/>
    </row>
    <row r="384" ht="15.75" customHeight="1">
      <c r="A384" s="39"/>
    </row>
    <row r="385" ht="15.75" customHeight="1">
      <c r="A385" s="39"/>
    </row>
    <row r="386" ht="15.75" customHeight="1">
      <c r="A386" s="39"/>
    </row>
    <row r="387" ht="15.75" customHeight="1">
      <c r="A387" s="39"/>
    </row>
    <row r="388" ht="15.75" customHeight="1">
      <c r="A388" s="39"/>
    </row>
    <row r="389" ht="15.75" customHeight="1">
      <c r="A389" s="39"/>
    </row>
    <row r="390" ht="15.75" customHeight="1">
      <c r="A390" s="39"/>
    </row>
    <row r="391" ht="15.75" customHeight="1">
      <c r="A391" s="39"/>
    </row>
    <row r="392" ht="15.75" customHeight="1">
      <c r="A392" s="39"/>
    </row>
    <row r="393" ht="15.75" customHeight="1">
      <c r="A393" s="39"/>
    </row>
    <row r="394" ht="15.75" customHeight="1">
      <c r="A394" s="39"/>
    </row>
    <row r="395" ht="15.75" customHeight="1">
      <c r="A395" s="39"/>
    </row>
    <row r="396" ht="15.75" customHeight="1">
      <c r="A396" s="39"/>
    </row>
    <row r="397" ht="15.75" customHeight="1">
      <c r="A397" s="39"/>
    </row>
    <row r="398" ht="15.75" customHeight="1">
      <c r="A398" s="39"/>
    </row>
    <row r="399" ht="15.75" customHeight="1">
      <c r="A399" s="39"/>
    </row>
    <row r="400" ht="15.75" customHeight="1">
      <c r="A400" s="39"/>
    </row>
    <row r="401" ht="15.75" customHeight="1">
      <c r="A401" s="39"/>
    </row>
    <row r="402" ht="15.75" customHeight="1">
      <c r="A402" s="39"/>
    </row>
    <row r="403" ht="15.75" customHeight="1">
      <c r="A403" s="39"/>
    </row>
    <row r="404" ht="15.75" customHeight="1">
      <c r="A404" s="39"/>
    </row>
    <row r="405" ht="15.75" customHeight="1">
      <c r="A405" s="39"/>
    </row>
    <row r="406" ht="15.75" customHeight="1">
      <c r="A406" s="39"/>
    </row>
    <row r="407" ht="15.75" customHeight="1">
      <c r="A407" s="39"/>
    </row>
    <row r="408" ht="15.75" customHeight="1">
      <c r="A408" s="39"/>
    </row>
    <row r="409" ht="15.75" customHeight="1">
      <c r="A409" s="39"/>
    </row>
    <row r="410" ht="15.75" customHeight="1">
      <c r="A410" s="39"/>
    </row>
    <row r="411" ht="15.75" customHeight="1">
      <c r="A411" s="39"/>
    </row>
    <row r="412" ht="15.75" customHeight="1">
      <c r="A412" s="39"/>
    </row>
    <row r="413" ht="15.75" customHeight="1">
      <c r="A413" s="39"/>
    </row>
    <row r="414" ht="15.75" customHeight="1">
      <c r="A414" s="39"/>
    </row>
    <row r="415" ht="15.75" customHeight="1">
      <c r="A415" s="39"/>
    </row>
    <row r="416" ht="15.75" customHeight="1">
      <c r="A416" s="39"/>
    </row>
    <row r="417" ht="15.75" customHeight="1">
      <c r="A417" s="39"/>
    </row>
    <row r="418" ht="15.75" customHeight="1">
      <c r="A418" s="39"/>
    </row>
    <row r="419" ht="15.75" customHeight="1">
      <c r="A419" s="39"/>
    </row>
    <row r="420" ht="15.75" customHeight="1">
      <c r="A420" s="39"/>
    </row>
    <row r="421" ht="15.75" customHeight="1">
      <c r="A421" s="39"/>
    </row>
    <row r="422" ht="15.75" customHeight="1">
      <c r="A422" s="39"/>
    </row>
    <row r="423" ht="15.75" customHeight="1">
      <c r="A423" s="39"/>
    </row>
    <row r="424" ht="15.75" customHeight="1">
      <c r="A424" s="39"/>
    </row>
    <row r="425" ht="15.75" customHeight="1">
      <c r="A425" s="39"/>
    </row>
    <row r="426" ht="15.75" customHeight="1">
      <c r="A426" s="39"/>
    </row>
    <row r="427" ht="15.75" customHeight="1">
      <c r="A427" s="39"/>
    </row>
    <row r="428" ht="15.75" customHeight="1">
      <c r="A428" s="39"/>
    </row>
    <row r="429" ht="15.75" customHeight="1">
      <c r="A429" s="39"/>
    </row>
    <row r="430" ht="15.75" customHeight="1">
      <c r="A430" s="39"/>
    </row>
    <row r="431" ht="15.75" customHeight="1">
      <c r="A431" s="39"/>
    </row>
    <row r="432" ht="15.75" customHeight="1">
      <c r="A432" s="39"/>
    </row>
    <row r="433" ht="15.75" customHeight="1">
      <c r="A433" s="39"/>
    </row>
    <row r="434" ht="15.75" customHeight="1">
      <c r="A434" s="39"/>
    </row>
    <row r="435" ht="15.75" customHeight="1">
      <c r="A435" s="39"/>
    </row>
    <row r="436" ht="15.75" customHeight="1">
      <c r="A436" s="39"/>
    </row>
    <row r="437" ht="15.75" customHeight="1">
      <c r="A437" s="39"/>
    </row>
    <row r="438" ht="15.75" customHeight="1">
      <c r="A438" s="39"/>
    </row>
    <row r="439" ht="15.75" customHeight="1">
      <c r="A439" s="39"/>
    </row>
    <row r="440" ht="15.75" customHeight="1">
      <c r="A440" s="39"/>
    </row>
    <row r="441" ht="15.75" customHeight="1">
      <c r="A441" s="39"/>
    </row>
    <row r="442" ht="15.75" customHeight="1">
      <c r="A442" s="39"/>
    </row>
    <row r="443" ht="15.75" customHeight="1">
      <c r="A443" s="39"/>
    </row>
    <row r="444" ht="15.75" customHeight="1">
      <c r="A444" s="39"/>
    </row>
    <row r="445" ht="15.75" customHeight="1">
      <c r="A445" s="39"/>
    </row>
    <row r="446" ht="15.75" customHeight="1">
      <c r="A446" s="39"/>
    </row>
    <row r="447" ht="15.75" customHeight="1">
      <c r="A447" s="39"/>
    </row>
    <row r="448" ht="15.75" customHeight="1">
      <c r="A448" s="39"/>
    </row>
    <row r="449" ht="15.75" customHeight="1">
      <c r="A449" s="39"/>
    </row>
    <row r="450" ht="15.75" customHeight="1">
      <c r="A450" s="39"/>
    </row>
    <row r="451" ht="15.75" customHeight="1">
      <c r="A451" s="39"/>
    </row>
    <row r="452" ht="15.75" customHeight="1">
      <c r="A452" s="39"/>
    </row>
    <row r="453" ht="15.75" customHeight="1">
      <c r="A453" s="39"/>
    </row>
    <row r="454" ht="15.75" customHeight="1">
      <c r="A454" s="39"/>
    </row>
    <row r="455" ht="15.75" customHeight="1">
      <c r="A455" s="39"/>
    </row>
    <row r="456" ht="15.75" customHeight="1">
      <c r="A456" s="39"/>
    </row>
    <row r="457" ht="15.75" customHeight="1">
      <c r="A457" s="39"/>
    </row>
    <row r="458" ht="15.75" customHeight="1">
      <c r="A458" s="39"/>
    </row>
    <row r="459" ht="15.75" customHeight="1">
      <c r="A459" s="39"/>
    </row>
    <row r="460" ht="15.75" customHeight="1">
      <c r="A460" s="39"/>
    </row>
    <row r="461" ht="15.75" customHeight="1">
      <c r="A461" s="39"/>
    </row>
    <row r="462" ht="15.75" customHeight="1">
      <c r="A462" s="39"/>
    </row>
    <row r="463" ht="15.75" customHeight="1">
      <c r="A463" s="39"/>
    </row>
    <row r="464" ht="15.75" customHeight="1">
      <c r="A464" s="39"/>
    </row>
    <row r="465" ht="15.75" customHeight="1">
      <c r="A465" s="39"/>
    </row>
    <row r="466" ht="15.75" customHeight="1">
      <c r="A466" s="39"/>
    </row>
    <row r="467" ht="15.75" customHeight="1">
      <c r="A467" s="39"/>
    </row>
    <row r="468" ht="15.75" customHeight="1">
      <c r="A468" s="39"/>
    </row>
    <row r="469" ht="15.75" customHeight="1">
      <c r="A469" s="39"/>
    </row>
    <row r="470" ht="15.75" customHeight="1">
      <c r="A470" s="39"/>
    </row>
    <row r="471" ht="15.75" customHeight="1">
      <c r="A471" s="39"/>
    </row>
    <row r="472" ht="15.75" customHeight="1">
      <c r="A472" s="39"/>
    </row>
    <row r="473" ht="15.75" customHeight="1">
      <c r="A473" s="39"/>
    </row>
    <row r="474" ht="15.75" customHeight="1">
      <c r="A474" s="39"/>
    </row>
    <row r="475" ht="15.75" customHeight="1">
      <c r="A475" s="39"/>
    </row>
    <row r="476" ht="15.75" customHeight="1">
      <c r="A476" s="39"/>
    </row>
    <row r="477" ht="15.75" customHeight="1">
      <c r="A477" s="39"/>
    </row>
    <row r="478" ht="15.75" customHeight="1">
      <c r="A478" s="39"/>
    </row>
    <row r="479" ht="15.75" customHeight="1">
      <c r="A479" s="39"/>
    </row>
    <row r="480" ht="15.75" customHeight="1">
      <c r="A480" s="39"/>
    </row>
    <row r="481" ht="15.75" customHeight="1">
      <c r="A481" s="39"/>
    </row>
    <row r="482" ht="15.75" customHeight="1">
      <c r="A482" s="39"/>
    </row>
    <row r="483" ht="15.75" customHeight="1">
      <c r="A483" s="39"/>
    </row>
    <row r="484" ht="15.75" customHeight="1">
      <c r="A484" s="39"/>
    </row>
    <row r="485" ht="15.75" customHeight="1">
      <c r="A485" s="39"/>
    </row>
    <row r="486" ht="15.75" customHeight="1">
      <c r="A486" s="39"/>
    </row>
    <row r="487" ht="15.75" customHeight="1">
      <c r="A487" s="39"/>
    </row>
    <row r="488" ht="15.75" customHeight="1">
      <c r="A488" s="39"/>
    </row>
    <row r="489" ht="15.75" customHeight="1">
      <c r="A489" s="39"/>
    </row>
    <row r="490" ht="15.75" customHeight="1">
      <c r="A490" s="39"/>
    </row>
    <row r="491" ht="15.75" customHeight="1">
      <c r="A491" s="39"/>
    </row>
    <row r="492" ht="15.75" customHeight="1">
      <c r="A492" s="39"/>
    </row>
    <row r="493" ht="15.75" customHeight="1">
      <c r="A493" s="39"/>
    </row>
    <row r="494" ht="15.75" customHeight="1">
      <c r="A494" s="39"/>
    </row>
    <row r="495" ht="15.75" customHeight="1">
      <c r="A495" s="39"/>
    </row>
    <row r="496" ht="15.75" customHeight="1">
      <c r="A496" s="39"/>
    </row>
    <row r="497" ht="15.75" customHeight="1">
      <c r="A497" s="39"/>
    </row>
    <row r="498" ht="15.75" customHeight="1">
      <c r="A498" s="39"/>
    </row>
    <row r="499" ht="15.75" customHeight="1">
      <c r="A499" s="39"/>
    </row>
    <row r="500" ht="15.75" customHeight="1">
      <c r="A500" s="39"/>
    </row>
    <row r="501" ht="15.75" customHeight="1">
      <c r="A501" s="39"/>
    </row>
    <row r="502" ht="15.75" customHeight="1">
      <c r="A502" s="39"/>
    </row>
    <row r="503" ht="15.75" customHeight="1">
      <c r="A503" s="39"/>
    </row>
    <row r="504" ht="15.75" customHeight="1">
      <c r="A504" s="39"/>
    </row>
    <row r="505" ht="15.75" customHeight="1">
      <c r="A505" s="39"/>
    </row>
    <row r="506" ht="15.75" customHeight="1">
      <c r="A506" s="39"/>
    </row>
    <row r="507" ht="15.75" customHeight="1">
      <c r="A507" s="39"/>
    </row>
    <row r="508" ht="15.75" customHeight="1">
      <c r="A508" s="39"/>
    </row>
    <row r="509" ht="15.75" customHeight="1">
      <c r="A509" s="39"/>
    </row>
    <row r="510" ht="15.75" customHeight="1">
      <c r="A510" s="39"/>
    </row>
    <row r="511" ht="15.75" customHeight="1">
      <c r="A511" s="39"/>
    </row>
    <row r="512" ht="15.75" customHeight="1">
      <c r="A512" s="39"/>
    </row>
    <row r="513" ht="15.75" customHeight="1">
      <c r="A513" s="39"/>
    </row>
    <row r="514" ht="15.75" customHeight="1">
      <c r="A514" s="39"/>
    </row>
    <row r="515" ht="15.75" customHeight="1">
      <c r="A515" s="39"/>
    </row>
    <row r="516" ht="15.75" customHeight="1">
      <c r="A516" s="39"/>
    </row>
    <row r="517" ht="15.75" customHeight="1">
      <c r="A517" s="39"/>
    </row>
    <row r="518" ht="15.75" customHeight="1">
      <c r="A518" s="39"/>
    </row>
    <row r="519" ht="15.75" customHeight="1">
      <c r="A519" s="39"/>
    </row>
    <row r="520" ht="15.75" customHeight="1">
      <c r="A520" s="39"/>
    </row>
    <row r="521" ht="15.75" customHeight="1">
      <c r="A521" s="39"/>
    </row>
    <row r="522" ht="15.75" customHeight="1">
      <c r="A522" s="39"/>
    </row>
    <row r="523" ht="15.75" customHeight="1">
      <c r="A523" s="39"/>
    </row>
    <row r="524" ht="15.75" customHeight="1">
      <c r="A524" s="39"/>
    </row>
    <row r="525" ht="15.75" customHeight="1">
      <c r="A525" s="39"/>
    </row>
    <row r="526" ht="15.75" customHeight="1">
      <c r="A526" s="39"/>
    </row>
    <row r="527" ht="15.75" customHeight="1">
      <c r="A527" s="39"/>
    </row>
    <row r="528" ht="15.75" customHeight="1">
      <c r="A528" s="39"/>
    </row>
    <row r="529" ht="15.75" customHeight="1">
      <c r="A529" s="39"/>
    </row>
    <row r="530" ht="15.75" customHeight="1">
      <c r="A530" s="39"/>
    </row>
    <row r="531" ht="15.75" customHeight="1">
      <c r="A531" s="39"/>
    </row>
    <row r="532" ht="15.75" customHeight="1">
      <c r="A532" s="39"/>
    </row>
    <row r="533" ht="15.75" customHeight="1">
      <c r="A533" s="39"/>
    </row>
    <row r="534" ht="15.75" customHeight="1">
      <c r="A534" s="39"/>
    </row>
    <row r="535" ht="15.75" customHeight="1">
      <c r="A535" s="39"/>
    </row>
    <row r="536" ht="15.75" customHeight="1">
      <c r="A536" s="39"/>
    </row>
    <row r="537" ht="15.75" customHeight="1">
      <c r="A537" s="39"/>
    </row>
    <row r="538" ht="15.75" customHeight="1">
      <c r="A538" s="39"/>
    </row>
    <row r="539" ht="15.75" customHeight="1">
      <c r="A539" s="39"/>
    </row>
    <row r="540" ht="15.75" customHeight="1">
      <c r="A540" s="39"/>
    </row>
    <row r="541" ht="15.75" customHeight="1">
      <c r="A541" s="39"/>
    </row>
    <row r="542" ht="15.75" customHeight="1">
      <c r="A542" s="39"/>
    </row>
    <row r="543" ht="15.75" customHeight="1">
      <c r="A543" s="39"/>
    </row>
    <row r="544" ht="15.75" customHeight="1">
      <c r="A544" s="39"/>
    </row>
    <row r="545" ht="15.75" customHeight="1">
      <c r="A545" s="39"/>
    </row>
    <row r="546" ht="15.75" customHeight="1">
      <c r="A546" s="39"/>
    </row>
    <row r="547" ht="15.75" customHeight="1">
      <c r="A547" s="39"/>
    </row>
    <row r="548" ht="15.75" customHeight="1">
      <c r="A548" s="39"/>
    </row>
    <row r="549" ht="15.75" customHeight="1">
      <c r="A549" s="39"/>
    </row>
    <row r="550" ht="15.75" customHeight="1">
      <c r="A550" s="39"/>
    </row>
    <row r="551" ht="15.75" customHeight="1">
      <c r="A551" s="39"/>
    </row>
    <row r="552" ht="15.75" customHeight="1">
      <c r="A552" s="39"/>
    </row>
    <row r="553" ht="15.75" customHeight="1">
      <c r="A553" s="39"/>
    </row>
    <row r="554" ht="15.75" customHeight="1">
      <c r="A554" s="39"/>
    </row>
    <row r="555" ht="15.75" customHeight="1">
      <c r="A555" s="39"/>
    </row>
    <row r="556" ht="15.75" customHeight="1">
      <c r="A556" s="39"/>
    </row>
    <row r="557" ht="15.75" customHeight="1">
      <c r="A557" s="39"/>
    </row>
    <row r="558" ht="15.75" customHeight="1">
      <c r="A558" s="39"/>
    </row>
    <row r="559" ht="15.75" customHeight="1">
      <c r="A559" s="39"/>
    </row>
    <row r="560" ht="15.75" customHeight="1">
      <c r="A560" s="39"/>
    </row>
    <row r="561" ht="15.75" customHeight="1">
      <c r="A561" s="39"/>
    </row>
    <row r="562" ht="15.75" customHeight="1">
      <c r="A562" s="39"/>
    </row>
    <row r="563" ht="15.75" customHeight="1">
      <c r="A563" s="39"/>
    </row>
    <row r="564" ht="15.75" customHeight="1">
      <c r="A564" s="39"/>
    </row>
    <row r="565" ht="15.75" customHeight="1">
      <c r="A565" s="39"/>
    </row>
    <row r="566" ht="15.75" customHeight="1">
      <c r="A566" s="39"/>
    </row>
    <row r="567" ht="15.75" customHeight="1">
      <c r="A567" s="39"/>
    </row>
    <row r="568" ht="15.75" customHeight="1">
      <c r="A568" s="39"/>
    </row>
    <row r="569" ht="15.75" customHeight="1">
      <c r="A569" s="39"/>
    </row>
    <row r="570" ht="15.75" customHeight="1">
      <c r="A570" s="39"/>
    </row>
    <row r="571" ht="15.75" customHeight="1">
      <c r="A571" s="39"/>
    </row>
    <row r="572" ht="15.75" customHeight="1">
      <c r="A572" s="39"/>
    </row>
    <row r="573" ht="15.75" customHeight="1">
      <c r="A573" s="39"/>
    </row>
    <row r="574" ht="15.75" customHeight="1">
      <c r="A574" s="39"/>
    </row>
    <row r="575" ht="15.75" customHeight="1">
      <c r="A575" s="39"/>
    </row>
    <row r="576" ht="15.75" customHeight="1">
      <c r="A576" s="39"/>
    </row>
    <row r="577" ht="15.75" customHeight="1">
      <c r="A577" s="39"/>
    </row>
    <row r="578" ht="15.75" customHeight="1">
      <c r="A578" s="39"/>
    </row>
    <row r="579" ht="15.75" customHeight="1">
      <c r="A579" s="39"/>
    </row>
    <row r="580" ht="15.75" customHeight="1">
      <c r="A580" s="39"/>
    </row>
    <row r="581" ht="15.75" customHeight="1">
      <c r="A581" s="39"/>
    </row>
    <row r="582" ht="15.75" customHeight="1">
      <c r="A582" s="39"/>
    </row>
    <row r="583" ht="15.75" customHeight="1">
      <c r="A583" s="39"/>
    </row>
    <row r="584" ht="15.75" customHeight="1">
      <c r="A584" s="39"/>
    </row>
    <row r="585" ht="15.75" customHeight="1">
      <c r="A585" s="39"/>
    </row>
    <row r="586" ht="15.75" customHeight="1">
      <c r="A586" s="39"/>
    </row>
    <row r="587" ht="15.75" customHeight="1">
      <c r="A587" s="39"/>
    </row>
    <row r="588" ht="15.75" customHeight="1">
      <c r="A588" s="39"/>
    </row>
    <row r="589" ht="15.75" customHeight="1">
      <c r="A589" s="39"/>
    </row>
    <row r="590" ht="15.75" customHeight="1">
      <c r="A590" s="39"/>
    </row>
    <row r="591" ht="15.75" customHeight="1">
      <c r="A591" s="39"/>
    </row>
    <row r="592" ht="15.75" customHeight="1">
      <c r="A592" s="39"/>
    </row>
    <row r="593" ht="15.75" customHeight="1">
      <c r="A593" s="39"/>
    </row>
    <row r="594" ht="15.75" customHeight="1">
      <c r="A594" s="39"/>
    </row>
    <row r="595" ht="15.75" customHeight="1">
      <c r="A595" s="39"/>
    </row>
    <row r="596" ht="15.75" customHeight="1">
      <c r="A596" s="39"/>
    </row>
    <row r="597" ht="15.75" customHeight="1">
      <c r="A597" s="39"/>
    </row>
    <row r="598" ht="15.75" customHeight="1">
      <c r="A598" s="39"/>
    </row>
    <row r="599" ht="15.75" customHeight="1">
      <c r="A599" s="39"/>
    </row>
    <row r="600" ht="15.75" customHeight="1">
      <c r="A600" s="39"/>
    </row>
    <row r="601" ht="15.75" customHeight="1">
      <c r="A601" s="39"/>
    </row>
    <row r="602" ht="15.75" customHeight="1">
      <c r="A602" s="39"/>
    </row>
    <row r="603" ht="15.75" customHeight="1">
      <c r="A603" s="39"/>
    </row>
    <row r="604" ht="15.75" customHeight="1">
      <c r="A604" s="39"/>
    </row>
    <row r="605" ht="15.75" customHeight="1">
      <c r="A605" s="39"/>
    </row>
    <row r="606" ht="15.75" customHeight="1">
      <c r="A606" s="39"/>
    </row>
    <row r="607" ht="15.75" customHeight="1">
      <c r="A607" s="39"/>
    </row>
    <row r="608" ht="15.75" customHeight="1">
      <c r="A608" s="39"/>
    </row>
    <row r="609" ht="15.75" customHeight="1">
      <c r="A609" s="39"/>
    </row>
    <row r="610" ht="15.75" customHeight="1">
      <c r="A610" s="39"/>
    </row>
    <row r="611" ht="15.75" customHeight="1">
      <c r="A611" s="39"/>
    </row>
    <row r="612" ht="15.75" customHeight="1">
      <c r="A612" s="39"/>
    </row>
    <row r="613" ht="15.75" customHeight="1">
      <c r="A613" s="39"/>
    </row>
    <row r="614" ht="15.75" customHeight="1">
      <c r="A614" s="39"/>
    </row>
    <row r="615" ht="15.75" customHeight="1">
      <c r="A615" s="39"/>
    </row>
    <row r="616" ht="15.75" customHeight="1">
      <c r="A616" s="39"/>
    </row>
    <row r="617" ht="15.75" customHeight="1">
      <c r="A617" s="39"/>
    </row>
    <row r="618" ht="15.75" customHeight="1">
      <c r="A618" s="39"/>
    </row>
    <row r="619" ht="15.75" customHeight="1">
      <c r="A619" s="39"/>
    </row>
    <row r="620" ht="15.75" customHeight="1">
      <c r="A620" s="39"/>
    </row>
    <row r="621" ht="15.75" customHeight="1">
      <c r="A621" s="39"/>
    </row>
    <row r="622" ht="15.75" customHeight="1">
      <c r="A622" s="39"/>
    </row>
    <row r="623" ht="15.75" customHeight="1">
      <c r="A623" s="39"/>
    </row>
    <row r="624" ht="15.75" customHeight="1">
      <c r="A624" s="39"/>
    </row>
    <row r="625" ht="15.75" customHeight="1">
      <c r="A625" s="39"/>
    </row>
    <row r="626" ht="15.75" customHeight="1">
      <c r="A626" s="39"/>
    </row>
    <row r="627" ht="15.75" customHeight="1">
      <c r="A627" s="39"/>
    </row>
    <row r="628" ht="15.75" customHeight="1">
      <c r="A628" s="39"/>
    </row>
    <row r="629" ht="15.75" customHeight="1">
      <c r="A629" s="39"/>
    </row>
    <row r="630" ht="15.75" customHeight="1">
      <c r="A630" s="39"/>
    </row>
    <row r="631" ht="15.75" customHeight="1">
      <c r="A631" s="39"/>
    </row>
    <row r="632" ht="15.75" customHeight="1">
      <c r="A632" s="39"/>
    </row>
    <row r="633" ht="15.75" customHeight="1">
      <c r="A633" s="39"/>
    </row>
    <row r="634" ht="15.75" customHeight="1">
      <c r="A634" s="39"/>
    </row>
    <row r="635" ht="15.75" customHeight="1">
      <c r="A635" s="39"/>
    </row>
    <row r="636" ht="15.75" customHeight="1">
      <c r="A636" s="39"/>
    </row>
    <row r="637" ht="15.75" customHeight="1">
      <c r="A637" s="39"/>
    </row>
    <row r="638" ht="15.75" customHeight="1">
      <c r="A638" s="39"/>
    </row>
    <row r="639" ht="15.75" customHeight="1">
      <c r="A639" s="39"/>
    </row>
    <row r="640" ht="15.75" customHeight="1">
      <c r="A640" s="39"/>
    </row>
    <row r="641" ht="15.75" customHeight="1">
      <c r="A641" s="39"/>
    </row>
    <row r="642" ht="15.75" customHeight="1">
      <c r="A642" s="39"/>
    </row>
    <row r="643" ht="15.75" customHeight="1">
      <c r="A643" s="39"/>
    </row>
    <row r="644" ht="15.75" customHeight="1">
      <c r="A644" s="39"/>
    </row>
    <row r="645" ht="15.75" customHeight="1">
      <c r="A645" s="39"/>
    </row>
    <row r="646" ht="15.75" customHeight="1">
      <c r="A646" s="39"/>
    </row>
    <row r="647" ht="15.75" customHeight="1">
      <c r="A647" s="39"/>
    </row>
    <row r="648" ht="15.75" customHeight="1">
      <c r="A648" s="39"/>
    </row>
    <row r="649" ht="15.75" customHeight="1">
      <c r="A649" s="39"/>
    </row>
    <row r="650" ht="15.75" customHeight="1">
      <c r="A650" s="39"/>
    </row>
    <row r="651" ht="15.75" customHeight="1">
      <c r="A651" s="39"/>
    </row>
    <row r="652" ht="15.75" customHeight="1">
      <c r="A652" s="39"/>
    </row>
    <row r="653" ht="15.75" customHeight="1">
      <c r="A653" s="39"/>
    </row>
    <row r="654" ht="15.75" customHeight="1">
      <c r="A654" s="39"/>
    </row>
    <row r="655" ht="15.75" customHeight="1">
      <c r="A655" s="39"/>
    </row>
    <row r="656" ht="15.75" customHeight="1">
      <c r="A656" s="39"/>
    </row>
    <row r="657" ht="15.75" customHeight="1">
      <c r="A657" s="39"/>
    </row>
    <row r="658" ht="15.75" customHeight="1">
      <c r="A658" s="39"/>
    </row>
    <row r="659" ht="15.75" customHeight="1">
      <c r="A659" s="39"/>
    </row>
    <row r="660" ht="15.75" customHeight="1">
      <c r="A660" s="39"/>
    </row>
    <row r="661" ht="15.75" customHeight="1">
      <c r="A661" s="39"/>
    </row>
    <row r="662" ht="15.75" customHeight="1">
      <c r="A662" s="39"/>
    </row>
    <row r="663" ht="15.75" customHeight="1">
      <c r="A663" s="39"/>
    </row>
    <row r="664" ht="15.75" customHeight="1">
      <c r="A664" s="39"/>
    </row>
    <row r="665" ht="15.75" customHeight="1">
      <c r="A665" s="39"/>
    </row>
    <row r="666" ht="15.75" customHeight="1">
      <c r="A666" s="39"/>
    </row>
    <row r="667" ht="15.75" customHeight="1">
      <c r="A667" s="39"/>
    </row>
    <row r="668" ht="15.75" customHeight="1">
      <c r="A668" s="39"/>
    </row>
    <row r="669" ht="15.75" customHeight="1">
      <c r="A669" s="39"/>
    </row>
    <row r="670" ht="15.75" customHeight="1">
      <c r="A670" s="39"/>
    </row>
    <row r="671" ht="15.75" customHeight="1">
      <c r="A671" s="39"/>
    </row>
    <row r="672" ht="15.75" customHeight="1">
      <c r="A672" s="39"/>
    </row>
    <row r="673" ht="15.75" customHeight="1">
      <c r="A673" s="39"/>
    </row>
    <row r="674" ht="15.75" customHeight="1">
      <c r="A674" s="39"/>
    </row>
    <row r="675" ht="15.75" customHeight="1">
      <c r="A675" s="39"/>
    </row>
    <row r="676" ht="15.75" customHeight="1">
      <c r="A676" s="39"/>
    </row>
    <row r="677" ht="15.75" customHeight="1">
      <c r="A677" s="39"/>
    </row>
    <row r="678" ht="15.75" customHeight="1">
      <c r="A678" s="39"/>
    </row>
    <row r="679" ht="15.75" customHeight="1">
      <c r="A679" s="39"/>
    </row>
    <row r="680" ht="15.75" customHeight="1">
      <c r="A680" s="39"/>
    </row>
    <row r="681" ht="15.75" customHeight="1">
      <c r="A681" s="39"/>
    </row>
    <row r="682" ht="15.75" customHeight="1">
      <c r="A682" s="39"/>
    </row>
    <row r="683" ht="15.75" customHeight="1">
      <c r="A683" s="39"/>
    </row>
    <row r="684" ht="15.75" customHeight="1">
      <c r="A684" s="39"/>
    </row>
    <row r="685" ht="15.75" customHeight="1">
      <c r="A685" s="39"/>
    </row>
    <row r="686" ht="15.75" customHeight="1">
      <c r="A686" s="39"/>
    </row>
    <row r="687" ht="15.75" customHeight="1">
      <c r="A687" s="39"/>
    </row>
    <row r="688" ht="15.75" customHeight="1">
      <c r="A688" s="39"/>
    </row>
    <row r="689" ht="15.75" customHeight="1">
      <c r="A689" s="39"/>
    </row>
    <row r="690" ht="15.75" customHeight="1">
      <c r="A690" s="39"/>
    </row>
    <row r="691" ht="15.75" customHeight="1">
      <c r="A691" s="39"/>
    </row>
    <row r="692" ht="15.75" customHeight="1">
      <c r="A692" s="39"/>
    </row>
    <row r="693" ht="15.75" customHeight="1">
      <c r="A693" s="39"/>
    </row>
    <row r="694" ht="15.75" customHeight="1">
      <c r="A694" s="39"/>
    </row>
    <row r="695" ht="15.75" customHeight="1">
      <c r="A695" s="39"/>
    </row>
    <row r="696" ht="15.75" customHeight="1">
      <c r="A696" s="39"/>
    </row>
    <row r="697" ht="15.75" customHeight="1">
      <c r="A697" s="39"/>
    </row>
    <row r="698" ht="15.75" customHeight="1">
      <c r="A698" s="39"/>
    </row>
    <row r="699" ht="15.75" customHeight="1">
      <c r="A699" s="39"/>
    </row>
    <row r="700" ht="15.75" customHeight="1">
      <c r="A700" s="39"/>
    </row>
    <row r="701" ht="15.75" customHeight="1">
      <c r="A701" s="39"/>
    </row>
    <row r="702" ht="15.75" customHeight="1">
      <c r="A702" s="39"/>
    </row>
    <row r="703" ht="15.75" customHeight="1">
      <c r="A703" s="39"/>
    </row>
    <row r="704" ht="15.75" customHeight="1">
      <c r="A704" s="39"/>
    </row>
    <row r="705" ht="15.75" customHeight="1">
      <c r="A705" s="39"/>
    </row>
    <row r="706" ht="15.75" customHeight="1">
      <c r="A706" s="39"/>
    </row>
    <row r="707" ht="15.75" customHeight="1">
      <c r="A707" s="39"/>
    </row>
    <row r="708" ht="15.75" customHeight="1">
      <c r="A708" s="39"/>
    </row>
    <row r="709" ht="15.75" customHeight="1">
      <c r="A709" s="39"/>
    </row>
    <row r="710" ht="15.75" customHeight="1">
      <c r="A710" s="39"/>
    </row>
    <row r="711" ht="15.75" customHeight="1">
      <c r="A711" s="39"/>
    </row>
    <row r="712" ht="15.75" customHeight="1">
      <c r="A712" s="39"/>
    </row>
    <row r="713" ht="15.75" customHeight="1">
      <c r="A713" s="39"/>
    </row>
    <row r="714" ht="15.75" customHeight="1">
      <c r="A714" s="39"/>
    </row>
    <row r="715" ht="15.75" customHeight="1">
      <c r="A715" s="39"/>
    </row>
    <row r="716" ht="15.75" customHeight="1">
      <c r="A716" s="39"/>
    </row>
    <row r="717" ht="15.75" customHeight="1">
      <c r="A717" s="39"/>
    </row>
    <row r="718" ht="15.75" customHeight="1">
      <c r="A718" s="39"/>
    </row>
    <row r="719" ht="15.75" customHeight="1">
      <c r="A719" s="39"/>
    </row>
    <row r="720" ht="15.75" customHeight="1">
      <c r="A720" s="39"/>
    </row>
    <row r="721" ht="15.75" customHeight="1">
      <c r="A721" s="39"/>
    </row>
    <row r="722" ht="15.75" customHeight="1">
      <c r="A722" s="39"/>
    </row>
    <row r="723" ht="15.75" customHeight="1">
      <c r="A723" s="39"/>
    </row>
    <row r="724" ht="15.75" customHeight="1">
      <c r="A724" s="39"/>
    </row>
    <row r="725" ht="15.75" customHeight="1">
      <c r="A725" s="39"/>
    </row>
    <row r="726" ht="15.75" customHeight="1">
      <c r="A726" s="39"/>
    </row>
    <row r="727" ht="15.75" customHeight="1">
      <c r="A727" s="39"/>
    </row>
    <row r="728" ht="15.75" customHeight="1">
      <c r="A728" s="39"/>
    </row>
    <row r="729" ht="15.75" customHeight="1">
      <c r="A729" s="39"/>
    </row>
    <row r="730" ht="15.75" customHeight="1">
      <c r="A730" s="39"/>
    </row>
    <row r="731" ht="15.75" customHeight="1">
      <c r="A731" s="39"/>
    </row>
    <row r="732" ht="15.75" customHeight="1">
      <c r="A732" s="39"/>
    </row>
    <row r="733" ht="15.75" customHeight="1">
      <c r="A733" s="39"/>
    </row>
    <row r="734" ht="15.75" customHeight="1">
      <c r="A734" s="39"/>
    </row>
    <row r="735" ht="15.75" customHeight="1">
      <c r="A735" s="39"/>
    </row>
    <row r="736" ht="15.75" customHeight="1">
      <c r="A736" s="39"/>
    </row>
    <row r="737" ht="15.75" customHeight="1">
      <c r="A737" s="39"/>
    </row>
    <row r="738" ht="15.75" customHeight="1">
      <c r="A738" s="39"/>
    </row>
    <row r="739" ht="15.75" customHeight="1">
      <c r="A739" s="39"/>
    </row>
    <row r="740" ht="15.75" customHeight="1">
      <c r="A740" s="39"/>
    </row>
    <row r="741" ht="15.75" customHeight="1">
      <c r="A741" s="39"/>
    </row>
    <row r="742" ht="15.75" customHeight="1">
      <c r="A742" s="39"/>
    </row>
    <row r="743" ht="15.75" customHeight="1">
      <c r="A743" s="39"/>
    </row>
    <row r="744" ht="15.75" customHeight="1">
      <c r="A744" s="39"/>
    </row>
    <row r="745" ht="15.75" customHeight="1">
      <c r="A745" s="39"/>
    </row>
    <row r="746" ht="15.75" customHeight="1">
      <c r="A746" s="39"/>
    </row>
    <row r="747" ht="15.75" customHeight="1">
      <c r="A747" s="39"/>
    </row>
    <row r="748" ht="15.75" customHeight="1">
      <c r="A748" s="39"/>
    </row>
    <row r="749" ht="15.75" customHeight="1">
      <c r="A749" s="39"/>
    </row>
    <row r="750" ht="15.75" customHeight="1">
      <c r="A750" s="39"/>
    </row>
    <row r="751" ht="15.75" customHeight="1">
      <c r="A751" s="39"/>
    </row>
    <row r="752" ht="15.75" customHeight="1">
      <c r="A752" s="39"/>
    </row>
    <row r="753" ht="15.75" customHeight="1">
      <c r="A753" s="39"/>
    </row>
    <row r="754" ht="15.75" customHeight="1">
      <c r="A754" s="39"/>
    </row>
    <row r="755" ht="15.75" customHeight="1">
      <c r="A755" s="39"/>
    </row>
    <row r="756" ht="15.75" customHeight="1">
      <c r="A756" s="39"/>
    </row>
    <row r="757" ht="15.75" customHeight="1">
      <c r="A757" s="39"/>
    </row>
    <row r="758" ht="15.75" customHeight="1">
      <c r="A758" s="39"/>
    </row>
    <row r="759" ht="15.75" customHeight="1">
      <c r="A759" s="39"/>
    </row>
    <row r="760" ht="15.75" customHeight="1">
      <c r="A760" s="39"/>
    </row>
    <row r="761" ht="15.75" customHeight="1">
      <c r="A761" s="39"/>
    </row>
    <row r="762" ht="15.75" customHeight="1">
      <c r="A762" s="39"/>
    </row>
    <row r="763" ht="15.75" customHeight="1">
      <c r="A763" s="39"/>
    </row>
    <row r="764" ht="15.75" customHeight="1">
      <c r="A764" s="39"/>
    </row>
    <row r="765" ht="15.75" customHeight="1">
      <c r="A765" s="39"/>
    </row>
    <row r="766" ht="15.75" customHeight="1">
      <c r="A766" s="39"/>
    </row>
    <row r="767" ht="15.75" customHeight="1">
      <c r="A767" s="39"/>
    </row>
    <row r="768" ht="15.75" customHeight="1">
      <c r="A768" s="39"/>
    </row>
    <row r="769" ht="15.75" customHeight="1">
      <c r="A769" s="39"/>
    </row>
    <row r="770" ht="15.75" customHeight="1">
      <c r="A770" s="39"/>
    </row>
    <row r="771" ht="15.75" customHeight="1">
      <c r="A771" s="39"/>
    </row>
    <row r="772" ht="15.75" customHeight="1">
      <c r="A772" s="39"/>
    </row>
    <row r="773" ht="15.75" customHeight="1">
      <c r="A773" s="39"/>
    </row>
    <row r="774" ht="15.75" customHeight="1">
      <c r="A774" s="39"/>
    </row>
    <row r="775" ht="15.75" customHeight="1">
      <c r="A775" s="39"/>
    </row>
    <row r="776" ht="15.75" customHeight="1">
      <c r="A776" s="39"/>
    </row>
    <row r="777" ht="15.75" customHeight="1">
      <c r="A777" s="39"/>
    </row>
    <row r="778" ht="15.75" customHeight="1">
      <c r="A778" s="39"/>
    </row>
    <row r="779" ht="15.75" customHeight="1">
      <c r="A779" s="39"/>
    </row>
    <row r="780" ht="15.75" customHeight="1">
      <c r="A780" s="39"/>
    </row>
    <row r="781" ht="15.75" customHeight="1">
      <c r="A781" s="39"/>
    </row>
    <row r="782" ht="15.75" customHeight="1">
      <c r="A782" s="39"/>
    </row>
    <row r="783" ht="15.75" customHeight="1">
      <c r="A783" s="39"/>
    </row>
    <row r="784" ht="15.75" customHeight="1">
      <c r="A784" s="39"/>
    </row>
    <row r="785" ht="15.75" customHeight="1">
      <c r="A785" s="39"/>
    </row>
    <row r="786" ht="15.75" customHeight="1">
      <c r="A786" s="39"/>
    </row>
    <row r="787" ht="15.75" customHeight="1">
      <c r="A787" s="39"/>
    </row>
    <row r="788" ht="15.75" customHeight="1">
      <c r="A788" s="39"/>
    </row>
    <row r="789" ht="15.75" customHeight="1">
      <c r="A789" s="39"/>
    </row>
    <row r="790" ht="15.75" customHeight="1">
      <c r="A790" s="39"/>
    </row>
    <row r="791" ht="15.75" customHeight="1">
      <c r="A791" s="39"/>
    </row>
    <row r="792" ht="15.75" customHeight="1">
      <c r="A792" s="39"/>
    </row>
    <row r="793" ht="15.75" customHeight="1">
      <c r="A793" s="39"/>
    </row>
    <row r="794" ht="15.75" customHeight="1">
      <c r="A794" s="39"/>
    </row>
    <row r="795" ht="15.75" customHeight="1">
      <c r="A795" s="39"/>
    </row>
    <row r="796" ht="15.75" customHeight="1">
      <c r="A796" s="39"/>
    </row>
    <row r="797" ht="15.75" customHeight="1">
      <c r="A797" s="39"/>
    </row>
    <row r="798" ht="15.75" customHeight="1">
      <c r="A798" s="39"/>
    </row>
    <row r="799" ht="15.75" customHeight="1">
      <c r="A799" s="39"/>
    </row>
    <row r="800" ht="15.75" customHeight="1">
      <c r="A800" s="39"/>
    </row>
    <row r="801" ht="15.75" customHeight="1">
      <c r="A801" s="39"/>
    </row>
    <row r="802" ht="15.75" customHeight="1">
      <c r="A802" s="39"/>
    </row>
    <row r="803" ht="15.75" customHeight="1">
      <c r="A803" s="39"/>
    </row>
    <row r="804" ht="15.75" customHeight="1">
      <c r="A804" s="39"/>
    </row>
    <row r="805" ht="15.75" customHeight="1">
      <c r="A805" s="39"/>
    </row>
    <row r="806" ht="15.75" customHeight="1">
      <c r="A806" s="39"/>
    </row>
    <row r="807" ht="15.75" customHeight="1">
      <c r="A807" s="39"/>
    </row>
    <row r="808" ht="15.75" customHeight="1">
      <c r="A808" s="39"/>
    </row>
    <row r="809" ht="15.75" customHeight="1">
      <c r="A809" s="39"/>
    </row>
    <row r="810" ht="15.75" customHeight="1">
      <c r="A810" s="39"/>
    </row>
    <row r="811" ht="15.75" customHeight="1">
      <c r="A811" s="39"/>
    </row>
    <row r="812" ht="15.75" customHeight="1">
      <c r="A812" s="39"/>
    </row>
    <row r="813" ht="15.75" customHeight="1">
      <c r="A813" s="39"/>
    </row>
    <row r="814" ht="15.75" customHeight="1">
      <c r="A814" s="39"/>
    </row>
    <row r="815" ht="15.75" customHeight="1">
      <c r="A815" s="39"/>
    </row>
    <row r="816" ht="15.75" customHeight="1">
      <c r="A816" s="39"/>
    </row>
    <row r="817" ht="15.75" customHeight="1">
      <c r="A817" s="39"/>
    </row>
    <row r="818" ht="15.75" customHeight="1">
      <c r="A818" s="39"/>
    </row>
    <row r="819" ht="15.75" customHeight="1">
      <c r="A819" s="39"/>
    </row>
    <row r="820" ht="15.75" customHeight="1">
      <c r="A820" s="39"/>
    </row>
    <row r="821" ht="15.75" customHeight="1">
      <c r="A821" s="39"/>
    </row>
    <row r="822" ht="15.75" customHeight="1">
      <c r="A822" s="39"/>
    </row>
    <row r="823" ht="15.75" customHeight="1">
      <c r="A823" s="39"/>
    </row>
    <row r="824" ht="15.75" customHeight="1">
      <c r="A824" s="39"/>
    </row>
    <row r="825" ht="15.75" customHeight="1">
      <c r="A825" s="39"/>
    </row>
    <row r="826" ht="15.75" customHeight="1">
      <c r="A826" s="39"/>
    </row>
    <row r="827" ht="15.75" customHeight="1">
      <c r="A827" s="39"/>
    </row>
    <row r="828" ht="15.75" customHeight="1">
      <c r="A828" s="39"/>
    </row>
    <row r="829" ht="15.75" customHeight="1">
      <c r="A829" s="39"/>
    </row>
    <row r="830" ht="15.75" customHeight="1">
      <c r="A830" s="39"/>
    </row>
    <row r="831" ht="15.75" customHeight="1">
      <c r="A831" s="39"/>
    </row>
    <row r="832" ht="15.75" customHeight="1">
      <c r="A832" s="39"/>
    </row>
    <row r="833" ht="15.75" customHeight="1">
      <c r="A833" s="39"/>
    </row>
    <row r="834" ht="15.75" customHeight="1">
      <c r="A834" s="39"/>
    </row>
    <row r="835" ht="15.75" customHeight="1">
      <c r="A835" s="39"/>
    </row>
    <row r="836" ht="15.75" customHeight="1">
      <c r="A836" s="39"/>
    </row>
    <row r="837" ht="15.75" customHeight="1">
      <c r="A837" s="39"/>
    </row>
    <row r="838" ht="15.75" customHeight="1">
      <c r="A838" s="39"/>
    </row>
    <row r="839" ht="15.75" customHeight="1">
      <c r="A839" s="39"/>
    </row>
    <row r="840" ht="15.75" customHeight="1">
      <c r="A840" s="39"/>
    </row>
    <row r="841" ht="15.75" customHeight="1">
      <c r="A841" s="39"/>
    </row>
    <row r="842" ht="15.75" customHeight="1">
      <c r="A842" s="39"/>
    </row>
    <row r="843" ht="15.75" customHeight="1">
      <c r="A843" s="39"/>
    </row>
    <row r="844" ht="15.75" customHeight="1">
      <c r="A844" s="39"/>
    </row>
    <row r="845" ht="15.75" customHeight="1">
      <c r="A845" s="39"/>
    </row>
    <row r="846" ht="15.75" customHeight="1">
      <c r="A846" s="39"/>
    </row>
    <row r="847" ht="15.75" customHeight="1">
      <c r="A847" s="39"/>
    </row>
    <row r="848" ht="15.75" customHeight="1">
      <c r="A848" s="39"/>
    </row>
    <row r="849" ht="15.75" customHeight="1">
      <c r="A849" s="39"/>
    </row>
    <row r="850" ht="15.75" customHeight="1">
      <c r="A850" s="39"/>
    </row>
    <row r="851" ht="15.75" customHeight="1">
      <c r="A851" s="39"/>
    </row>
    <row r="852" ht="15.75" customHeight="1">
      <c r="A852" s="39"/>
    </row>
    <row r="853" ht="15.75" customHeight="1">
      <c r="A853" s="39"/>
    </row>
    <row r="854" ht="15.75" customHeight="1">
      <c r="A854" s="39"/>
    </row>
    <row r="855" ht="15.75" customHeight="1">
      <c r="A855" s="39"/>
    </row>
    <row r="856" ht="15.75" customHeight="1">
      <c r="A856" s="39"/>
    </row>
    <row r="857" ht="15.75" customHeight="1">
      <c r="A857" s="39"/>
    </row>
    <row r="858" ht="15.75" customHeight="1">
      <c r="A858" s="39"/>
    </row>
    <row r="859" ht="15.75" customHeight="1">
      <c r="A859" s="39"/>
    </row>
    <row r="860" ht="15.75" customHeight="1">
      <c r="A860" s="39"/>
    </row>
    <row r="861" ht="15.75" customHeight="1">
      <c r="A861" s="39"/>
    </row>
    <row r="862" ht="15.75" customHeight="1">
      <c r="A862" s="39"/>
    </row>
    <row r="863" ht="15.75" customHeight="1">
      <c r="A863" s="39"/>
    </row>
    <row r="864" ht="15.75" customHeight="1">
      <c r="A864" s="39"/>
    </row>
    <row r="865" ht="15.75" customHeight="1">
      <c r="A865" s="39"/>
    </row>
    <row r="866" ht="15.75" customHeight="1">
      <c r="A866" s="39"/>
    </row>
    <row r="867" ht="15.75" customHeight="1">
      <c r="A867" s="39"/>
    </row>
    <row r="868" ht="15.75" customHeight="1">
      <c r="A868" s="39"/>
    </row>
    <row r="869" ht="15.75" customHeight="1">
      <c r="A869" s="39"/>
    </row>
    <row r="870" ht="15.75" customHeight="1">
      <c r="A870" s="39"/>
    </row>
    <row r="871" ht="15.75" customHeight="1">
      <c r="A871" s="39"/>
    </row>
    <row r="872" ht="15.75" customHeight="1">
      <c r="A872" s="39"/>
    </row>
    <row r="873" ht="15.75" customHeight="1">
      <c r="A873" s="39"/>
    </row>
    <row r="874" ht="15.75" customHeight="1">
      <c r="A874" s="39"/>
    </row>
    <row r="875" ht="15.75" customHeight="1">
      <c r="A875" s="39"/>
    </row>
    <row r="876" ht="15.75" customHeight="1">
      <c r="A876" s="39"/>
    </row>
    <row r="877" ht="15.75" customHeight="1">
      <c r="A877" s="39"/>
    </row>
    <row r="878" ht="15.75" customHeight="1">
      <c r="A878" s="39"/>
    </row>
    <row r="879" ht="15.75" customHeight="1">
      <c r="A879" s="39"/>
    </row>
    <row r="880" ht="15.75" customHeight="1">
      <c r="A880" s="39"/>
    </row>
    <row r="881" ht="15.75" customHeight="1">
      <c r="A881" s="39"/>
    </row>
    <row r="882" ht="15.75" customHeight="1">
      <c r="A882" s="39"/>
    </row>
    <row r="883" ht="15.75" customHeight="1">
      <c r="A883" s="39"/>
    </row>
    <row r="884" ht="15.75" customHeight="1">
      <c r="A884" s="39"/>
    </row>
    <row r="885" ht="15.75" customHeight="1">
      <c r="A885" s="39"/>
    </row>
    <row r="886" ht="15.75" customHeight="1">
      <c r="A886" s="39"/>
    </row>
    <row r="887" ht="15.75" customHeight="1">
      <c r="A887" s="39"/>
    </row>
    <row r="888" ht="15.75" customHeight="1">
      <c r="A888" s="39"/>
    </row>
    <row r="889" ht="15.75" customHeight="1">
      <c r="A889" s="39"/>
    </row>
    <row r="890" ht="15.75" customHeight="1">
      <c r="A890" s="39"/>
    </row>
    <row r="891" ht="15.75" customHeight="1">
      <c r="A891" s="39"/>
    </row>
    <row r="892" ht="15.75" customHeight="1">
      <c r="A892" s="39"/>
    </row>
    <row r="893" ht="15.75" customHeight="1">
      <c r="A893" s="39"/>
    </row>
    <row r="894" ht="15.75" customHeight="1">
      <c r="A894" s="39"/>
    </row>
    <row r="895" ht="15.75" customHeight="1">
      <c r="A895" s="39"/>
    </row>
    <row r="896" ht="15.75" customHeight="1">
      <c r="A896" s="39"/>
    </row>
    <row r="897" ht="15.75" customHeight="1">
      <c r="A897" s="39"/>
    </row>
    <row r="898" ht="15.75" customHeight="1">
      <c r="A898" s="39"/>
    </row>
    <row r="899" ht="15.75" customHeight="1">
      <c r="A899" s="39"/>
    </row>
    <row r="900" ht="15.75" customHeight="1">
      <c r="A900" s="39"/>
    </row>
    <row r="901" ht="15.75" customHeight="1">
      <c r="A901" s="39"/>
    </row>
    <row r="902" ht="15.75" customHeight="1">
      <c r="A902" s="39"/>
    </row>
    <row r="903" ht="15.75" customHeight="1">
      <c r="A903" s="39"/>
    </row>
    <row r="904" ht="15.75" customHeight="1">
      <c r="A904" s="39"/>
    </row>
    <row r="905" ht="15.75" customHeight="1">
      <c r="A905" s="39"/>
    </row>
    <row r="906" ht="15.75" customHeight="1">
      <c r="A906" s="39"/>
    </row>
    <row r="907" ht="15.75" customHeight="1">
      <c r="A907" s="39"/>
    </row>
    <row r="908" ht="15.75" customHeight="1">
      <c r="A908" s="39"/>
    </row>
    <row r="909" ht="15.75" customHeight="1">
      <c r="A909" s="39"/>
    </row>
    <row r="910" ht="15.75" customHeight="1">
      <c r="A910" s="39"/>
    </row>
    <row r="911" ht="15.75" customHeight="1">
      <c r="A911" s="39"/>
    </row>
    <row r="912" ht="15.75" customHeight="1">
      <c r="A912" s="39"/>
    </row>
    <row r="913" ht="15.75" customHeight="1">
      <c r="A913" s="39"/>
    </row>
    <row r="914" ht="15.75" customHeight="1">
      <c r="A914" s="39"/>
    </row>
    <row r="915" ht="15.75" customHeight="1">
      <c r="A915" s="39"/>
    </row>
    <row r="916" ht="15.75" customHeight="1">
      <c r="A916" s="39"/>
    </row>
    <row r="917" ht="15.75" customHeight="1">
      <c r="A917" s="39"/>
    </row>
    <row r="918" ht="15.75" customHeight="1">
      <c r="A918" s="39"/>
    </row>
    <row r="919" ht="15.75" customHeight="1">
      <c r="A919" s="39"/>
    </row>
    <row r="920" ht="15.75" customHeight="1">
      <c r="A920" s="39"/>
    </row>
    <row r="921" ht="15.75" customHeight="1">
      <c r="A921" s="39"/>
    </row>
    <row r="922" ht="15.75" customHeight="1">
      <c r="A922" s="39"/>
    </row>
    <row r="923" ht="15.75" customHeight="1">
      <c r="A923" s="39"/>
    </row>
    <row r="924" ht="15.75" customHeight="1">
      <c r="A924" s="39"/>
    </row>
    <row r="925" ht="15.75" customHeight="1">
      <c r="A925" s="39"/>
    </row>
    <row r="926" ht="15.75" customHeight="1">
      <c r="A926" s="39"/>
    </row>
    <row r="927" ht="15.75" customHeight="1">
      <c r="A927" s="39"/>
    </row>
    <row r="928" ht="15.75" customHeight="1">
      <c r="A928" s="39"/>
    </row>
    <row r="929" ht="15.75" customHeight="1">
      <c r="A929" s="39"/>
    </row>
    <row r="930" ht="15.75" customHeight="1">
      <c r="A930" s="39"/>
    </row>
    <row r="931" ht="15.75" customHeight="1">
      <c r="A931" s="39"/>
    </row>
    <row r="932" ht="15.75" customHeight="1">
      <c r="A932" s="39"/>
    </row>
    <row r="933" ht="15.75" customHeight="1">
      <c r="A933" s="39"/>
    </row>
    <row r="934" ht="15.75" customHeight="1">
      <c r="A934" s="39"/>
    </row>
    <row r="935" ht="15.75" customHeight="1">
      <c r="A935" s="39"/>
    </row>
    <row r="936" ht="15.75" customHeight="1">
      <c r="A936" s="39"/>
    </row>
    <row r="937" ht="15.75" customHeight="1">
      <c r="A937" s="39"/>
    </row>
    <row r="938" ht="15.75" customHeight="1">
      <c r="A938" s="39"/>
    </row>
    <row r="939" ht="15.75" customHeight="1">
      <c r="A939" s="39"/>
    </row>
    <row r="940" ht="15.75" customHeight="1">
      <c r="A940" s="39"/>
    </row>
    <row r="941" ht="15.75" customHeight="1">
      <c r="A941" s="39"/>
    </row>
    <row r="942" ht="15.75" customHeight="1">
      <c r="A942" s="39"/>
    </row>
    <row r="943" ht="15.75" customHeight="1">
      <c r="A943" s="39"/>
    </row>
    <row r="944" ht="15.75" customHeight="1">
      <c r="A944" s="39"/>
    </row>
    <row r="945" ht="15.75" customHeight="1">
      <c r="A945" s="39"/>
    </row>
    <row r="946" ht="15.75" customHeight="1">
      <c r="A946" s="39"/>
    </row>
    <row r="947" ht="15.75" customHeight="1">
      <c r="A947" s="39"/>
    </row>
    <row r="948" ht="15.75" customHeight="1">
      <c r="A948" s="39"/>
    </row>
    <row r="949" ht="15.75" customHeight="1">
      <c r="A949" s="39"/>
    </row>
    <row r="950" ht="15.75" customHeight="1">
      <c r="A950" s="39"/>
    </row>
    <row r="951" ht="15.75" customHeight="1">
      <c r="A951" s="39"/>
    </row>
    <row r="952" ht="15.75" customHeight="1">
      <c r="A952" s="39"/>
    </row>
    <row r="953" ht="15.75" customHeight="1">
      <c r="A953" s="39"/>
    </row>
    <row r="954" ht="15.75" customHeight="1">
      <c r="A954" s="39"/>
    </row>
    <row r="955" ht="15.75" customHeight="1">
      <c r="A955" s="39"/>
    </row>
    <row r="956" ht="15.75" customHeight="1">
      <c r="A956" s="39"/>
    </row>
    <row r="957" ht="15.75" customHeight="1">
      <c r="A957" s="39"/>
    </row>
    <row r="958" ht="15.75" customHeight="1">
      <c r="A958" s="39"/>
    </row>
    <row r="959" ht="15.75" customHeight="1">
      <c r="A959" s="39"/>
    </row>
    <row r="960" ht="15.75" customHeight="1">
      <c r="A960" s="39"/>
    </row>
    <row r="961" ht="15.75" customHeight="1">
      <c r="A961" s="39"/>
    </row>
    <row r="962" ht="15.75" customHeight="1">
      <c r="A962" s="39"/>
    </row>
    <row r="963" ht="15.75" customHeight="1">
      <c r="A963" s="39"/>
    </row>
    <row r="964" ht="15.75" customHeight="1">
      <c r="A964" s="39"/>
    </row>
    <row r="965" ht="15.75" customHeight="1">
      <c r="A965" s="39"/>
    </row>
    <row r="966" ht="15.75" customHeight="1">
      <c r="A966" s="39"/>
    </row>
    <row r="967" ht="15.75" customHeight="1">
      <c r="A967" s="39"/>
    </row>
    <row r="968" ht="15.75" customHeight="1">
      <c r="A968" s="39"/>
    </row>
    <row r="969" ht="15.75" customHeight="1">
      <c r="A969" s="39"/>
    </row>
    <row r="970" ht="15.75" customHeight="1">
      <c r="A970" s="39"/>
    </row>
    <row r="971" ht="15.75" customHeight="1">
      <c r="A971" s="39"/>
    </row>
    <row r="972" ht="15.75" customHeight="1">
      <c r="A972" s="39"/>
    </row>
    <row r="973" ht="15.75" customHeight="1">
      <c r="A973" s="39"/>
    </row>
    <row r="974" ht="15.75" customHeight="1">
      <c r="A974" s="39"/>
    </row>
    <row r="975" ht="15.75" customHeight="1">
      <c r="A975" s="39"/>
    </row>
    <row r="976" ht="15.75" customHeight="1">
      <c r="A976" s="39"/>
    </row>
    <row r="977" ht="15.75" customHeight="1">
      <c r="A977" s="39"/>
    </row>
    <row r="978" ht="15.75" customHeight="1">
      <c r="A978" s="39"/>
    </row>
    <row r="979" ht="15.75" customHeight="1">
      <c r="A979" s="39"/>
    </row>
    <row r="980" ht="15.75" customHeight="1">
      <c r="A980" s="39"/>
    </row>
    <row r="981" ht="15.75" customHeight="1">
      <c r="A981" s="39"/>
    </row>
    <row r="982" ht="15.75" customHeight="1">
      <c r="A982" s="39"/>
    </row>
    <row r="983" ht="15.75" customHeight="1">
      <c r="A983" s="39"/>
    </row>
    <row r="984" ht="15.75" customHeight="1">
      <c r="A984" s="39"/>
    </row>
    <row r="985" ht="15.75" customHeight="1">
      <c r="A985" s="39"/>
    </row>
    <row r="986" ht="15.75" customHeight="1">
      <c r="A986" s="39"/>
    </row>
    <row r="987" ht="15.75" customHeight="1">
      <c r="A987" s="39"/>
    </row>
    <row r="988" ht="15.75" customHeight="1">
      <c r="A988" s="39"/>
    </row>
    <row r="989" ht="15.75" customHeight="1">
      <c r="A989" s="39"/>
    </row>
    <row r="990" ht="15.75" customHeight="1">
      <c r="A990" s="39"/>
    </row>
    <row r="991" ht="15.75" customHeight="1">
      <c r="A991" s="39"/>
    </row>
    <row r="992" ht="15.75" customHeight="1">
      <c r="A992" s="39"/>
    </row>
    <row r="993" ht="15.75" customHeight="1">
      <c r="A993" s="39"/>
    </row>
    <row r="994" ht="15.75" customHeight="1">
      <c r="A994" s="39"/>
    </row>
    <row r="995" ht="15.75" customHeight="1">
      <c r="A995" s="39"/>
    </row>
    <row r="996" ht="15.75" customHeight="1">
      <c r="A996" s="39"/>
    </row>
    <row r="997" ht="15.75" customHeight="1">
      <c r="A997" s="39"/>
    </row>
    <row r="998" ht="15.75" customHeight="1">
      <c r="A998" s="39"/>
    </row>
    <row r="999" ht="15.75" customHeight="1">
      <c r="A999" s="39"/>
    </row>
    <row r="1000" ht="15.75" customHeight="1">
      <c r="A1000" s="39"/>
    </row>
  </sheetData>
  <mergeCells count="3">
    <mergeCell ref="E2:F2"/>
    <mergeCell ref="G2:I2"/>
    <mergeCell ref="J2:O2"/>
  </mergeCells>
  <printOptions/>
  <pageMargins bottom="0.75" footer="0.0" header="0.0" left="0.699305555555556" right="0.699305555555556"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4.63"/>
    <col customWidth="1" min="2" max="4" width="9.88"/>
    <col customWidth="1" min="5" max="5" width="14.38"/>
    <col customWidth="1" min="6" max="6" width="23.75"/>
    <col customWidth="1" min="7" max="7" width="8.38"/>
    <col customWidth="1" min="8" max="8" width="7.75"/>
    <col customWidth="1" min="9" max="9" width="7.88"/>
    <col customWidth="1" min="10" max="11" width="8.75"/>
    <col customWidth="1" min="12" max="12" width="11.63"/>
    <col customWidth="1" min="13" max="13" width="10.13"/>
    <col customWidth="1" min="14" max="14" width="13.25"/>
    <col customWidth="1" min="15" max="15" width="76.38"/>
    <col customWidth="1" min="16" max="16" width="14.38"/>
  </cols>
  <sheetData>
    <row r="1" ht="15.75" customHeight="1">
      <c r="A1" s="39"/>
      <c r="B1" s="40"/>
      <c r="C1" s="40"/>
      <c r="D1" s="40"/>
      <c r="H1" s="40"/>
      <c r="I1" s="41"/>
      <c r="J1" s="41"/>
      <c r="K1" s="41"/>
      <c r="L1" s="41"/>
      <c r="M1" s="41"/>
      <c r="N1" s="41"/>
      <c r="O1" s="42"/>
      <c r="P1" s="41"/>
    </row>
    <row r="2" ht="15.75" customHeight="1">
      <c r="A2" s="43"/>
      <c r="B2" s="44" t="s">
        <v>0</v>
      </c>
      <c r="C2" s="44" t="s">
        <v>1</v>
      </c>
      <c r="D2" s="45" t="s">
        <v>2</v>
      </c>
      <c r="E2" s="46" t="s">
        <v>3</v>
      </c>
      <c r="F2" s="47"/>
      <c r="G2" s="46" t="s">
        <v>4</v>
      </c>
      <c r="H2" s="48"/>
      <c r="I2" s="47"/>
      <c r="J2" s="46" t="s">
        <v>5</v>
      </c>
      <c r="K2" s="48"/>
      <c r="L2" s="48"/>
      <c r="M2" s="48"/>
      <c r="N2" s="47"/>
      <c r="O2" s="49"/>
      <c r="P2" s="41"/>
    </row>
    <row r="3" ht="36.75" customHeight="1">
      <c r="A3" s="50" t="s">
        <v>6</v>
      </c>
      <c r="B3" s="51"/>
      <c r="C3" s="51"/>
      <c r="D3" s="52"/>
      <c r="E3" s="53" t="s">
        <v>7</v>
      </c>
      <c r="F3" s="51" t="s">
        <v>8</v>
      </c>
      <c r="G3" s="53" t="s">
        <v>7</v>
      </c>
      <c r="H3" s="51" t="s">
        <v>8</v>
      </c>
      <c r="I3" s="52" t="s">
        <v>9</v>
      </c>
      <c r="J3" s="51" t="s">
        <v>340</v>
      </c>
      <c r="K3" s="51" t="s">
        <v>341</v>
      </c>
      <c r="L3" s="51" t="s">
        <v>342</v>
      </c>
      <c r="M3" s="51" t="s">
        <v>343</v>
      </c>
      <c r="N3" s="52" t="s">
        <v>344</v>
      </c>
      <c r="O3" s="52" t="s">
        <v>16</v>
      </c>
      <c r="P3" s="51"/>
    </row>
    <row r="4" ht="15.75" customHeight="1">
      <c r="A4" s="54">
        <v>1.0</v>
      </c>
      <c r="B4" s="55" t="s">
        <v>345</v>
      </c>
      <c r="C4" s="55" t="s">
        <v>767</v>
      </c>
      <c r="D4" s="55">
        <v>0.125</v>
      </c>
      <c r="E4" s="55" t="s">
        <v>21</v>
      </c>
      <c r="F4" s="55" t="s">
        <v>31</v>
      </c>
      <c r="G4" s="56" t="s">
        <v>22</v>
      </c>
      <c r="H4" s="57"/>
      <c r="I4" s="58"/>
      <c r="J4" s="57" t="s">
        <v>22</v>
      </c>
      <c r="K4" s="57"/>
      <c r="L4" s="57"/>
      <c r="M4" s="57"/>
      <c r="N4" s="58"/>
      <c r="O4" s="59"/>
      <c r="P4" s="41"/>
    </row>
    <row r="5" ht="15.75" customHeight="1">
      <c r="A5" s="54">
        <v>2.0</v>
      </c>
      <c r="B5" s="55" t="s">
        <v>348</v>
      </c>
      <c r="C5" s="55" t="s">
        <v>768</v>
      </c>
      <c r="D5" s="55">
        <v>0.838</v>
      </c>
      <c r="E5" s="55" t="s">
        <v>351</v>
      </c>
      <c r="F5" s="55" t="s">
        <v>21</v>
      </c>
      <c r="G5" s="56"/>
      <c r="H5" s="57" t="s">
        <v>22</v>
      </c>
      <c r="I5" s="58"/>
      <c r="J5" s="57"/>
      <c r="K5" s="57"/>
      <c r="L5" s="57" t="s">
        <v>22</v>
      </c>
      <c r="M5" s="57"/>
      <c r="N5" s="58"/>
      <c r="O5" s="59"/>
      <c r="P5" s="41"/>
    </row>
    <row r="6" ht="15.75" customHeight="1">
      <c r="A6" s="54">
        <v>3.0</v>
      </c>
      <c r="B6" s="55" t="s">
        <v>352</v>
      </c>
      <c r="C6" s="55" t="s">
        <v>769</v>
      </c>
      <c r="D6" s="55">
        <v>0.769</v>
      </c>
      <c r="E6" s="55" t="s">
        <v>351</v>
      </c>
      <c r="F6" s="55" t="s">
        <v>21</v>
      </c>
      <c r="G6" s="56" t="s">
        <v>22</v>
      </c>
      <c r="H6" s="57"/>
      <c r="I6" s="58"/>
      <c r="J6" s="57" t="s">
        <v>22</v>
      </c>
      <c r="K6" s="57"/>
      <c r="L6" s="57"/>
      <c r="M6" s="57"/>
      <c r="N6" s="58"/>
      <c r="O6" s="59"/>
      <c r="P6" s="41"/>
    </row>
    <row r="7" ht="15.75" customHeight="1">
      <c r="A7" s="54">
        <v>4.0</v>
      </c>
      <c r="B7" s="55" t="s">
        <v>356</v>
      </c>
      <c r="C7" s="55" t="s">
        <v>770</v>
      </c>
      <c r="D7" s="55">
        <v>0.5</v>
      </c>
      <c r="E7" s="55" t="s">
        <v>351</v>
      </c>
      <c r="F7" s="55" t="s">
        <v>21</v>
      </c>
      <c r="G7" s="56"/>
      <c r="H7" s="57" t="s">
        <v>22</v>
      </c>
      <c r="I7" s="58"/>
      <c r="J7" s="57"/>
      <c r="K7" s="57"/>
      <c r="L7" s="57"/>
      <c r="M7" s="57"/>
      <c r="N7" s="58" t="s">
        <v>22</v>
      </c>
      <c r="O7" s="59"/>
      <c r="P7" s="41"/>
    </row>
    <row r="8" ht="15.75" customHeight="1">
      <c r="A8" s="54">
        <v>5.0</v>
      </c>
      <c r="B8" s="55" t="s">
        <v>359</v>
      </c>
      <c r="C8" s="55" t="s">
        <v>771</v>
      </c>
      <c r="D8" s="55">
        <v>0.973</v>
      </c>
      <c r="E8" s="55" t="s">
        <v>351</v>
      </c>
      <c r="F8" s="55" t="s">
        <v>21</v>
      </c>
      <c r="G8" s="56"/>
      <c r="H8" s="57" t="s">
        <v>22</v>
      </c>
      <c r="I8" s="58"/>
      <c r="J8" s="57"/>
      <c r="K8" s="57"/>
      <c r="L8" s="57"/>
      <c r="M8" s="57"/>
      <c r="N8" s="58" t="s">
        <v>22</v>
      </c>
      <c r="O8" s="59"/>
      <c r="P8" s="41"/>
    </row>
    <row r="9" ht="15.75" customHeight="1">
      <c r="A9" s="54">
        <v>6.0</v>
      </c>
      <c r="B9" s="55" t="s">
        <v>361</v>
      </c>
      <c r="C9" s="55" t="s">
        <v>772</v>
      </c>
      <c r="D9" s="55">
        <v>0.125</v>
      </c>
      <c r="E9" s="55" t="s">
        <v>21</v>
      </c>
      <c r="F9" s="55" t="s">
        <v>20</v>
      </c>
      <c r="G9" s="56"/>
      <c r="H9" s="57" t="s">
        <v>22</v>
      </c>
      <c r="I9" s="58"/>
      <c r="J9" s="57"/>
      <c r="K9" s="57"/>
      <c r="L9" s="57"/>
      <c r="M9" s="57" t="s">
        <v>22</v>
      </c>
      <c r="N9" s="58"/>
      <c r="O9" s="59"/>
      <c r="P9" s="41"/>
    </row>
    <row r="10" ht="15.75" customHeight="1">
      <c r="A10" s="54">
        <v>7.0</v>
      </c>
      <c r="B10" s="55" t="s">
        <v>363</v>
      </c>
      <c r="C10" s="55" t="s">
        <v>767</v>
      </c>
      <c r="D10" s="55">
        <v>0.099</v>
      </c>
      <c r="E10" s="55" t="s">
        <v>21</v>
      </c>
      <c r="F10" s="55" t="s">
        <v>31</v>
      </c>
      <c r="G10" s="56" t="s">
        <v>22</v>
      </c>
      <c r="H10" s="57"/>
      <c r="I10" s="58"/>
      <c r="J10" s="57" t="s">
        <v>22</v>
      </c>
      <c r="K10" s="57"/>
      <c r="L10" s="57"/>
      <c r="M10" s="57"/>
      <c r="N10" s="58"/>
      <c r="O10" s="59"/>
      <c r="P10" s="41"/>
    </row>
    <row r="11" ht="15.75" customHeight="1">
      <c r="A11" s="54">
        <v>8.0</v>
      </c>
      <c r="B11" s="55" t="s">
        <v>365</v>
      </c>
      <c r="C11" s="55" t="s">
        <v>773</v>
      </c>
      <c r="D11" s="55">
        <v>0.751</v>
      </c>
      <c r="E11" s="55" t="s">
        <v>351</v>
      </c>
      <c r="F11" s="55" t="s">
        <v>21</v>
      </c>
      <c r="G11" s="56"/>
      <c r="H11" s="57" t="s">
        <v>22</v>
      </c>
      <c r="I11" s="58"/>
      <c r="J11" s="57"/>
      <c r="K11" s="57"/>
      <c r="L11" s="57"/>
      <c r="M11" s="57"/>
      <c r="N11" s="58" t="s">
        <v>22</v>
      </c>
      <c r="O11" s="59"/>
      <c r="P11" s="41"/>
    </row>
    <row r="12" ht="15.75" customHeight="1">
      <c r="A12" s="54">
        <v>9.0</v>
      </c>
      <c r="B12" s="55" t="s">
        <v>368</v>
      </c>
      <c r="C12" s="55" t="s">
        <v>774</v>
      </c>
      <c r="D12" s="55">
        <v>0.524</v>
      </c>
      <c r="E12" s="55" t="s">
        <v>351</v>
      </c>
      <c r="F12" s="55" t="s">
        <v>21</v>
      </c>
      <c r="G12" s="56" t="s">
        <v>22</v>
      </c>
      <c r="H12" s="57"/>
      <c r="I12" s="58"/>
      <c r="J12" s="57"/>
      <c r="K12" s="57"/>
      <c r="L12" s="57"/>
      <c r="M12" s="57" t="s">
        <v>22</v>
      </c>
      <c r="N12" s="58"/>
      <c r="O12" s="59"/>
      <c r="P12" s="41"/>
    </row>
    <row r="13" ht="15.75" customHeight="1">
      <c r="A13" s="54">
        <v>10.0</v>
      </c>
      <c r="B13" s="55" t="s">
        <v>371</v>
      </c>
      <c r="C13" s="55" t="s">
        <v>775</v>
      </c>
      <c r="D13" s="55">
        <v>0.961</v>
      </c>
      <c r="E13" s="55" t="s">
        <v>351</v>
      </c>
      <c r="F13" s="55" t="s">
        <v>21</v>
      </c>
      <c r="G13" s="56"/>
      <c r="H13" s="57" t="s">
        <v>22</v>
      </c>
      <c r="I13" s="58"/>
      <c r="J13" s="57"/>
      <c r="K13" s="57"/>
      <c r="L13" s="57"/>
      <c r="M13" s="57"/>
      <c r="N13" s="58" t="s">
        <v>22</v>
      </c>
      <c r="O13" s="59"/>
      <c r="P13" s="41"/>
    </row>
    <row r="14" ht="15.75" customHeight="1">
      <c r="A14" s="54">
        <v>11.0</v>
      </c>
      <c r="B14" s="55" t="s">
        <v>374</v>
      </c>
      <c r="C14" s="55" t="s">
        <v>776</v>
      </c>
      <c r="D14" s="55">
        <v>0.053</v>
      </c>
      <c r="E14" s="55" t="s">
        <v>21</v>
      </c>
      <c r="F14" s="55" t="s">
        <v>26</v>
      </c>
      <c r="G14" s="56"/>
      <c r="H14" s="57" t="s">
        <v>22</v>
      </c>
      <c r="I14" s="58"/>
      <c r="J14" s="57"/>
      <c r="K14" s="57"/>
      <c r="L14" s="57"/>
      <c r="M14" s="57" t="s">
        <v>22</v>
      </c>
      <c r="N14" s="58"/>
      <c r="O14" s="59"/>
      <c r="P14" s="41"/>
    </row>
    <row r="15" ht="15.75" customHeight="1">
      <c r="A15" s="54">
        <v>12.0</v>
      </c>
      <c r="B15" s="55" t="s">
        <v>368</v>
      </c>
      <c r="C15" s="55" t="s">
        <v>774</v>
      </c>
      <c r="D15" s="55">
        <v>0.524</v>
      </c>
      <c r="E15" s="55" t="s">
        <v>351</v>
      </c>
      <c r="F15" s="55" t="s">
        <v>21</v>
      </c>
      <c r="G15" s="56"/>
      <c r="H15" s="57" t="s">
        <v>22</v>
      </c>
      <c r="I15" s="58"/>
      <c r="J15" s="57"/>
      <c r="K15" s="57"/>
      <c r="L15" s="57" t="s">
        <v>22</v>
      </c>
      <c r="M15" s="57"/>
      <c r="N15" s="58"/>
      <c r="O15" s="59"/>
      <c r="P15" s="41"/>
    </row>
    <row r="16" ht="15.75" customHeight="1">
      <c r="A16" s="54">
        <v>13.0</v>
      </c>
      <c r="B16" s="55" t="s">
        <v>377</v>
      </c>
      <c r="C16" s="55" t="s">
        <v>777</v>
      </c>
      <c r="D16" s="55">
        <v>0.964</v>
      </c>
      <c r="E16" s="55" t="s">
        <v>351</v>
      </c>
      <c r="F16" s="55" t="s">
        <v>21</v>
      </c>
      <c r="G16" s="56"/>
      <c r="H16" s="57" t="s">
        <v>22</v>
      </c>
      <c r="I16" s="58"/>
      <c r="J16" s="57"/>
      <c r="K16" s="57"/>
      <c r="L16" s="57" t="s">
        <v>22</v>
      </c>
      <c r="M16" s="57"/>
      <c r="N16" s="58"/>
      <c r="O16" s="59"/>
      <c r="P16" s="41"/>
    </row>
    <row r="17" ht="15.75" customHeight="1">
      <c r="A17" s="54">
        <v>14.0</v>
      </c>
      <c r="B17" s="55" t="s">
        <v>381</v>
      </c>
      <c r="C17" s="55" t="s">
        <v>778</v>
      </c>
      <c r="D17" s="55">
        <v>0.626</v>
      </c>
      <c r="E17" s="55" t="s">
        <v>351</v>
      </c>
      <c r="F17" s="55" t="s">
        <v>21</v>
      </c>
      <c r="G17" s="56" t="s">
        <v>22</v>
      </c>
      <c r="H17" s="57"/>
      <c r="I17" s="58"/>
      <c r="J17" s="57"/>
      <c r="K17" s="57"/>
      <c r="L17" s="57"/>
      <c r="M17" s="57" t="s">
        <v>22</v>
      </c>
      <c r="N17" s="58"/>
      <c r="O17" s="59"/>
      <c r="P17" s="41"/>
    </row>
    <row r="18" ht="15.75" customHeight="1">
      <c r="A18" s="54">
        <v>15.0</v>
      </c>
      <c r="B18" s="55" t="s">
        <v>384</v>
      </c>
      <c r="C18" s="55" t="s">
        <v>779</v>
      </c>
      <c r="D18" s="55">
        <v>0.001</v>
      </c>
      <c r="E18" s="55" t="s">
        <v>21</v>
      </c>
      <c r="F18" s="55" t="s">
        <v>20</v>
      </c>
      <c r="G18" s="56"/>
      <c r="H18" s="57" t="s">
        <v>22</v>
      </c>
      <c r="I18" s="58"/>
      <c r="J18" s="57"/>
      <c r="K18" s="57"/>
      <c r="L18" s="57"/>
      <c r="M18" s="57" t="s">
        <v>22</v>
      </c>
      <c r="N18" s="58"/>
      <c r="O18" s="59"/>
      <c r="P18" s="41"/>
    </row>
    <row r="19" ht="15.75" customHeight="1">
      <c r="A19" s="54">
        <v>16.0</v>
      </c>
      <c r="B19" s="55" t="s">
        <v>387</v>
      </c>
      <c r="C19" s="55" t="s">
        <v>780</v>
      </c>
      <c r="D19" s="55">
        <v>0.007</v>
      </c>
      <c r="E19" s="55" t="s">
        <v>21</v>
      </c>
      <c r="F19" s="55" t="s">
        <v>20</v>
      </c>
      <c r="G19" s="56" t="s">
        <v>22</v>
      </c>
      <c r="H19" s="57"/>
      <c r="I19" s="58"/>
      <c r="J19" s="57" t="s">
        <v>22</v>
      </c>
      <c r="K19" s="57"/>
      <c r="L19" s="57"/>
      <c r="M19" s="57"/>
      <c r="N19" s="58"/>
      <c r="O19" s="59"/>
      <c r="P19" s="41"/>
    </row>
    <row r="20" ht="15.75" customHeight="1">
      <c r="A20" s="54">
        <v>17.0</v>
      </c>
      <c r="B20" s="55" t="s">
        <v>390</v>
      </c>
      <c r="C20" s="55" t="s">
        <v>781</v>
      </c>
      <c r="D20" s="55">
        <v>0.855</v>
      </c>
      <c r="E20" s="55" t="s">
        <v>351</v>
      </c>
      <c r="F20" s="55" t="s">
        <v>21</v>
      </c>
      <c r="G20" s="56"/>
      <c r="H20" s="57"/>
      <c r="I20" s="58" t="s">
        <v>22</v>
      </c>
      <c r="J20" s="57"/>
      <c r="K20" s="57"/>
      <c r="L20" s="57" t="s">
        <v>22</v>
      </c>
      <c r="M20" s="57"/>
      <c r="N20" s="58"/>
      <c r="O20" s="59" t="s">
        <v>782</v>
      </c>
      <c r="P20" s="41"/>
    </row>
    <row r="21" ht="15.75" customHeight="1">
      <c r="A21" s="54">
        <v>18.0</v>
      </c>
      <c r="B21" s="55" t="s">
        <v>394</v>
      </c>
      <c r="C21" s="55" t="s">
        <v>783</v>
      </c>
      <c r="D21" s="55">
        <v>0.14</v>
      </c>
      <c r="E21" s="55" t="s">
        <v>21</v>
      </c>
      <c r="F21" s="55" t="s">
        <v>20</v>
      </c>
      <c r="G21" s="56" t="s">
        <v>22</v>
      </c>
      <c r="H21" s="57"/>
      <c r="I21" s="58"/>
      <c r="J21" s="57" t="s">
        <v>22</v>
      </c>
      <c r="K21" s="57"/>
      <c r="L21" s="57"/>
      <c r="M21" s="57"/>
      <c r="N21" s="58"/>
      <c r="O21" s="59"/>
      <c r="P21" s="41"/>
    </row>
    <row r="22" ht="15.75" customHeight="1">
      <c r="A22" s="54">
        <v>19.0</v>
      </c>
      <c r="B22" s="55" t="s">
        <v>398</v>
      </c>
      <c r="C22" s="55" t="s">
        <v>784</v>
      </c>
      <c r="D22" s="55">
        <v>0.164</v>
      </c>
      <c r="E22" s="55" t="s">
        <v>21</v>
      </c>
      <c r="F22" s="55" t="s">
        <v>20</v>
      </c>
      <c r="G22" s="56" t="s">
        <v>22</v>
      </c>
      <c r="H22" s="57"/>
      <c r="I22" s="58"/>
      <c r="J22" s="57"/>
      <c r="K22" s="57"/>
      <c r="L22" s="57"/>
      <c r="M22" s="57"/>
      <c r="N22" s="58" t="s">
        <v>22</v>
      </c>
      <c r="O22" s="59"/>
      <c r="P22" s="41"/>
    </row>
    <row r="23" ht="15.75" customHeight="1">
      <c r="A23" s="54">
        <v>20.0</v>
      </c>
      <c r="B23" s="55" t="s">
        <v>402</v>
      </c>
      <c r="C23" s="55" t="s">
        <v>773</v>
      </c>
      <c r="D23" s="55">
        <v>0.81</v>
      </c>
      <c r="E23" s="55" t="s">
        <v>351</v>
      </c>
      <c r="F23" s="55" t="s">
        <v>21</v>
      </c>
      <c r="G23" s="56"/>
      <c r="H23" s="57" t="s">
        <v>22</v>
      </c>
      <c r="I23" s="58"/>
      <c r="J23" s="57"/>
      <c r="K23" s="57"/>
      <c r="L23" s="57" t="s">
        <v>22</v>
      </c>
      <c r="M23" s="57"/>
      <c r="N23" s="58"/>
      <c r="O23" s="59"/>
      <c r="P23" s="41"/>
    </row>
    <row r="24" ht="15.75" customHeight="1">
      <c r="A24" s="54">
        <v>21.0</v>
      </c>
      <c r="B24" s="55" t="s">
        <v>404</v>
      </c>
      <c r="C24" s="55" t="s">
        <v>785</v>
      </c>
      <c r="D24" s="55">
        <v>0.004</v>
      </c>
      <c r="E24" s="55" t="s">
        <v>21</v>
      </c>
      <c r="F24" s="55" t="s">
        <v>26</v>
      </c>
      <c r="G24" s="56"/>
      <c r="H24" s="57" t="s">
        <v>22</v>
      </c>
      <c r="I24" s="58"/>
      <c r="J24" s="57"/>
      <c r="K24" s="57"/>
      <c r="L24" s="57"/>
      <c r="M24" s="57" t="s">
        <v>22</v>
      </c>
      <c r="N24" s="58"/>
      <c r="O24" s="59"/>
      <c r="P24" s="41"/>
    </row>
    <row r="25" ht="15.75" customHeight="1">
      <c r="A25" s="54">
        <v>22.0</v>
      </c>
      <c r="B25" s="55" t="s">
        <v>406</v>
      </c>
      <c r="C25" s="55" t="s">
        <v>786</v>
      </c>
      <c r="D25" s="55">
        <v>0.122</v>
      </c>
      <c r="E25" s="55" t="s">
        <v>21</v>
      </c>
      <c r="F25" s="55" t="s">
        <v>31</v>
      </c>
      <c r="G25" s="56"/>
      <c r="H25" s="57"/>
      <c r="I25" s="58" t="s">
        <v>22</v>
      </c>
      <c r="J25" s="57"/>
      <c r="K25" s="57"/>
      <c r="L25" s="57"/>
      <c r="M25" s="57"/>
      <c r="N25" s="58"/>
      <c r="O25" s="59" t="s">
        <v>787</v>
      </c>
      <c r="P25" s="41"/>
    </row>
    <row r="26" ht="15.75" customHeight="1">
      <c r="A26" s="54">
        <v>23.0</v>
      </c>
      <c r="B26" s="55" t="s">
        <v>408</v>
      </c>
      <c r="C26" s="55" t="s">
        <v>788</v>
      </c>
      <c r="D26" s="55">
        <v>0.417</v>
      </c>
      <c r="E26" s="55" t="s">
        <v>21</v>
      </c>
      <c r="F26" s="55" t="s">
        <v>31</v>
      </c>
      <c r="G26" s="56" t="s">
        <v>22</v>
      </c>
      <c r="H26" s="57"/>
      <c r="I26" s="58"/>
      <c r="J26" s="57" t="s">
        <v>22</v>
      </c>
      <c r="K26" s="57"/>
      <c r="L26" s="57" t="s">
        <v>22</v>
      </c>
      <c r="M26" s="57"/>
      <c r="N26" s="58"/>
      <c r="O26" s="59"/>
      <c r="P26" s="41"/>
    </row>
    <row r="27" ht="15.75" customHeight="1">
      <c r="A27" s="54">
        <v>24.0</v>
      </c>
      <c r="B27" s="55" t="s">
        <v>411</v>
      </c>
      <c r="C27" s="55" t="s">
        <v>789</v>
      </c>
      <c r="D27" s="55">
        <v>0.537</v>
      </c>
      <c r="E27" s="55" t="s">
        <v>351</v>
      </c>
      <c r="F27" s="55" t="s">
        <v>21</v>
      </c>
      <c r="G27" s="56" t="s">
        <v>22</v>
      </c>
      <c r="H27" s="57"/>
      <c r="I27" s="58"/>
      <c r="J27" s="57"/>
      <c r="K27" s="57"/>
      <c r="L27" s="57"/>
      <c r="M27" s="57" t="s">
        <v>22</v>
      </c>
      <c r="N27" s="58"/>
      <c r="O27" s="59"/>
      <c r="P27" s="41"/>
    </row>
    <row r="28" ht="15.75" customHeight="1">
      <c r="A28" s="54">
        <v>25.0</v>
      </c>
      <c r="B28" s="55" t="s">
        <v>414</v>
      </c>
      <c r="C28" s="55" t="s">
        <v>790</v>
      </c>
      <c r="D28" s="55">
        <v>0.114</v>
      </c>
      <c r="E28" s="55" t="s">
        <v>21</v>
      </c>
      <c r="F28" s="55" t="s">
        <v>20</v>
      </c>
      <c r="G28" s="56" t="s">
        <v>22</v>
      </c>
      <c r="H28" s="57"/>
      <c r="I28" s="58"/>
      <c r="J28" s="57" t="s">
        <v>22</v>
      </c>
      <c r="K28" s="57"/>
      <c r="L28" s="57"/>
      <c r="M28" s="57"/>
      <c r="N28" s="58"/>
      <c r="O28" s="59"/>
      <c r="P28" s="41"/>
    </row>
    <row r="29" ht="15.75" customHeight="1">
      <c r="A29" s="54">
        <v>26.0</v>
      </c>
      <c r="B29" s="55" t="s">
        <v>417</v>
      </c>
      <c r="C29" s="55" t="s">
        <v>789</v>
      </c>
      <c r="D29" s="55">
        <v>0.07</v>
      </c>
      <c r="E29" s="55" t="s">
        <v>21</v>
      </c>
      <c r="F29" s="55" t="s">
        <v>20</v>
      </c>
      <c r="G29" s="56" t="s">
        <v>22</v>
      </c>
      <c r="H29" s="57"/>
      <c r="I29" s="58"/>
      <c r="J29" s="57" t="s">
        <v>22</v>
      </c>
      <c r="K29" s="57"/>
      <c r="L29" s="57"/>
      <c r="M29" s="57"/>
      <c r="N29" s="58"/>
      <c r="O29" s="59"/>
      <c r="P29" s="41"/>
    </row>
    <row r="30" ht="15.75" customHeight="1">
      <c r="A30" s="54">
        <v>27.0</v>
      </c>
      <c r="B30" s="55"/>
      <c r="C30" s="55" t="s">
        <v>791</v>
      </c>
      <c r="D30" s="55">
        <v>0.599</v>
      </c>
      <c r="E30" s="55" t="s">
        <v>351</v>
      </c>
      <c r="F30" s="55" t="s">
        <v>21</v>
      </c>
      <c r="G30" s="56" t="s">
        <v>22</v>
      </c>
      <c r="H30" s="57"/>
      <c r="I30" s="58"/>
      <c r="J30" s="57"/>
      <c r="K30" s="57"/>
      <c r="L30" s="57"/>
      <c r="M30" s="57" t="s">
        <v>22</v>
      </c>
      <c r="N30" s="58"/>
      <c r="O30" s="59"/>
      <c r="P30" s="41"/>
    </row>
    <row r="31" ht="15.75" customHeight="1">
      <c r="A31" s="54">
        <v>28.0</v>
      </c>
      <c r="B31" s="55" t="s">
        <v>424</v>
      </c>
      <c r="C31" s="55" t="s">
        <v>792</v>
      </c>
      <c r="D31" s="55">
        <v>0.229</v>
      </c>
      <c r="E31" s="55" t="s">
        <v>21</v>
      </c>
      <c r="F31" s="55" t="s">
        <v>31</v>
      </c>
      <c r="G31" s="56"/>
      <c r="H31" s="57"/>
      <c r="I31" s="58" t="s">
        <v>22</v>
      </c>
      <c r="J31" s="57"/>
      <c r="K31" s="57"/>
      <c r="L31" s="57"/>
      <c r="M31" s="57"/>
      <c r="N31" s="58"/>
      <c r="O31" s="59" t="s">
        <v>793</v>
      </c>
      <c r="P31" s="41"/>
    </row>
    <row r="32" ht="15.75" customHeight="1">
      <c r="A32" s="54">
        <v>29.0</v>
      </c>
      <c r="B32" s="55" t="s">
        <v>428</v>
      </c>
      <c r="C32" s="55" t="s">
        <v>794</v>
      </c>
      <c r="D32" s="55">
        <v>0.906</v>
      </c>
      <c r="E32" s="55" t="s">
        <v>351</v>
      </c>
      <c r="F32" s="55" t="s">
        <v>21</v>
      </c>
      <c r="G32" s="56" t="s">
        <v>22</v>
      </c>
      <c r="H32" s="57"/>
      <c r="I32" s="58"/>
      <c r="J32" s="57"/>
      <c r="K32" s="57"/>
      <c r="L32" s="57"/>
      <c r="M32" s="57" t="s">
        <v>22</v>
      </c>
      <c r="N32" s="58"/>
      <c r="O32" s="59"/>
      <c r="P32" s="41"/>
    </row>
    <row r="33" ht="15.75" customHeight="1">
      <c r="A33" s="54">
        <v>30.0</v>
      </c>
      <c r="B33" s="55" t="s">
        <v>431</v>
      </c>
      <c r="C33" s="55" t="s">
        <v>795</v>
      </c>
      <c r="D33" s="55">
        <v>0.002</v>
      </c>
      <c r="E33" s="55" t="s">
        <v>21</v>
      </c>
      <c r="F33" s="55" t="s">
        <v>20</v>
      </c>
      <c r="G33" s="56"/>
      <c r="H33" s="57" t="s">
        <v>22</v>
      </c>
      <c r="I33" s="58"/>
      <c r="J33" s="57"/>
      <c r="K33" s="57"/>
      <c r="L33" s="57"/>
      <c r="M33" s="57" t="s">
        <v>22</v>
      </c>
      <c r="N33" s="58"/>
      <c r="O33" s="59"/>
      <c r="P33" s="41"/>
    </row>
    <row r="34" ht="15.75" customHeight="1">
      <c r="A34" s="54">
        <v>31.0</v>
      </c>
      <c r="B34" s="55" t="s">
        <v>433</v>
      </c>
      <c r="C34" s="55" t="s">
        <v>796</v>
      </c>
      <c r="D34" s="55">
        <v>0.969</v>
      </c>
      <c r="E34" s="55" t="s">
        <v>351</v>
      </c>
      <c r="F34" s="55" t="s">
        <v>21</v>
      </c>
      <c r="G34" s="56"/>
      <c r="H34" s="57" t="s">
        <v>22</v>
      </c>
      <c r="I34" s="58"/>
      <c r="J34" s="57"/>
      <c r="K34" s="57"/>
      <c r="L34" s="57"/>
      <c r="M34" s="57" t="s">
        <v>22</v>
      </c>
      <c r="N34" s="58"/>
      <c r="O34" s="59"/>
      <c r="P34" s="41"/>
    </row>
    <row r="35" ht="15.75" customHeight="1">
      <c r="A35" s="54">
        <v>32.0</v>
      </c>
      <c r="B35" s="55" t="s">
        <v>436</v>
      </c>
      <c r="C35" s="55" t="s">
        <v>797</v>
      </c>
      <c r="D35" s="55">
        <v>0.002</v>
      </c>
      <c r="E35" s="55" t="s">
        <v>21</v>
      </c>
      <c r="F35" s="55" t="s">
        <v>20</v>
      </c>
      <c r="G35" s="56" t="s">
        <v>22</v>
      </c>
      <c r="H35" s="57"/>
      <c r="I35" s="58"/>
      <c r="J35" s="57" t="s">
        <v>22</v>
      </c>
      <c r="K35" s="57"/>
      <c r="L35" s="57"/>
      <c r="M35" s="57"/>
      <c r="N35" s="58"/>
      <c r="O35" s="59"/>
      <c r="P35" s="41"/>
    </row>
    <row r="36" ht="15.75" customHeight="1">
      <c r="A36" s="54">
        <v>33.0</v>
      </c>
      <c r="B36" s="55" t="s">
        <v>439</v>
      </c>
      <c r="C36" s="55" t="s">
        <v>798</v>
      </c>
      <c r="D36" s="55">
        <v>0.047</v>
      </c>
      <c r="E36" s="55" t="s">
        <v>21</v>
      </c>
      <c r="F36" s="55" t="s">
        <v>20</v>
      </c>
      <c r="G36" s="56"/>
      <c r="H36" s="57"/>
      <c r="I36" s="58" t="s">
        <v>22</v>
      </c>
      <c r="J36" s="57"/>
      <c r="K36" s="57"/>
      <c r="L36" s="57"/>
      <c r="M36" s="57"/>
      <c r="N36" s="58"/>
      <c r="O36" s="59" t="s">
        <v>799</v>
      </c>
      <c r="P36" s="41"/>
    </row>
    <row r="37" ht="15.75" customHeight="1">
      <c r="A37" s="54">
        <v>34.0</v>
      </c>
      <c r="B37" s="55" t="s">
        <v>442</v>
      </c>
      <c r="C37" s="55" t="s">
        <v>800</v>
      </c>
      <c r="D37" s="55">
        <v>0.004</v>
      </c>
      <c r="E37" s="55" t="s">
        <v>21</v>
      </c>
      <c r="F37" s="55" t="s">
        <v>20</v>
      </c>
      <c r="G37" s="56" t="s">
        <v>22</v>
      </c>
      <c r="H37" s="57"/>
      <c r="I37" s="58"/>
      <c r="J37" s="57"/>
      <c r="K37" s="57"/>
      <c r="L37" s="57"/>
      <c r="M37" s="57"/>
      <c r="N37" s="58" t="s">
        <v>22</v>
      </c>
      <c r="O37" s="59"/>
      <c r="P37" s="41"/>
    </row>
    <row r="38" ht="15.75" customHeight="1">
      <c r="A38" s="54">
        <v>35.0</v>
      </c>
      <c r="B38" s="55" t="s">
        <v>445</v>
      </c>
      <c r="C38" s="55" t="s">
        <v>801</v>
      </c>
      <c r="D38" s="55">
        <v>0.068</v>
      </c>
      <c r="E38" s="55" t="s">
        <v>21</v>
      </c>
      <c r="F38" s="55" t="s">
        <v>20</v>
      </c>
      <c r="G38" s="56"/>
      <c r="H38" s="57" t="s">
        <v>22</v>
      </c>
      <c r="I38" s="58"/>
      <c r="J38" s="57"/>
      <c r="K38" s="57"/>
      <c r="L38" s="57"/>
      <c r="M38" s="57" t="s">
        <v>22</v>
      </c>
      <c r="N38" s="58"/>
      <c r="O38" s="59"/>
      <c r="P38" s="41"/>
    </row>
    <row r="39" ht="15.75" customHeight="1">
      <c r="A39" s="54">
        <v>36.0</v>
      </c>
      <c r="B39" s="55" t="s">
        <v>448</v>
      </c>
      <c r="C39" s="55" t="s">
        <v>802</v>
      </c>
      <c r="D39" s="55">
        <v>0.408</v>
      </c>
      <c r="E39" s="55" t="s">
        <v>21</v>
      </c>
      <c r="F39" s="55" t="s">
        <v>20</v>
      </c>
      <c r="G39" s="56" t="s">
        <v>22</v>
      </c>
      <c r="H39" s="57"/>
      <c r="I39" s="58"/>
      <c r="J39" s="57" t="s">
        <v>22</v>
      </c>
      <c r="K39" s="57"/>
      <c r="L39" s="57"/>
      <c r="M39" s="57"/>
      <c r="N39" s="58"/>
      <c r="O39" s="59"/>
      <c r="P39" s="41"/>
    </row>
    <row r="40" ht="15.75" customHeight="1">
      <c r="A40" s="54">
        <v>37.0</v>
      </c>
      <c r="B40" s="55" t="s">
        <v>452</v>
      </c>
      <c r="C40" s="55" t="s">
        <v>769</v>
      </c>
      <c r="D40" s="55">
        <v>0.276</v>
      </c>
      <c r="E40" s="55" t="s">
        <v>21</v>
      </c>
      <c r="F40" s="55" t="s">
        <v>20</v>
      </c>
      <c r="G40" s="56" t="s">
        <v>22</v>
      </c>
      <c r="H40" s="57"/>
      <c r="I40" s="58"/>
      <c r="J40" s="57" t="s">
        <v>22</v>
      </c>
      <c r="K40" s="57"/>
      <c r="L40" s="57"/>
      <c r="M40" s="57"/>
      <c r="N40" s="58"/>
      <c r="O40" s="59"/>
      <c r="P40" s="41"/>
    </row>
    <row r="41" ht="15.75" customHeight="1">
      <c r="A41" s="54">
        <v>38.0</v>
      </c>
      <c r="B41" s="55" t="s">
        <v>456</v>
      </c>
      <c r="C41" s="55" t="s">
        <v>803</v>
      </c>
      <c r="D41" s="55">
        <v>0.456</v>
      </c>
      <c r="E41" s="55" t="s">
        <v>21</v>
      </c>
      <c r="F41" s="55" t="s">
        <v>20</v>
      </c>
      <c r="G41" s="56"/>
      <c r="H41" s="57"/>
      <c r="I41" s="58" t="s">
        <v>22</v>
      </c>
      <c r="J41" s="57"/>
      <c r="K41" s="57"/>
      <c r="L41" s="57"/>
      <c r="M41" s="57"/>
      <c r="N41" s="58"/>
      <c r="O41" s="59" t="s">
        <v>804</v>
      </c>
      <c r="P41" s="41"/>
    </row>
    <row r="42" ht="15.75" customHeight="1">
      <c r="A42" s="54">
        <v>39.0</v>
      </c>
      <c r="B42" s="55" t="s">
        <v>460</v>
      </c>
      <c r="C42" s="55" t="s">
        <v>805</v>
      </c>
      <c r="D42" s="55">
        <v>0.529</v>
      </c>
      <c r="E42" s="55" t="s">
        <v>351</v>
      </c>
      <c r="F42" s="55" t="s">
        <v>21</v>
      </c>
      <c r="G42" s="56" t="s">
        <v>22</v>
      </c>
      <c r="H42" s="57"/>
      <c r="I42" s="58"/>
      <c r="J42" s="57"/>
      <c r="K42" s="57"/>
      <c r="L42" s="57"/>
      <c r="M42" s="57" t="s">
        <v>22</v>
      </c>
      <c r="N42" s="58"/>
      <c r="O42" s="59"/>
      <c r="P42" s="41"/>
    </row>
    <row r="43" ht="15.75" customHeight="1">
      <c r="A43" s="54">
        <v>40.0</v>
      </c>
      <c r="B43" s="55" t="s">
        <v>464</v>
      </c>
      <c r="C43" s="55" t="s">
        <v>806</v>
      </c>
      <c r="D43" s="55">
        <v>0.459</v>
      </c>
      <c r="E43" s="55" t="s">
        <v>21</v>
      </c>
      <c r="F43" s="55" t="s">
        <v>31</v>
      </c>
      <c r="G43" s="56" t="s">
        <v>22</v>
      </c>
      <c r="H43" s="57"/>
      <c r="I43" s="58"/>
      <c r="J43" s="57"/>
      <c r="K43" s="57" t="s">
        <v>22</v>
      </c>
      <c r="L43" s="57"/>
      <c r="M43" s="57"/>
      <c r="N43" s="58"/>
      <c r="O43" s="59"/>
      <c r="P43" s="41"/>
    </row>
    <row r="44" ht="15.75" customHeight="1">
      <c r="A44" s="54">
        <v>41.0</v>
      </c>
      <c r="B44" s="55" t="s">
        <v>467</v>
      </c>
      <c r="C44" s="55" t="s">
        <v>807</v>
      </c>
      <c r="D44" s="55">
        <v>0.793</v>
      </c>
      <c r="E44" s="55" t="s">
        <v>351</v>
      </c>
      <c r="F44" s="55" t="s">
        <v>21</v>
      </c>
      <c r="G44" s="56"/>
      <c r="H44" s="57" t="s">
        <v>22</v>
      </c>
      <c r="I44" s="58"/>
      <c r="J44" s="57"/>
      <c r="K44" s="57"/>
      <c r="L44" s="57" t="s">
        <v>22</v>
      </c>
      <c r="M44" s="57"/>
      <c r="N44" s="58"/>
      <c r="O44" s="59"/>
      <c r="P44" s="41"/>
    </row>
    <row r="45" ht="15.75" customHeight="1">
      <c r="A45" s="54">
        <v>42.0</v>
      </c>
      <c r="B45" s="55" t="s">
        <v>470</v>
      </c>
      <c r="C45" s="55" t="s">
        <v>808</v>
      </c>
      <c r="D45" s="55">
        <v>0.97</v>
      </c>
      <c r="E45" s="55" t="s">
        <v>351</v>
      </c>
      <c r="F45" s="55" t="s">
        <v>21</v>
      </c>
      <c r="G45" s="56"/>
      <c r="H45" s="57" t="s">
        <v>22</v>
      </c>
      <c r="I45" s="58"/>
      <c r="J45" s="57"/>
      <c r="K45" s="57"/>
      <c r="L45" s="57" t="s">
        <v>22</v>
      </c>
      <c r="M45" s="57"/>
      <c r="N45" s="58"/>
      <c r="O45" s="59"/>
      <c r="P45" s="41"/>
    </row>
    <row r="46" ht="15.75" customHeight="1">
      <c r="A46" s="54">
        <v>43.0</v>
      </c>
      <c r="B46" s="55" t="s">
        <v>473</v>
      </c>
      <c r="C46" s="55" t="s">
        <v>809</v>
      </c>
      <c r="D46" s="55">
        <v>0.107</v>
      </c>
      <c r="E46" s="55" t="s">
        <v>21</v>
      </c>
      <c r="F46" s="55" t="s">
        <v>20</v>
      </c>
      <c r="G46" s="56"/>
      <c r="H46" s="57" t="s">
        <v>22</v>
      </c>
      <c r="I46" s="58"/>
      <c r="J46" s="57"/>
      <c r="K46" s="57"/>
      <c r="L46" s="57"/>
      <c r="M46" s="57" t="s">
        <v>22</v>
      </c>
      <c r="N46" s="58"/>
      <c r="O46" s="59"/>
      <c r="P46" s="41"/>
    </row>
    <row r="47" ht="15.75" customHeight="1">
      <c r="A47" s="54">
        <v>44.0</v>
      </c>
      <c r="B47" s="55" t="s">
        <v>477</v>
      </c>
      <c r="C47" s="55" t="s">
        <v>810</v>
      </c>
      <c r="D47" s="55">
        <v>0.543</v>
      </c>
      <c r="E47" s="55" t="s">
        <v>351</v>
      </c>
      <c r="F47" s="55" t="s">
        <v>21</v>
      </c>
      <c r="G47" s="56" t="s">
        <v>22</v>
      </c>
      <c r="H47" s="57"/>
      <c r="I47" s="58"/>
      <c r="J47" s="57"/>
      <c r="K47" s="57"/>
      <c r="L47" s="57"/>
      <c r="M47" s="57" t="s">
        <v>22</v>
      </c>
      <c r="N47" s="58"/>
      <c r="O47" s="59"/>
      <c r="P47" s="41"/>
    </row>
    <row r="48" ht="15.75" customHeight="1">
      <c r="A48" s="54">
        <v>45.0</v>
      </c>
      <c r="B48" s="55" t="s">
        <v>481</v>
      </c>
      <c r="C48" s="55" t="s">
        <v>811</v>
      </c>
      <c r="D48" s="55">
        <v>0.934</v>
      </c>
      <c r="E48" s="55" t="s">
        <v>351</v>
      </c>
      <c r="F48" s="55" t="s">
        <v>21</v>
      </c>
      <c r="G48" s="56"/>
      <c r="H48" s="57" t="s">
        <v>22</v>
      </c>
      <c r="I48" s="58"/>
      <c r="J48" s="57"/>
      <c r="K48" s="57"/>
      <c r="L48" s="57" t="s">
        <v>22</v>
      </c>
      <c r="M48" s="57"/>
      <c r="N48" s="58"/>
      <c r="O48" s="59"/>
      <c r="P48" s="41"/>
    </row>
    <row r="49" ht="15.75" customHeight="1">
      <c r="A49" s="54">
        <v>46.0</v>
      </c>
      <c r="B49" s="55" t="s">
        <v>485</v>
      </c>
      <c r="C49" s="55" t="s">
        <v>772</v>
      </c>
      <c r="D49" s="55">
        <v>0.414</v>
      </c>
      <c r="E49" s="55" t="s">
        <v>21</v>
      </c>
      <c r="F49" s="55" t="s">
        <v>20</v>
      </c>
      <c r="G49" s="56"/>
      <c r="H49" s="57"/>
      <c r="I49" s="58" t="s">
        <v>22</v>
      </c>
      <c r="J49" s="57"/>
      <c r="K49" s="57"/>
      <c r="L49" s="57"/>
      <c r="M49" s="57"/>
      <c r="N49" s="58"/>
      <c r="O49" s="59" t="s">
        <v>812</v>
      </c>
      <c r="P49" s="41"/>
    </row>
    <row r="50" ht="15.75" customHeight="1">
      <c r="A50" s="54">
        <v>47.0</v>
      </c>
      <c r="B50" s="55" t="s">
        <v>488</v>
      </c>
      <c r="C50" s="55" t="s">
        <v>773</v>
      </c>
      <c r="D50" s="55">
        <v>0.885</v>
      </c>
      <c r="E50" s="55" t="s">
        <v>351</v>
      </c>
      <c r="F50" s="55" t="s">
        <v>21</v>
      </c>
      <c r="G50" s="56"/>
      <c r="H50" s="74" t="s">
        <v>22</v>
      </c>
      <c r="I50" s="58"/>
      <c r="J50" s="57"/>
      <c r="K50" s="57"/>
      <c r="L50" s="57" t="s">
        <v>22</v>
      </c>
      <c r="M50" s="57"/>
      <c r="N50" s="58"/>
      <c r="O50" s="59"/>
      <c r="P50" s="41"/>
    </row>
    <row r="51" ht="15.75" customHeight="1">
      <c r="A51" s="54">
        <v>48.0</v>
      </c>
      <c r="B51" s="55" t="s">
        <v>491</v>
      </c>
      <c r="C51" s="55" t="s">
        <v>767</v>
      </c>
      <c r="D51" s="55">
        <v>0.8</v>
      </c>
      <c r="E51" s="55" t="s">
        <v>351</v>
      </c>
      <c r="F51" s="55" t="s">
        <v>21</v>
      </c>
      <c r="G51" s="56"/>
      <c r="H51" s="57" t="s">
        <v>22</v>
      </c>
      <c r="I51" s="58"/>
      <c r="J51" s="57"/>
      <c r="K51" s="57"/>
      <c r="L51" s="57"/>
      <c r="M51" s="57"/>
      <c r="N51" s="58" t="s">
        <v>22</v>
      </c>
      <c r="O51" s="59"/>
      <c r="P51" s="41"/>
    </row>
    <row r="52" ht="15.75" customHeight="1">
      <c r="A52" s="54">
        <v>49.0</v>
      </c>
      <c r="B52" s="55" t="s">
        <v>493</v>
      </c>
      <c r="C52" s="55" t="s">
        <v>813</v>
      </c>
      <c r="D52" s="55">
        <v>0.718</v>
      </c>
      <c r="E52" s="55" t="s">
        <v>351</v>
      </c>
      <c r="F52" s="55" t="s">
        <v>21</v>
      </c>
      <c r="G52" s="56" t="s">
        <v>22</v>
      </c>
      <c r="H52" s="57"/>
      <c r="I52" s="58"/>
      <c r="J52" s="57"/>
      <c r="K52" s="57"/>
      <c r="L52" s="57"/>
      <c r="M52" s="57" t="s">
        <v>22</v>
      </c>
      <c r="N52" s="58"/>
      <c r="O52" s="59"/>
      <c r="P52" s="41"/>
    </row>
    <row r="53" ht="15.75" customHeight="1">
      <c r="A53" s="54">
        <v>50.0</v>
      </c>
      <c r="B53" s="55" t="s">
        <v>497</v>
      </c>
      <c r="C53" s="55" t="s">
        <v>814</v>
      </c>
      <c r="D53" s="55">
        <v>0.317</v>
      </c>
      <c r="E53" s="55" t="s">
        <v>21</v>
      </c>
      <c r="F53" s="55" t="s">
        <v>20</v>
      </c>
      <c r="G53" s="56" t="s">
        <v>22</v>
      </c>
      <c r="H53" s="57"/>
      <c r="I53" s="58"/>
      <c r="J53" s="57"/>
      <c r="K53" s="57"/>
      <c r="L53" s="57"/>
      <c r="M53" s="57"/>
      <c r="N53" s="58" t="s">
        <v>22</v>
      </c>
      <c r="O53" s="59"/>
      <c r="P53" s="41"/>
    </row>
    <row r="54" ht="15.75" customHeight="1">
      <c r="A54" s="54">
        <v>51.0</v>
      </c>
      <c r="B54" s="55" t="s">
        <v>501</v>
      </c>
      <c r="C54" s="55" t="s">
        <v>815</v>
      </c>
      <c r="D54" s="55">
        <v>0.166</v>
      </c>
      <c r="E54" s="55" t="s">
        <v>21</v>
      </c>
      <c r="F54" s="55" t="s">
        <v>31</v>
      </c>
      <c r="G54" s="56" t="s">
        <v>22</v>
      </c>
      <c r="H54" s="57"/>
      <c r="I54" s="58"/>
      <c r="J54" s="57"/>
      <c r="K54" s="57"/>
      <c r="L54" s="57"/>
      <c r="M54" s="57"/>
      <c r="N54" s="58" t="s">
        <v>22</v>
      </c>
      <c r="O54" s="59"/>
      <c r="P54" s="41"/>
    </row>
    <row r="55" ht="15.75" customHeight="1">
      <c r="A55" s="54">
        <v>52.0</v>
      </c>
      <c r="B55" s="55" t="s">
        <v>505</v>
      </c>
      <c r="C55" s="55" t="s">
        <v>788</v>
      </c>
      <c r="D55" s="55">
        <v>0.018</v>
      </c>
      <c r="E55" s="55" t="s">
        <v>21</v>
      </c>
      <c r="F55" s="55" t="s">
        <v>31</v>
      </c>
      <c r="G55" s="56"/>
      <c r="H55" s="57" t="s">
        <v>22</v>
      </c>
      <c r="I55" s="58"/>
      <c r="J55" s="57"/>
      <c r="K55" s="57"/>
      <c r="L55" s="57"/>
      <c r="M55" s="57" t="s">
        <v>22</v>
      </c>
      <c r="N55" s="58"/>
      <c r="O55" s="59"/>
      <c r="P55" s="41"/>
    </row>
    <row r="56" ht="15.75" customHeight="1">
      <c r="A56" s="54">
        <v>53.0</v>
      </c>
      <c r="B56" s="55" t="s">
        <v>508</v>
      </c>
      <c r="C56" s="55" t="s">
        <v>816</v>
      </c>
      <c r="D56" s="55">
        <v>0.013</v>
      </c>
      <c r="E56" s="55" t="s">
        <v>21</v>
      </c>
      <c r="F56" s="55" t="s">
        <v>20</v>
      </c>
      <c r="G56" s="56" t="s">
        <v>22</v>
      </c>
      <c r="H56" s="57"/>
      <c r="I56" s="58"/>
      <c r="J56" s="57" t="s">
        <v>22</v>
      </c>
      <c r="K56" s="57"/>
      <c r="L56" s="57"/>
      <c r="M56" s="57"/>
      <c r="N56" s="58"/>
      <c r="O56" s="59"/>
      <c r="P56" s="41"/>
    </row>
    <row r="57" ht="15.75" customHeight="1">
      <c r="A57" s="54">
        <v>54.0</v>
      </c>
      <c r="B57" s="55" t="s">
        <v>511</v>
      </c>
      <c r="C57" s="55" t="s">
        <v>817</v>
      </c>
      <c r="D57" s="55">
        <v>0.977</v>
      </c>
      <c r="E57" s="55" t="s">
        <v>351</v>
      </c>
      <c r="F57" s="55" t="s">
        <v>21</v>
      </c>
      <c r="G57" s="56"/>
      <c r="H57" s="57" t="s">
        <v>22</v>
      </c>
      <c r="I57" s="58"/>
      <c r="J57" s="57"/>
      <c r="K57" s="57"/>
      <c r="L57" s="57" t="s">
        <v>22</v>
      </c>
      <c r="M57" s="57"/>
      <c r="N57" s="58"/>
      <c r="O57" s="59"/>
      <c r="P57" s="41"/>
    </row>
    <row r="58" ht="15.75" customHeight="1">
      <c r="A58" s="54">
        <v>55.0</v>
      </c>
      <c r="B58" s="55" t="s">
        <v>513</v>
      </c>
      <c r="C58" s="55" t="s">
        <v>789</v>
      </c>
      <c r="D58" s="55">
        <v>0.692</v>
      </c>
      <c r="E58" s="55" t="s">
        <v>351</v>
      </c>
      <c r="F58" s="55" t="s">
        <v>21</v>
      </c>
      <c r="G58" s="56"/>
      <c r="H58" s="57" t="s">
        <v>22</v>
      </c>
      <c r="I58" s="58"/>
      <c r="J58" s="57"/>
      <c r="K58" s="57"/>
      <c r="L58" s="57" t="s">
        <v>22</v>
      </c>
      <c r="M58" s="57"/>
      <c r="N58" s="58"/>
      <c r="O58" s="59"/>
      <c r="P58" s="41"/>
    </row>
    <row r="59" ht="15.75" customHeight="1">
      <c r="A59" s="54">
        <v>56.0</v>
      </c>
      <c r="B59" s="55" t="s">
        <v>517</v>
      </c>
      <c r="C59" s="55" t="s">
        <v>818</v>
      </c>
      <c r="D59" s="55">
        <v>0.945</v>
      </c>
      <c r="E59" s="55" t="s">
        <v>351</v>
      </c>
      <c r="F59" s="55" t="s">
        <v>21</v>
      </c>
      <c r="G59" s="56"/>
      <c r="H59" s="57" t="s">
        <v>22</v>
      </c>
      <c r="I59" s="58"/>
      <c r="J59" s="57"/>
      <c r="K59" s="57"/>
      <c r="L59" s="57" t="s">
        <v>22</v>
      </c>
      <c r="M59" s="57"/>
      <c r="N59" s="58"/>
      <c r="O59" s="59"/>
      <c r="P59" s="41"/>
    </row>
    <row r="60" ht="15.75" customHeight="1">
      <c r="A60" s="54">
        <v>57.0</v>
      </c>
      <c r="B60" s="55" t="s">
        <v>521</v>
      </c>
      <c r="C60" s="55" t="s">
        <v>819</v>
      </c>
      <c r="D60" s="55">
        <v>0.448</v>
      </c>
      <c r="E60" s="55" t="s">
        <v>351</v>
      </c>
      <c r="F60" s="55" t="s">
        <v>21</v>
      </c>
      <c r="G60" s="56" t="s">
        <v>22</v>
      </c>
      <c r="H60" s="57"/>
      <c r="I60" s="58"/>
      <c r="J60" s="57"/>
      <c r="K60" s="57"/>
      <c r="L60" s="57"/>
      <c r="M60" s="57" t="s">
        <v>22</v>
      </c>
      <c r="N60" s="58"/>
      <c r="O60" s="59"/>
      <c r="P60" s="41"/>
    </row>
    <row r="61" ht="15.75" customHeight="1">
      <c r="A61" s="54">
        <v>58.0</v>
      </c>
      <c r="B61" s="55" t="s">
        <v>525</v>
      </c>
      <c r="C61" s="55" t="s">
        <v>776</v>
      </c>
      <c r="D61" s="55">
        <v>0.524</v>
      </c>
      <c r="E61" s="55" t="s">
        <v>351</v>
      </c>
      <c r="F61" s="55" t="s">
        <v>21</v>
      </c>
      <c r="G61" s="56" t="s">
        <v>22</v>
      </c>
      <c r="H61" s="57"/>
      <c r="I61" s="58"/>
      <c r="J61" s="57"/>
      <c r="K61" s="57"/>
      <c r="L61" s="57"/>
      <c r="M61" s="57" t="s">
        <v>22</v>
      </c>
      <c r="N61" s="58"/>
      <c r="O61" s="59"/>
      <c r="P61" s="41"/>
    </row>
    <row r="62" ht="15.75" customHeight="1">
      <c r="A62" s="54">
        <v>59.0</v>
      </c>
      <c r="B62" s="55" t="s">
        <v>526</v>
      </c>
      <c r="C62" s="55" t="s">
        <v>808</v>
      </c>
      <c r="D62" s="55">
        <v>0.946</v>
      </c>
      <c r="E62" s="55" t="s">
        <v>351</v>
      </c>
      <c r="F62" s="55" t="s">
        <v>21</v>
      </c>
      <c r="G62" s="56" t="s">
        <v>22</v>
      </c>
      <c r="H62" s="57"/>
      <c r="I62" s="58"/>
      <c r="J62" s="57"/>
      <c r="K62" s="57"/>
      <c r="L62" s="57"/>
      <c r="M62" s="57" t="s">
        <v>22</v>
      </c>
      <c r="N62" s="58"/>
      <c r="O62" s="59"/>
      <c r="P62" s="41"/>
    </row>
    <row r="63" ht="15.75" customHeight="1">
      <c r="A63" s="54">
        <v>60.0</v>
      </c>
      <c r="B63" s="55" t="s">
        <v>529</v>
      </c>
      <c r="C63" s="55" t="s">
        <v>820</v>
      </c>
      <c r="D63" s="55">
        <v>0.794</v>
      </c>
      <c r="E63" s="55" t="s">
        <v>351</v>
      </c>
      <c r="F63" s="55" t="s">
        <v>21</v>
      </c>
      <c r="G63" s="56"/>
      <c r="H63" s="57" t="s">
        <v>22</v>
      </c>
      <c r="I63" s="58"/>
      <c r="J63" s="57"/>
      <c r="K63" s="57"/>
      <c r="L63" s="57" t="s">
        <v>22</v>
      </c>
      <c r="M63" s="57"/>
      <c r="N63" s="58"/>
      <c r="O63" s="59"/>
      <c r="P63" s="41"/>
    </row>
    <row r="64" ht="15.75" customHeight="1">
      <c r="A64" s="54">
        <v>61.0</v>
      </c>
      <c r="B64" s="55" t="s">
        <v>532</v>
      </c>
      <c r="C64" s="55" t="s">
        <v>821</v>
      </c>
      <c r="D64" s="55">
        <v>0.307</v>
      </c>
      <c r="E64" s="55" t="s">
        <v>21</v>
      </c>
      <c r="F64" s="55" t="s">
        <v>26</v>
      </c>
      <c r="G64" s="56"/>
      <c r="H64" s="57" t="s">
        <v>22</v>
      </c>
      <c r="I64" s="58"/>
      <c r="J64" s="57"/>
      <c r="K64" s="57"/>
      <c r="L64" s="57"/>
      <c r="M64" s="57" t="s">
        <v>22</v>
      </c>
      <c r="N64" s="58"/>
      <c r="O64" s="59"/>
      <c r="P64" s="41"/>
    </row>
    <row r="65" ht="15.75" customHeight="1">
      <c r="A65" s="54">
        <v>62.0</v>
      </c>
      <c r="B65" s="55" t="s">
        <v>536</v>
      </c>
      <c r="C65" s="55" t="s">
        <v>822</v>
      </c>
      <c r="D65" s="55">
        <v>0.921</v>
      </c>
      <c r="E65" s="55" t="s">
        <v>351</v>
      </c>
      <c r="F65" s="55" t="s">
        <v>21</v>
      </c>
      <c r="G65" s="56"/>
      <c r="H65" s="57" t="s">
        <v>22</v>
      </c>
      <c r="I65" s="58"/>
      <c r="J65" s="57"/>
      <c r="K65" s="57"/>
      <c r="L65" s="57" t="s">
        <v>22</v>
      </c>
      <c r="M65" s="57"/>
      <c r="N65" s="58"/>
      <c r="O65" s="59"/>
      <c r="P65" s="41"/>
    </row>
    <row r="66" ht="15.75" customHeight="1">
      <c r="A66" s="54">
        <v>63.0</v>
      </c>
      <c r="B66" s="55" t="s">
        <v>539</v>
      </c>
      <c r="C66" s="55" t="s">
        <v>823</v>
      </c>
      <c r="D66" s="55">
        <v>0.413</v>
      </c>
      <c r="E66" s="55" t="s">
        <v>21</v>
      </c>
      <c r="F66" s="55" t="s">
        <v>31</v>
      </c>
      <c r="G66" s="56" t="s">
        <v>22</v>
      </c>
      <c r="H66" s="57"/>
      <c r="I66" s="58"/>
      <c r="J66" s="57" t="s">
        <v>22</v>
      </c>
      <c r="K66" s="57"/>
      <c r="L66" s="57"/>
      <c r="M66" s="57"/>
      <c r="N66" s="58"/>
      <c r="O66" s="59"/>
      <c r="P66" s="41"/>
    </row>
    <row r="67" ht="15.75" customHeight="1">
      <c r="A67" s="54">
        <v>64.0</v>
      </c>
      <c r="B67" s="55" t="s">
        <v>542</v>
      </c>
      <c r="C67" s="55" t="s">
        <v>781</v>
      </c>
      <c r="D67" s="55">
        <v>0.824</v>
      </c>
      <c r="E67" s="55" t="s">
        <v>351</v>
      </c>
      <c r="F67" s="55" t="s">
        <v>21</v>
      </c>
      <c r="G67" s="56" t="s">
        <v>22</v>
      </c>
      <c r="H67" s="57"/>
      <c r="I67" s="58"/>
      <c r="J67" s="57"/>
      <c r="K67" s="57"/>
      <c r="L67" s="57"/>
      <c r="M67" s="57"/>
      <c r="N67" s="58" t="s">
        <v>22</v>
      </c>
      <c r="O67" s="59"/>
      <c r="P67" s="41"/>
    </row>
    <row r="68" ht="15.75" customHeight="1">
      <c r="A68" s="54">
        <v>65.0</v>
      </c>
      <c r="B68" s="55" t="s">
        <v>545</v>
      </c>
      <c r="C68" s="55" t="s">
        <v>824</v>
      </c>
      <c r="D68" s="55">
        <v>0.003</v>
      </c>
      <c r="E68" s="55" t="s">
        <v>21</v>
      </c>
      <c r="F68" s="55" t="s">
        <v>26</v>
      </c>
      <c r="G68" s="56" t="s">
        <v>22</v>
      </c>
      <c r="H68" s="57"/>
      <c r="I68" s="58"/>
      <c r="J68" s="57"/>
      <c r="K68" s="57"/>
      <c r="L68" s="57"/>
      <c r="M68" s="57"/>
      <c r="N68" s="58" t="s">
        <v>22</v>
      </c>
      <c r="O68" s="59"/>
      <c r="P68" s="41"/>
    </row>
    <row r="69" ht="15.75" customHeight="1">
      <c r="A69" s="54">
        <v>66.0</v>
      </c>
      <c r="B69" s="55" t="s">
        <v>547</v>
      </c>
      <c r="C69" s="55" t="s">
        <v>790</v>
      </c>
      <c r="D69" s="55">
        <v>0.271</v>
      </c>
      <c r="E69" s="55" t="s">
        <v>21</v>
      </c>
      <c r="F69" s="55" t="s">
        <v>20</v>
      </c>
      <c r="G69" s="56" t="s">
        <v>22</v>
      </c>
      <c r="H69" s="57"/>
      <c r="I69" s="58"/>
      <c r="J69" s="57" t="s">
        <v>22</v>
      </c>
      <c r="K69" s="57"/>
      <c r="L69" s="57"/>
      <c r="M69" s="57"/>
      <c r="N69" s="58"/>
      <c r="O69" s="59"/>
      <c r="P69" s="41"/>
    </row>
    <row r="70" ht="15.75" customHeight="1">
      <c r="A70" s="54">
        <v>67.0</v>
      </c>
      <c r="B70" s="55" t="s">
        <v>550</v>
      </c>
      <c r="C70" s="55" t="s">
        <v>825</v>
      </c>
      <c r="D70" s="55">
        <v>0.908</v>
      </c>
      <c r="E70" s="55" t="s">
        <v>351</v>
      </c>
      <c r="F70" s="55" t="s">
        <v>21</v>
      </c>
      <c r="G70" s="56"/>
      <c r="H70" s="57" t="s">
        <v>22</v>
      </c>
      <c r="I70" s="58"/>
      <c r="J70" s="57"/>
      <c r="K70" s="57"/>
      <c r="L70" s="57" t="s">
        <v>22</v>
      </c>
      <c r="M70" s="57"/>
      <c r="N70" s="58"/>
      <c r="O70" s="59"/>
      <c r="P70" s="41"/>
    </row>
    <row r="71" ht="15.75" customHeight="1">
      <c r="A71" s="54">
        <v>68.0</v>
      </c>
      <c r="B71" s="55" t="s">
        <v>554</v>
      </c>
      <c r="C71" s="55" t="s">
        <v>826</v>
      </c>
      <c r="D71" s="55">
        <v>0.91</v>
      </c>
      <c r="E71" s="55" t="s">
        <v>351</v>
      </c>
      <c r="F71" s="55" t="s">
        <v>21</v>
      </c>
      <c r="G71" s="56"/>
      <c r="H71" s="57" t="s">
        <v>22</v>
      </c>
      <c r="I71" s="58"/>
      <c r="J71" s="57"/>
      <c r="K71" s="57"/>
      <c r="L71" s="57"/>
      <c r="M71" s="57"/>
      <c r="N71" s="58" t="s">
        <v>22</v>
      </c>
      <c r="O71" s="59"/>
      <c r="P71" s="41"/>
    </row>
    <row r="72" ht="15.75" customHeight="1">
      <c r="A72" s="54">
        <v>69.0</v>
      </c>
      <c r="B72" s="55" t="s">
        <v>557</v>
      </c>
      <c r="C72" s="55" t="s">
        <v>814</v>
      </c>
      <c r="D72" s="55">
        <v>0.468</v>
      </c>
      <c r="E72" s="55" t="s">
        <v>21</v>
      </c>
      <c r="F72" s="55" t="s">
        <v>31</v>
      </c>
      <c r="G72" s="56" t="s">
        <v>22</v>
      </c>
      <c r="H72" s="57"/>
      <c r="I72" s="58"/>
      <c r="J72" s="57"/>
      <c r="K72" s="57"/>
      <c r="L72" s="57"/>
      <c r="M72" s="57"/>
      <c r="N72" s="58" t="s">
        <v>22</v>
      </c>
      <c r="O72" s="59"/>
      <c r="P72" s="41"/>
    </row>
    <row r="73" ht="15.75" customHeight="1">
      <c r="A73" s="54">
        <v>70.0</v>
      </c>
      <c r="B73" s="55" t="s">
        <v>560</v>
      </c>
      <c r="C73" s="55" t="s">
        <v>786</v>
      </c>
      <c r="D73" s="55">
        <v>0.222</v>
      </c>
      <c r="E73" s="55" t="s">
        <v>21</v>
      </c>
      <c r="F73" s="55" t="s">
        <v>31</v>
      </c>
      <c r="G73" s="56" t="s">
        <v>22</v>
      </c>
      <c r="H73" s="57"/>
      <c r="I73" s="58"/>
      <c r="J73" s="57" t="s">
        <v>22</v>
      </c>
      <c r="K73" s="57"/>
      <c r="L73" s="57"/>
      <c r="M73" s="57"/>
      <c r="N73" s="58"/>
      <c r="O73" s="59"/>
      <c r="P73" s="41"/>
    </row>
    <row r="74" ht="15.75" customHeight="1">
      <c r="A74" s="54">
        <v>71.0</v>
      </c>
      <c r="B74" s="55" t="s">
        <v>562</v>
      </c>
      <c r="C74" s="55" t="s">
        <v>827</v>
      </c>
      <c r="D74" s="55">
        <v>0.928</v>
      </c>
      <c r="E74" s="55" t="s">
        <v>351</v>
      </c>
      <c r="F74" s="55" t="s">
        <v>21</v>
      </c>
      <c r="G74" s="56"/>
      <c r="H74" s="57" t="s">
        <v>22</v>
      </c>
      <c r="I74" s="58"/>
      <c r="J74" s="57"/>
      <c r="K74" s="57"/>
      <c r="L74" s="57" t="s">
        <v>22</v>
      </c>
      <c r="M74" s="57"/>
      <c r="N74" s="58"/>
      <c r="O74" s="59"/>
      <c r="P74" s="41"/>
    </row>
    <row r="75" ht="15.75" customHeight="1">
      <c r="A75" s="54">
        <v>72.0</v>
      </c>
      <c r="B75" s="55" t="s">
        <v>565</v>
      </c>
      <c r="C75" s="55" t="s">
        <v>828</v>
      </c>
      <c r="D75" s="55">
        <v>0.012</v>
      </c>
      <c r="E75" s="55" t="s">
        <v>21</v>
      </c>
      <c r="F75" s="55" t="s">
        <v>31</v>
      </c>
      <c r="G75" s="56" t="s">
        <v>22</v>
      </c>
      <c r="H75" s="57"/>
      <c r="I75" s="58"/>
      <c r="J75" s="57"/>
      <c r="K75" s="57"/>
      <c r="L75" s="57"/>
      <c r="M75" s="57"/>
      <c r="N75" s="58" t="s">
        <v>22</v>
      </c>
      <c r="O75" s="59"/>
      <c r="P75" s="41"/>
    </row>
    <row r="76" ht="15.75" customHeight="1">
      <c r="A76" s="54">
        <v>73.0</v>
      </c>
      <c r="B76" s="55" t="s">
        <v>568</v>
      </c>
      <c r="C76" s="55" t="s">
        <v>829</v>
      </c>
      <c r="D76" s="55">
        <v>0.637</v>
      </c>
      <c r="E76" s="55" t="s">
        <v>351</v>
      </c>
      <c r="F76" s="55" t="s">
        <v>21</v>
      </c>
      <c r="G76" s="56"/>
      <c r="H76" s="57" t="s">
        <v>22</v>
      </c>
      <c r="I76" s="58"/>
      <c r="J76" s="57"/>
      <c r="K76" s="57"/>
      <c r="L76" s="57" t="s">
        <v>22</v>
      </c>
      <c r="M76" s="57"/>
      <c r="N76" s="58"/>
      <c r="O76" s="59"/>
      <c r="P76" s="41"/>
    </row>
    <row r="77" ht="15.75" customHeight="1">
      <c r="A77" s="54">
        <v>74.0</v>
      </c>
      <c r="B77" s="55" t="s">
        <v>571</v>
      </c>
      <c r="C77" s="55" t="s">
        <v>830</v>
      </c>
      <c r="D77" s="55">
        <v>0.553</v>
      </c>
      <c r="E77" s="55" t="s">
        <v>351</v>
      </c>
      <c r="F77" s="55" t="s">
        <v>21</v>
      </c>
      <c r="G77" s="56" t="s">
        <v>22</v>
      </c>
      <c r="H77" s="57"/>
      <c r="I77" s="58"/>
      <c r="J77" s="57"/>
      <c r="K77" s="57"/>
      <c r="L77" s="57"/>
      <c r="M77" s="57" t="s">
        <v>22</v>
      </c>
      <c r="N77" s="58"/>
      <c r="O77" s="59"/>
      <c r="P77" s="41"/>
    </row>
    <row r="78" ht="15.75" customHeight="1">
      <c r="A78" s="54">
        <v>75.0</v>
      </c>
      <c r="B78" s="55" t="s">
        <v>575</v>
      </c>
      <c r="C78" s="55" t="s">
        <v>831</v>
      </c>
      <c r="D78" s="55">
        <v>0.825</v>
      </c>
      <c r="E78" s="55" t="s">
        <v>351</v>
      </c>
      <c r="F78" s="55" t="s">
        <v>21</v>
      </c>
      <c r="G78" s="56"/>
      <c r="H78" s="57" t="s">
        <v>22</v>
      </c>
      <c r="I78" s="58"/>
      <c r="J78" s="57"/>
      <c r="K78" s="57"/>
      <c r="L78" s="57" t="s">
        <v>22</v>
      </c>
      <c r="M78" s="57"/>
      <c r="N78" s="58"/>
      <c r="O78" s="59"/>
      <c r="P78" s="41"/>
    </row>
    <row r="79" ht="15.75" customHeight="1">
      <c r="A79" s="54">
        <v>76.0</v>
      </c>
      <c r="B79" s="55" t="s">
        <v>579</v>
      </c>
      <c r="C79" s="55" t="s">
        <v>832</v>
      </c>
      <c r="D79" s="55">
        <v>0.006</v>
      </c>
      <c r="E79" s="55" t="s">
        <v>21</v>
      </c>
      <c r="F79" s="55" t="s">
        <v>20</v>
      </c>
      <c r="G79" s="56"/>
      <c r="H79" s="57" t="s">
        <v>22</v>
      </c>
      <c r="I79" s="58"/>
      <c r="J79" s="57"/>
      <c r="K79" s="57"/>
      <c r="L79" s="57"/>
      <c r="M79" s="57" t="s">
        <v>22</v>
      </c>
      <c r="N79" s="58"/>
      <c r="O79" s="59"/>
      <c r="P79" s="41"/>
    </row>
    <row r="80" ht="15.75" customHeight="1">
      <c r="A80" s="54">
        <v>77.0</v>
      </c>
      <c r="B80" s="55" t="s">
        <v>581</v>
      </c>
      <c r="C80" s="55" t="s">
        <v>772</v>
      </c>
      <c r="D80" s="55">
        <v>0.475</v>
      </c>
      <c r="E80" s="55" t="s">
        <v>21</v>
      </c>
      <c r="F80" s="55" t="s">
        <v>20</v>
      </c>
      <c r="G80" s="56"/>
      <c r="H80" s="57"/>
      <c r="I80" s="58" t="s">
        <v>22</v>
      </c>
      <c r="J80" s="57"/>
      <c r="K80" s="57"/>
      <c r="L80" s="57"/>
      <c r="M80" s="57"/>
      <c r="N80" s="58"/>
      <c r="O80" s="59" t="s">
        <v>833</v>
      </c>
      <c r="P80" s="41"/>
    </row>
    <row r="81" ht="15.75" customHeight="1">
      <c r="A81" s="54">
        <v>78.0</v>
      </c>
      <c r="B81" s="55" t="s">
        <v>584</v>
      </c>
      <c r="C81" s="55" t="s">
        <v>834</v>
      </c>
      <c r="D81" s="55">
        <v>0.948</v>
      </c>
      <c r="E81" s="55" t="s">
        <v>351</v>
      </c>
      <c r="F81" s="55" t="s">
        <v>21</v>
      </c>
      <c r="G81" s="56"/>
      <c r="H81" s="57"/>
      <c r="I81" s="58" t="s">
        <v>22</v>
      </c>
      <c r="J81" s="57"/>
      <c r="K81" s="57"/>
      <c r="L81" s="57"/>
      <c r="M81" s="57"/>
      <c r="N81" s="58"/>
      <c r="O81" s="59" t="s">
        <v>835</v>
      </c>
      <c r="P81" s="41"/>
    </row>
    <row r="82" ht="15.75" customHeight="1">
      <c r="A82" s="54">
        <v>79.0</v>
      </c>
      <c r="B82" s="55" t="s">
        <v>588</v>
      </c>
      <c r="C82" s="55" t="s">
        <v>802</v>
      </c>
      <c r="D82" s="55">
        <v>0.425</v>
      </c>
      <c r="E82" s="55" t="s">
        <v>21</v>
      </c>
      <c r="F82" s="55" t="s">
        <v>20</v>
      </c>
      <c r="G82" s="56" t="s">
        <v>22</v>
      </c>
      <c r="H82" s="57"/>
      <c r="I82" s="58"/>
      <c r="J82" s="57" t="s">
        <v>22</v>
      </c>
      <c r="K82" s="57"/>
      <c r="L82" s="57"/>
      <c r="M82" s="57"/>
      <c r="N82" s="58"/>
      <c r="O82" s="59"/>
      <c r="P82" s="41"/>
    </row>
    <row r="83" ht="15.75" customHeight="1">
      <c r="A83" s="54">
        <v>80.0</v>
      </c>
      <c r="B83" s="55" t="s">
        <v>592</v>
      </c>
      <c r="C83" s="55" t="s">
        <v>819</v>
      </c>
      <c r="D83" s="55">
        <v>0.982</v>
      </c>
      <c r="E83" s="55" t="s">
        <v>351</v>
      </c>
      <c r="F83" s="55" t="s">
        <v>21</v>
      </c>
      <c r="G83" s="56"/>
      <c r="H83" s="57" t="s">
        <v>22</v>
      </c>
      <c r="I83" s="58"/>
      <c r="J83" s="57"/>
      <c r="K83" s="57"/>
      <c r="L83" s="57"/>
      <c r="M83" s="57"/>
      <c r="N83" s="58" t="s">
        <v>22</v>
      </c>
      <c r="O83" s="59"/>
      <c r="P83" s="41"/>
    </row>
    <row r="84" ht="15.75" customHeight="1">
      <c r="A84" s="54">
        <v>81.0</v>
      </c>
      <c r="B84" s="55" t="s">
        <v>595</v>
      </c>
      <c r="C84" s="55" t="s">
        <v>795</v>
      </c>
      <c r="D84" s="55">
        <v>0.915</v>
      </c>
      <c r="E84" s="55" t="s">
        <v>351</v>
      </c>
      <c r="F84" s="55" t="s">
        <v>21</v>
      </c>
      <c r="G84" s="56"/>
      <c r="H84" s="57" t="s">
        <v>22</v>
      </c>
      <c r="I84" s="58"/>
      <c r="J84" s="57"/>
      <c r="K84" s="57"/>
      <c r="L84" s="57" t="s">
        <v>22</v>
      </c>
      <c r="M84" s="57"/>
      <c r="N84" s="58"/>
      <c r="O84" s="59"/>
      <c r="P84" s="41"/>
    </row>
    <row r="85" ht="15.75" customHeight="1">
      <c r="A85" s="54">
        <v>82.0</v>
      </c>
      <c r="B85" s="55" t="s">
        <v>598</v>
      </c>
      <c r="C85" s="55" t="s">
        <v>836</v>
      </c>
      <c r="D85" s="55">
        <v>0.227</v>
      </c>
      <c r="E85" s="55" t="s">
        <v>21</v>
      </c>
      <c r="F85" s="55" t="s">
        <v>20</v>
      </c>
      <c r="G85" s="56"/>
      <c r="H85" s="57"/>
      <c r="I85" s="58" t="s">
        <v>22</v>
      </c>
      <c r="J85" s="57"/>
      <c r="K85" s="57"/>
      <c r="L85" s="57"/>
      <c r="M85" s="57"/>
      <c r="N85" s="58"/>
      <c r="O85" s="59" t="s">
        <v>837</v>
      </c>
      <c r="P85" s="41"/>
    </row>
    <row r="86" ht="15.75" customHeight="1">
      <c r="A86" s="54">
        <v>83.0</v>
      </c>
      <c r="B86" s="55" t="s">
        <v>602</v>
      </c>
      <c r="C86" s="55" t="s">
        <v>783</v>
      </c>
      <c r="D86" s="55">
        <v>0.167</v>
      </c>
      <c r="E86" s="55" t="s">
        <v>351</v>
      </c>
      <c r="F86" s="55" t="s">
        <v>20</v>
      </c>
      <c r="G86" s="56"/>
      <c r="H86" s="57"/>
      <c r="I86" s="58" t="s">
        <v>22</v>
      </c>
      <c r="J86" s="57"/>
      <c r="K86" s="57"/>
      <c r="L86" s="57"/>
      <c r="M86" s="57"/>
      <c r="N86" s="58" t="s">
        <v>22</v>
      </c>
      <c r="O86" s="59"/>
      <c r="P86" s="41"/>
    </row>
    <row r="87" ht="15.75" customHeight="1">
      <c r="A87" s="54">
        <v>84.0</v>
      </c>
      <c r="B87" s="55" t="s">
        <v>605</v>
      </c>
      <c r="C87" s="55" t="s">
        <v>838</v>
      </c>
      <c r="D87" s="55">
        <v>0.911</v>
      </c>
      <c r="E87" s="55" t="s">
        <v>351</v>
      </c>
      <c r="F87" s="55" t="s">
        <v>21</v>
      </c>
      <c r="G87" s="56"/>
      <c r="H87" s="57" t="s">
        <v>22</v>
      </c>
      <c r="I87" s="58"/>
      <c r="J87" s="57"/>
      <c r="K87" s="57"/>
      <c r="L87" s="57" t="s">
        <v>22</v>
      </c>
      <c r="M87" s="57"/>
      <c r="N87" s="58"/>
      <c r="O87" s="59"/>
      <c r="P87" s="41"/>
    </row>
    <row r="88" ht="15.75" customHeight="1">
      <c r="A88" s="54">
        <v>85.0</v>
      </c>
      <c r="B88" s="55" t="s">
        <v>609</v>
      </c>
      <c r="C88" s="55" t="s">
        <v>839</v>
      </c>
      <c r="D88" s="55">
        <v>0.841</v>
      </c>
      <c r="E88" s="55" t="s">
        <v>351</v>
      </c>
      <c r="F88" s="55" t="s">
        <v>21</v>
      </c>
      <c r="G88" s="56"/>
      <c r="H88" s="57" t="s">
        <v>22</v>
      </c>
      <c r="I88" s="58"/>
      <c r="J88" s="57"/>
      <c r="K88" s="57"/>
      <c r="L88" s="57" t="s">
        <v>22</v>
      </c>
      <c r="M88" s="57"/>
      <c r="N88" s="58"/>
      <c r="O88" s="59"/>
      <c r="P88" s="41"/>
    </row>
    <row r="89" ht="15.75" customHeight="1">
      <c r="A89" s="54">
        <v>86.0</v>
      </c>
      <c r="B89" s="55" t="s">
        <v>613</v>
      </c>
      <c r="C89" s="55" t="s">
        <v>840</v>
      </c>
      <c r="D89" s="55">
        <v>0.579</v>
      </c>
      <c r="E89" s="55" t="s">
        <v>351</v>
      </c>
      <c r="F89" s="55" t="s">
        <v>21</v>
      </c>
      <c r="G89" s="56" t="s">
        <v>22</v>
      </c>
      <c r="H89" s="57"/>
      <c r="I89" s="58"/>
      <c r="J89" s="57"/>
      <c r="K89" s="57"/>
      <c r="L89" s="57"/>
      <c r="M89" s="57" t="s">
        <v>22</v>
      </c>
      <c r="N89" s="58"/>
      <c r="O89" s="59"/>
      <c r="P89" s="41"/>
    </row>
    <row r="90" ht="15.75" customHeight="1">
      <c r="A90" s="54">
        <v>87.0</v>
      </c>
      <c r="B90" s="55" t="s">
        <v>617</v>
      </c>
      <c r="C90" s="55" t="s">
        <v>841</v>
      </c>
      <c r="D90" s="55">
        <v>0.572</v>
      </c>
      <c r="E90" s="55" t="s">
        <v>351</v>
      </c>
      <c r="F90" s="55" t="s">
        <v>21</v>
      </c>
      <c r="G90" s="56" t="s">
        <v>22</v>
      </c>
      <c r="H90" s="57"/>
      <c r="I90" s="58"/>
      <c r="J90" s="57"/>
      <c r="K90" s="57"/>
      <c r="L90" s="57"/>
      <c r="M90" s="57" t="s">
        <v>22</v>
      </c>
      <c r="N90" s="58"/>
      <c r="O90" s="59"/>
      <c r="P90" s="41"/>
    </row>
    <row r="91" ht="15.75" customHeight="1">
      <c r="A91" s="54">
        <v>88.0</v>
      </c>
      <c r="B91" s="55" t="s">
        <v>621</v>
      </c>
      <c r="C91" s="55" t="s">
        <v>842</v>
      </c>
      <c r="D91" s="55">
        <v>0.986</v>
      </c>
      <c r="E91" s="55" t="s">
        <v>351</v>
      </c>
      <c r="F91" s="55" t="s">
        <v>21</v>
      </c>
      <c r="G91" s="56"/>
      <c r="H91" s="57" t="s">
        <v>22</v>
      </c>
      <c r="I91" s="58"/>
      <c r="J91" s="57"/>
      <c r="K91" s="57"/>
      <c r="L91" s="57" t="s">
        <v>22</v>
      </c>
      <c r="M91" s="57"/>
      <c r="N91" s="58"/>
      <c r="O91" s="59"/>
      <c r="P91" s="41"/>
    </row>
    <row r="92" ht="15.75" customHeight="1">
      <c r="A92" s="54">
        <v>89.0</v>
      </c>
      <c r="B92" s="55" t="s">
        <v>625</v>
      </c>
      <c r="C92" s="55" t="s">
        <v>843</v>
      </c>
      <c r="D92" s="55">
        <v>0.559</v>
      </c>
      <c r="E92" s="55" t="s">
        <v>351</v>
      </c>
      <c r="F92" s="55" t="s">
        <v>21</v>
      </c>
      <c r="G92" s="56" t="s">
        <v>22</v>
      </c>
      <c r="H92" s="57"/>
      <c r="I92" s="58"/>
      <c r="J92" s="57"/>
      <c r="K92" s="57"/>
      <c r="L92" s="57"/>
      <c r="M92" s="57" t="s">
        <v>22</v>
      </c>
      <c r="N92" s="58"/>
      <c r="O92" s="59"/>
      <c r="P92" s="41"/>
    </row>
    <row r="93" ht="15.75" customHeight="1">
      <c r="A93" s="54">
        <v>90.0</v>
      </c>
      <c r="B93" s="55" t="s">
        <v>629</v>
      </c>
      <c r="C93" s="55" t="s">
        <v>844</v>
      </c>
      <c r="D93" s="55">
        <v>0.73</v>
      </c>
      <c r="E93" s="55" t="s">
        <v>351</v>
      </c>
      <c r="F93" s="55" t="s">
        <v>21</v>
      </c>
      <c r="G93" s="56"/>
      <c r="H93" s="57" t="s">
        <v>22</v>
      </c>
      <c r="I93" s="58"/>
      <c r="J93" s="57"/>
      <c r="K93" s="57"/>
      <c r="L93" s="57" t="s">
        <v>22</v>
      </c>
      <c r="M93" s="57"/>
      <c r="N93" s="58"/>
      <c r="O93" s="59"/>
      <c r="P93" s="41"/>
    </row>
    <row r="94" ht="15.75" customHeight="1">
      <c r="A94" s="54">
        <v>91.0</v>
      </c>
      <c r="B94" s="55" t="s">
        <v>633</v>
      </c>
      <c r="C94" s="55" t="s">
        <v>843</v>
      </c>
      <c r="D94" s="55">
        <v>0.957</v>
      </c>
      <c r="E94" s="55" t="s">
        <v>351</v>
      </c>
      <c r="F94" s="55" t="s">
        <v>21</v>
      </c>
      <c r="G94" s="56" t="s">
        <v>22</v>
      </c>
      <c r="H94" s="57"/>
      <c r="I94" s="58"/>
      <c r="J94" s="57" t="s">
        <v>22</v>
      </c>
      <c r="K94" s="57"/>
      <c r="L94" s="57"/>
      <c r="M94" s="57"/>
      <c r="N94" s="58"/>
      <c r="O94" s="59"/>
      <c r="P94" s="41"/>
    </row>
    <row r="95" ht="15.75" customHeight="1">
      <c r="A95" s="54">
        <v>92.0</v>
      </c>
      <c r="B95" s="55" t="s">
        <v>636</v>
      </c>
      <c r="C95" s="55" t="s">
        <v>771</v>
      </c>
      <c r="D95" s="55">
        <v>0.977</v>
      </c>
      <c r="E95" s="55" t="s">
        <v>351</v>
      </c>
      <c r="F95" s="55" t="s">
        <v>21</v>
      </c>
      <c r="G95" s="56"/>
      <c r="H95" s="57" t="s">
        <v>22</v>
      </c>
      <c r="I95" s="58"/>
      <c r="J95" s="57"/>
      <c r="K95" s="57"/>
      <c r="L95" s="57" t="s">
        <v>22</v>
      </c>
      <c r="M95" s="57"/>
      <c r="N95" s="58"/>
      <c r="O95" s="59"/>
      <c r="P95" s="41"/>
    </row>
    <row r="96" ht="15.75" customHeight="1">
      <c r="A96" s="54">
        <v>93.0</v>
      </c>
      <c r="B96" s="55" t="s">
        <v>638</v>
      </c>
      <c r="C96" s="55" t="s">
        <v>845</v>
      </c>
      <c r="D96" s="55">
        <v>0.955</v>
      </c>
      <c r="E96" s="55" t="s">
        <v>351</v>
      </c>
      <c r="F96" s="55" t="s">
        <v>21</v>
      </c>
      <c r="G96" s="56"/>
      <c r="H96" s="57" t="s">
        <v>22</v>
      </c>
      <c r="I96" s="58"/>
      <c r="J96" s="57"/>
      <c r="K96" s="57"/>
      <c r="L96" s="57"/>
      <c r="M96" s="57" t="s">
        <v>22</v>
      </c>
      <c r="N96" s="58"/>
      <c r="O96" s="59"/>
      <c r="P96" s="41"/>
    </row>
    <row r="97" ht="15.75" customHeight="1">
      <c r="A97" s="54">
        <v>94.0</v>
      </c>
      <c r="B97" s="55" t="s">
        <v>641</v>
      </c>
      <c r="C97" s="55" t="s">
        <v>846</v>
      </c>
      <c r="D97" s="55">
        <v>0.331</v>
      </c>
      <c r="E97" s="55" t="s">
        <v>21</v>
      </c>
      <c r="F97" s="55" t="s">
        <v>20</v>
      </c>
      <c r="G97" s="56"/>
      <c r="H97" s="57"/>
      <c r="I97" s="58" t="s">
        <v>22</v>
      </c>
      <c r="J97" s="57"/>
      <c r="K97" s="57"/>
      <c r="L97" s="57"/>
      <c r="M97" s="57" t="s">
        <v>22</v>
      </c>
      <c r="N97" s="58"/>
      <c r="O97" s="59" t="s">
        <v>847</v>
      </c>
      <c r="P97" s="41"/>
    </row>
    <row r="98" ht="15.75" customHeight="1">
      <c r="A98" s="54">
        <v>95.0</v>
      </c>
      <c r="B98" s="55" t="s">
        <v>645</v>
      </c>
      <c r="C98" s="55" t="s">
        <v>848</v>
      </c>
      <c r="D98" s="55">
        <v>0.173</v>
      </c>
      <c r="E98" s="55" t="s">
        <v>21</v>
      </c>
      <c r="F98" s="55" t="s">
        <v>31</v>
      </c>
      <c r="G98" s="56" t="s">
        <v>22</v>
      </c>
      <c r="H98" s="57"/>
      <c r="I98" s="58"/>
      <c r="J98" s="57" t="s">
        <v>22</v>
      </c>
      <c r="K98" s="57"/>
      <c r="L98" s="57"/>
      <c r="M98" s="57"/>
      <c r="N98" s="58"/>
      <c r="O98" s="59"/>
      <c r="P98" s="41"/>
    </row>
    <row r="99" ht="15.75" customHeight="1">
      <c r="A99" s="54">
        <v>96.0</v>
      </c>
      <c r="B99" s="55" t="s">
        <v>649</v>
      </c>
      <c r="C99" s="55" t="s">
        <v>783</v>
      </c>
      <c r="D99" s="55">
        <v>0.137</v>
      </c>
      <c r="E99" s="55" t="s">
        <v>21</v>
      </c>
      <c r="F99" s="55" t="s">
        <v>20</v>
      </c>
      <c r="G99" s="56"/>
      <c r="H99" s="57"/>
      <c r="I99" s="58"/>
      <c r="J99" s="57"/>
      <c r="K99" s="57"/>
      <c r="L99" s="57"/>
      <c r="M99" s="57"/>
      <c r="N99" s="58"/>
      <c r="O99" s="59"/>
      <c r="P99" s="41"/>
    </row>
    <row r="100" ht="15.75" customHeight="1">
      <c r="A100" s="54">
        <v>97.0</v>
      </c>
      <c r="B100" s="55" t="s">
        <v>650</v>
      </c>
      <c r="C100" s="55" t="s">
        <v>849</v>
      </c>
      <c r="D100" s="55">
        <v>0.978</v>
      </c>
      <c r="E100" s="55" t="s">
        <v>351</v>
      </c>
      <c r="F100" s="55" t="s">
        <v>21</v>
      </c>
      <c r="G100" s="56"/>
      <c r="H100" s="57" t="s">
        <v>22</v>
      </c>
      <c r="I100" s="58"/>
      <c r="J100" s="57"/>
      <c r="K100" s="57"/>
      <c r="L100" s="57" t="s">
        <v>22</v>
      </c>
      <c r="M100" s="57"/>
      <c r="N100" s="58"/>
      <c r="O100" s="59"/>
      <c r="P100" s="41"/>
    </row>
    <row r="101" ht="15.75" customHeight="1">
      <c r="A101" s="54">
        <v>98.0</v>
      </c>
      <c r="B101" s="55" t="s">
        <v>653</v>
      </c>
      <c r="C101" s="55" t="s">
        <v>822</v>
      </c>
      <c r="D101" s="55">
        <v>0.481</v>
      </c>
      <c r="E101" s="55" t="s">
        <v>21</v>
      </c>
      <c r="F101" s="55" t="s">
        <v>20</v>
      </c>
      <c r="G101" s="56"/>
      <c r="H101" s="57"/>
      <c r="I101" s="58" t="s">
        <v>22</v>
      </c>
      <c r="J101" s="57"/>
      <c r="K101" s="57"/>
      <c r="L101" s="57" t="s">
        <v>22</v>
      </c>
      <c r="M101" s="57" t="s">
        <v>22</v>
      </c>
      <c r="N101" s="58"/>
      <c r="O101" s="75" t="s">
        <v>850</v>
      </c>
      <c r="P101" s="41"/>
    </row>
    <row r="102" ht="15.75" customHeight="1">
      <c r="A102" s="54">
        <v>99.0</v>
      </c>
      <c r="B102" s="55" t="s">
        <v>656</v>
      </c>
      <c r="C102" s="55" t="s">
        <v>851</v>
      </c>
      <c r="D102" s="55">
        <v>0.161</v>
      </c>
      <c r="E102" s="55" t="s">
        <v>21</v>
      </c>
      <c r="F102" s="55" t="s">
        <v>20</v>
      </c>
      <c r="G102" s="56"/>
      <c r="H102" s="57" t="s">
        <v>22</v>
      </c>
      <c r="I102" s="58"/>
      <c r="J102" s="57"/>
      <c r="K102" s="57"/>
      <c r="L102" s="57"/>
      <c r="M102" s="57" t="s">
        <v>22</v>
      </c>
      <c r="N102" s="58"/>
      <c r="O102" s="59"/>
      <c r="P102" s="41"/>
    </row>
    <row r="103" ht="15.75" customHeight="1">
      <c r="A103" s="76">
        <v>100.0</v>
      </c>
      <c r="B103" s="63" t="s">
        <v>660</v>
      </c>
      <c r="C103" s="63" t="s">
        <v>813</v>
      </c>
      <c r="D103" s="63">
        <v>0.714</v>
      </c>
      <c r="E103" s="63" t="s">
        <v>351</v>
      </c>
      <c r="F103" s="63" t="s">
        <v>21</v>
      </c>
      <c r="G103" s="64" t="s">
        <v>22</v>
      </c>
      <c r="H103" s="65"/>
      <c r="I103" s="66"/>
      <c r="J103" s="65"/>
      <c r="K103" s="65"/>
      <c r="L103" s="65"/>
      <c r="M103" s="65" t="s">
        <v>22</v>
      </c>
      <c r="N103" s="66"/>
      <c r="O103" s="67"/>
      <c r="P103" s="77"/>
      <c r="Q103" s="69"/>
      <c r="R103" s="69"/>
      <c r="S103" s="69"/>
      <c r="T103" s="69"/>
      <c r="U103" s="69"/>
      <c r="V103" s="69"/>
      <c r="W103" s="69"/>
      <c r="X103" s="69"/>
      <c r="Y103" s="69"/>
    </row>
    <row r="104" ht="15.75" customHeight="1">
      <c r="A104" s="39"/>
      <c r="B104" s="41"/>
      <c r="C104" s="41"/>
      <c r="D104" s="41"/>
      <c r="E104" s="41"/>
      <c r="F104" s="41"/>
      <c r="G104" s="70">
        <f t="shared" ref="G104:N104" si="1">COUNTIF(G4:G103,"x")</f>
        <v>43</v>
      </c>
      <c r="H104" s="41">
        <f t="shared" si="1"/>
        <v>44</v>
      </c>
      <c r="I104" s="41">
        <f t="shared" si="1"/>
        <v>12</v>
      </c>
      <c r="J104" s="41">
        <f t="shared" si="1"/>
        <v>18</v>
      </c>
      <c r="K104" s="41">
        <f t="shared" si="1"/>
        <v>1</v>
      </c>
      <c r="L104" s="41">
        <f t="shared" si="1"/>
        <v>27</v>
      </c>
      <c r="M104" s="41">
        <f t="shared" si="1"/>
        <v>31</v>
      </c>
      <c r="N104" s="41">
        <f t="shared" si="1"/>
        <v>16</v>
      </c>
      <c r="O104" s="42"/>
      <c r="P104" s="41"/>
    </row>
    <row r="105" ht="15.75" customHeight="1">
      <c r="A105" s="39"/>
      <c r="B105" s="41"/>
      <c r="C105" s="41"/>
      <c r="D105" s="41"/>
      <c r="E105" s="41"/>
      <c r="F105" s="41"/>
      <c r="G105" s="41"/>
      <c r="H105" s="41"/>
      <c r="I105" s="41"/>
      <c r="J105" s="41"/>
      <c r="K105" s="41"/>
      <c r="L105" s="41"/>
      <c r="M105" s="41"/>
      <c r="N105" s="41"/>
      <c r="O105" s="42"/>
      <c r="P105" s="41"/>
    </row>
    <row r="106" ht="15.75" customHeight="1">
      <c r="A106" s="39"/>
      <c r="B106" s="41"/>
      <c r="C106" s="41"/>
      <c r="D106" s="41"/>
      <c r="E106" s="41"/>
      <c r="F106" s="41"/>
      <c r="G106" s="41"/>
      <c r="H106" s="41"/>
      <c r="I106" s="41"/>
      <c r="J106" s="41"/>
      <c r="K106" s="41"/>
      <c r="L106" s="41"/>
      <c r="M106" s="41"/>
      <c r="N106" s="41"/>
      <c r="O106" s="42"/>
      <c r="P106" s="41"/>
    </row>
    <row r="107" ht="15.75" customHeight="1">
      <c r="A107" s="39"/>
      <c r="B107" s="41"/>
      <c r="C107" s="41"/>
      <c r="D107" s="41"/>
      <c r="E107" s="41"/>
      <c r="F107" s="41"/>
      <c r="G107" s="41"/>
      <c r="H107" s="41"/>
      <c r="I107" s="41"/>
      <c r="J107" s="41"/>
      <c r="K107" s="41"/>
      <c r="L107" s="41"/>
      <c r="M107" s="41"/>
      <c r="N107" s="41"/>
      <c r="O107" s="42"/>
      <c r="P107" s="41"/>
    </row>
    <row r="108" ht="15.75" customHeight="1">
      <c r="A108" s="39"/>
      <c r="B108" s="41"/>
      <c r="C108" s="41"/>
      <c r="D108" s="41"/>
      <c r="E108" s="41"/>
      <c r="F108" s="41"/>
      <c r="G108" s="41"/>
      <c r="H108" s="41"/>
      <c r="I108" s="41"/>
      <c r="J108" s="41"/>
      <c r="K108" s="41"/>
      <c r="L108" s="41"/>
      <c r="M108" s="41"/>
      <c r="N108" s="41"/>
      <c r="O108" s="42"/>
      <c r="P108" s="41"/>
    </row>
    <row r="109" ht="15.75" customHeight="1">
      <c r="A109" s="39"/>
      <c r="B109" s="41"/>
      <c r="C109" s="41"/>
      <c r="D109" s="41"/>
      <c r="E109" s="41"/>
      <c r="F109" s="41"/>
      <c r="G109" s="41"/>
      <c r="H109" s="41"/>
      <c r="I109" s="41"/>
      <c r="J109" s="41"/>
      <c r="K109" s="41"/>
      <c r="L109" s="41"/>
      <c r="M109" s="41"/>
      <c r="N109" s="41"/>
      <c r="O109" s="42"/>
      <c r="P109" s="41"/>
    </row>
    <row r="110" ht="15.75" customHeight="1">
      <c r="A110" s="39"/>
      <c r="B110" s="41"/>
      <c r="C110" s="41"/>
      <c r="D110" s="41"/>
      <c r="E110" s="41"/>
      <c r="F110" s="41"/>
      <c r="G110" s="41"/>
      <c r="H110" s="41"/>
      <c r="I110" s="41"/>
      <c r="J110" s="41"/>
      <c r="K110" s="41"/>
      <c r="L110" s="41"/>
      <c r="M110" s="41"/>
      <c r="N110" s="41"/>
      <c r="O110" s="42"/>
      <c r="P110" s="41"/>
    </row>
    <row r="111" ht="15.75" customHeight="1">
      <c r="A111" s="39"/>
      <c r="B111" s="41"/>
      <c r="C111" s="41"/>
      <c r="D111" s="41"/>
      <c r="E111" s="41"/>
      <c r="F111" s="41"/>
      <c r="G111" s="41"/>
      <c r="H111" s="41"/>
      <c r="I111" s="41"/>
      <c r="J111" s="41"/>
      <c r="K111" s="41"/>
      <c r="L111" s="41"/>
      <c r="M111" s="41"/>
      <c r="N111" s="41"/>
      <c r="O111" s="42"/>
      <c r="P111" s="41"/>
    </row>
    <row r="112" ht="15.75" customHeight="1">
      <c r="A112" s="39"/>
      <c r="B112" s="41"/>
      <c r="C112" s="41"/>
      <c r="D112" s="41"/>
      <c r="E112" s="41"/>
      <c r="F112" s="41"/>
      <c r="G112" s="41"/>
      <c r="H112" s="41"/>
      <c r="I112" s="41"/>
      <c r="J112" s="41"/>
      <c r="K112" s="41"/>
      <c r="L112" s="41"/>
      <c r="M112" s="41"/>
      <c r="N112" s="41"/>
      <c r="O112" s="42"/>
      <c r="P112" s="41"/>
    </row>
    <row r="113" ht="15.75" customHeight="1">
      <c r="A113" s="39"/>
      <c r="B113" s="41"/>
      <c r="C113" s="41"/>
      <c r="D113" s="41"/>
      <c r="E113" s="41"/>
      <c r="F113" s="41"/>
      <c r="G113" s="41"/>
      <c r="H113" s="41"/>
      <c r="I113" s="41"/>
      <c r="J113" s="41"/>
      <c r="K113" s="41"/>
      <c r="L113" s="41"/>
      <c r="M113" s="41"/>
      <c r="N113" s="41"/>
      <c r="O113" s="42"/>
      <c r="P113" s="41"/>
    </row>
    <row r="114" ht="15.75" customHeight="1">
      <c r="A114" s="39"/>
      <c r="B114" s="41"/>
      <c r="C114" s="41"/>
      <c r="D114" s="41"/>
      <c r="E114" s="41"/>
      <c r="F114" s="41"/>
      <c r="G114" s="41"/>
      <c r="H114" s="41"/>
      <c r="I114" s="41"/>
      <c r="J114" s="41"/>
      <c r="K114" s="41"/>
      <c r="L114" s="41"/>
      <c r="M114" s="41"/>
      <c r="N114" s="41"/>
      <c r="O114" s="42"/>
      <c r="P114" s="41"/>
    </row>
    <row r="115" ht="15.75" customHeight="1">
      <c r="A115" s="39"/>
      <c r="B115" s="41"/>
      <c r="C115" s="41"/>
      <c r="D115" s="41"/>
      <c r="E115" s="41"/>
      <c r="F115" s="41"/>
      <c r="G115" s="41"/>
      <c r="H115" s="41"/>
      <c r="I115" s="41"/>
      <c r="J115" s="41"/>
      <c r="K115" s="41"/>
      <c r="L115" s="41"/>
      <c r="M115" s="41"/>
      <c r="N115" s="41"/>
      <c r="O115" s="42"/>
      <c r="P115" s="41"/>
    </row>
    <row r="116" ht="15.75" customHeight="1">
      <c r="A116" s="39"/>
      <c r="B116" s="41"/>
      <c r="C116" s="41"/>
      <c r="D116" s="41"/>
      <c r="E116" s="41"/>
      <c r="F116" s="41"/>
      <c r="G116" s="41"/>
      <c r="H116" s="41"/>
      <c r="I116" s="41"/>
      <c r="J116" s="41"/>
      <c r="K116" s="41"/>
      <c r="L116" s="41"/>
      <c r="M116" s="41"/>
      <c r="N116" s="41"/>
      <c r="O116" s="42"/>
      <c r="P116" s="41"/>
    </row>
    <row r="117" ht="15.75" customHeight="1">
      <c r="A117" s="39"/>
      <c r="B117" s="41"/>
      <c r="C117" s="41"/>
      <c r="D117" s="41"/>
      <c r="E117" s="41"/>
      <c r="F117" s="41"/>
      <c r="G117" s="41"/>
      <c r="H117" s="41"/>
      <c r="I117" s="41"/>
      <c r="J117" s="41"/>
      <c r="K117" s="41"/>
      <c r="L117" s="41"/>
      <c r="M117" s="41"/>
      <c r="N117" s="41"/>
      <c r="O117" s="42"/>
      <c r="P117" s="41"/>
    </row>
    <row r="118" ht="15.75" customHeight="1">
      <c r="A118" s="39"/>
      <c r="B118" s="41"/>
      <c r="C118" s="41"/>
      <c r="D118" s="41"/>
      <c r="E118" s="41"/>
      <c r="F118" s="41"/>
      <c r="G118" s="41"/>
      <c r="H118" s="41"/>
      <c r="I118" s="41"/>
      <c r="J118" s="41"/>
      <c r="K118" s="41"/>
      <c r="L118" s="41"/>
      <c r="M118" s="41"/>
      <c r="N118" s="41"/>
      <c r="O118" s="42"/>
      <c r="P118" s="41"/>
    </row>
    <row r="119" ht="15.75" customHeight="1">
      <c r="A119" s="39"/>
      <c r="B119" s="41"/>
      <c r="C119" s="41"/>
      <c r="D119" s="41"/>
      <c r="E119" s="41"/>
      <c r="F119" s="41"/>
      <c r="G119" s="41"/>
      <c r="H119" s="41"/>
      <c r="I119" s="41"/>
      <c r="J119" s="41"/>
      <c r="K119" s="41"/>
      <c r="L119" s="41"/>
      <c r="M119" s="41"/>
      <c r="N119" s="41"/>
      <c r="O119" s="42"/>
      <c r="P119" s="41"/>
    </row>
    <row r="120" ht="15.75" customHeight="1">
      <c r="A120" s="39"/>
      <c r="B120" s="41"/>
      <c r="C120" s="41"/>
      <c r="D120" s="41"/>
      <c r="E120" s="41"/>
      <c r="F120" s="41"/>
      <c r="G120" s="41"/>
      <c r="H120" s="41"/>
      <c r="I120" s="41"/>
      <c r="J120" s="41"/>
      <c r="K120" s="41"/>
      <c r="L120" s="41"/>
      <c r="M120" s="41"/>
      <c r="N120" s="41"/>
      <c r="O120" s="42"/>
      <c r="P120" s="41"/>
    </row>
    <row r="121" ht="15.75" customHeight="1">
      <c r="A121" s="39"/>
      <c r="B121" s="41"/>
      <c r="C121" s="41"/>
      <c r="D121" s="41"/>
      <c r="E121" s="41"/>
      <c r="F121" s="41"/>
      <c r="G121" s="41"/>
      <c r="H121" s="41"/>
      <c r="I121" s="41"/>
      <c r="J121" s="41"/>
      <c r="K121" s="41"/>
      <c r="L121" s="41"/>
      <c r="M121" s="41"/>
      <c r="N121" s="41"/>
      <c r="O121" s="42"/>
      <c r="P121" s="41"/>
    </row>
    <row r="122" ht="15.75" customHeight="1">
      <c r="A122" s="39"/>
      <c r="B122" s="41"/>
      <c r="C122" s="41"/>
      <c r="D122" s="41"/>
      <c r="E122" s="41"/>
      <c r="F122" s="41"/>
      <c r="G122" s="41"/>
      <c r="H122" s="41"/>
      <c r="I122" s="41"/>
      <c r="J122" s="41"/>
      <c r="K122" s="41"/>
      <c r="L122" s="41"/>
      <c r="M122" s="41"/>
      <c r="N122" s="41"/>
      <c r="O122" s="42"/>
      <c r="P122" s="41"/>
    </row>
    <row r="123" ht="15.75" customHeight="1">
      <c r="A123" s="39"/>
      <c r="B123" s="41"/>
      <c r="C123" s="41"/>
      <c r="D123" s="41"/>
      <c r="E123" s="41"/>
      <c r="F123" s="41"/>
      <c r="G123" s="41"/>
      <c r="H123" s="41"/>
      <c r="I123" s="41"/>
      <c r="J123" s="41"/>
      <c r="K123" s="41"/>
      <c r="L123" s="41"/>
      <c r="M123" s="41"/>
      <c r="N123" s="41"/>
      <c r="O123" s="42"/>
      <c r="P123" s="41"/>
    </row>
    <row r="124" ht="15.75" customHeight="1">
      <c r="A124" s="39"/>
      <c r="B124" s="41"/>
      <c r="C124" s="41"/>
      <c r="D124" s="41"/>
      <c r="E124" s="41"/>
      <c r="F124" s="41"/>
      <c r="G124" s="41"/>
      <c r="H124" s="41"/>
      <c r="I124" s="41"/>
      <c r="J124" s="41"/>
      <c r="K124" s="41"/>
      <c r="L124" s="41"/>
      <c r="M124" s="41"/>
      <c r="N124" s="41"/>
      <c r="O124" s="42"/>
      <c r="P124" s="41"/>
    </row>
    <row r="125" ht="15.75" customHeight="1">
      <c r="A125" s="39"/>
      <c r="B125" s="41"/>
      <c r="C125" s="41"/>
      <c r="D125" s="41"/>
      <c r="E125" s="41"/>
      <c r="F125" s="41"/>
      <c r="G125" s="41"/>
      <c r="H125" s="41"/>
      <c r="I125" s="41"/>
      <c r="J125" s="41"/>
      <c r="K125" s="41"/>
      <c r="L125" s="41"/>
      <c r="M125" s="41"/>
      <c r="N125" s="41"/>
      <c r="O125" s="42"/>
      <c r="P125" s="41"/>
    </row>
    <row r="126" ht="15.75" customHeight="1">
      <c r="A126" s="39"/>
      <c r="B126" s="41"/>
      <c r="C126" s="41"/>
      <c r="D126" s="41"/>
      <c r="E126" s="41"/>
      <c r="F126" s="41"/>
      <c r="G126" s="41"/>
      <c r="H126" s="41"/>
      <c r="I126" s="41"/>
      <c r="J126" s="41"/>
      <c r="K126" s="41"/>
      <c r="L126" s="41"/>
      <c r="M126" s="41"/>
      <c r="N126" s="41"/>
      <c r="O126" s="42"/>
      <c r="P126" s="41"/>
    </row>
    <row r="127" ht="15.75" customHeight="1">
      <c r="A127" s="39"/>
      <c r="B127" s="41"/>
      <c r="C127" s="41"/>
      <c r="D127" s="41"/>
      <c r="E127" s="41"/>
      <c r="F127" s="41"/>
      <c r="G127" s="41"/>
      <c r="H127" s="41"/>
      <c r="I127" s="41"/>
      <c r="J127" s="41"/>
      <c r="K127" s="41"/>
      <c r="L127" s="41"/>
      <c r="M127" s="41"/>
      <c r="N127" s="41"/>
      <c r="O127" s="42"/>
      <c r="P127" s="41"/>
    </row>
    <row r="128" ht="15.75" customHeight="1">
      <c r="A128" s="39"/>
      <c r="B128" s="41"/>
      <c r="C128" s="41"/>
      <c r="D128" s="41"/>
      <c r="E128" s="41"/>
      <c r="F128" s="41"/>
      <c r="G128" s="41"/>
      <c r="H128" s="41"/>
      <c r="I128" s="41"/>
      <c r="J128" s="41"/>
      <c r="K128" s="41"/>
      <c r="L128" s="41"/>
      <c r="M128" s="41"/>
      <c r="N128" s="41"/>
      <c r="O128" s="42"/>
      <c r="P128" s="41"/>
    </row>
    <row r="129" ht="15.75" customHeight="1">
      <c r="A129" s="39"/>
      <c r="B129" s="41"/>
      <c r="C129" s="41"/>
      <c r="D129" s="41"/>
      <c r="E129" s="41"/>
      <c r="F129" s="41"/>
      <c r="G129" s="41"/>
      <c r="H129" s="41"/>
      <c r="I129" s="41"/>
      <c r="J129" s="41"/>
      <c r="K129" s="41"/>
      <c r="L129" s="41"/>
      <c r="M129" s="41"/>
      <c r="N129" s="41"/>
      <c r="O129" s="42"/>
      <c r="P129" s="41"/>
    </row>
    <row r="130" ht="15.75" customHeight="1">
      <c r="A130" s="39"/>
      <c r="B130" s="41"/>
      <c r="C130" s="41"/>
      <c r="D130" s="41"/>
      <c r="E130" s="41"/>
      <c r="F130" s="41"/>
      <c r="G130" s="41"/>
      <c r="H130" s="41"/>
      <c r="I130" s="41"/>
      <c r="J130" s="41"/>
      <c r="K130" s="41"/>
      <c r="L130" s="41"/>
      <c r="M130" s="41"/>
      <c r="N130" s="41"/>
      <c r="O130" s="42"/>
      <c r="P130" s="41"/>
    </row>
    <row r="131" ht="15.75" customHeight="1">
      <c r="A131" s="39"/>
      <c r="B131" s="41"/>
      <c r="C131" s="41"/>
      <c r="D131" s="41"/>
      <c r="E131" s="41"/>
      <c r="F131" s="41"/>
      <c r="G131" s="41"/>
      <c r="H131" s="41"/>
      <c r="I131" s="41"/>
      <c r="J131" s="41"/>
      <c r="K131" s="41"/>
      <c r="L131" s="41"/>
      <c r="M131" s="41"/>
      <c r="N131" s="41"/>
      <c r="O131" s="42"/>
      <c r="P131" s="41"/>
    </row>
    <row r="132" ht="15.75" customHeight="1">
      <c r="A132" s="39"/>
      <c r="B132" s="41"/>
      <c r="C132" s="41"/>
      <c r="D132" s="41"/>
      <c r="E132" s="41"/>
      <c r="F132" s="41"/>
      <c r="G132" s="41"/>
      <c r="H132" s="41"/>
      <c r="I132" s="41"/>
      <c r="J132" s="41"/>
      <c r="K132" s="41"/>
      <c r="L132" s="41"/>
      <c r="M132" s="41"/>
      <c r="N132" s="41"/>
      <c r="O132" s="42"/>
      <c r="P132" s="41"/>
    </row>
    <row r="133" ht="15.75" customHeight="1">
      <c r="A133" s="39"/>
      <c r="B133" s="41"/>
      <c r="C133" s="41"/>
      <c r="D133" s="41"/>
      <c r="E133" s="41"/>
      <c r="F133" s="41"/>
      <c r="G133" s="41"/>
      <c r="H133" s="41"/>
      <c r="I133" s="41"/>
      <c r="J133" s="41"/>
      <c r="K133" s="41"/>
      <c r="L133" s="41"/>
      <c r="M133" s="41"/>
      <c r="N133" s="41"/>
      <c r="O133" s="42"/>
      <c r="P133" s="41"/>
    </row>
    <row r="134" ht="15.75" customHeight="1">
      <c r="A134" s="39"/>
      <c r="B134" s="41"/>
      <c r="C134" s="41"/>
      <c r="D134" s="41"/>
      <c r="E134" s="41"/>
      <c r="F134" s="41"/>
      <c r="G134" s="41"/>
      <c r="H134" s="41"/>
      <c r="I134" s="41"/>
      <c r="J134" s="41"/>
      <c r="K134" s="41"/>
      <c r="L134" s="41"/>
      <c r="M134" s="41"/>
      <c r="N134" s="41"/>
      <c r="O134" s="42"/>
      <c r="P134" s="41"/>
    </row>
    <row r="135" ht="15.75" customHeight="1">
      <c r="A135" s="39"/>
      <c r="B135" s="41"/>
      <c r="C135" s="41"/>
      <c r="D135" s="41"/>
      <c r="E135" s="41"/>
      <c r="F135" s="41"/>
      <c r="G135" s="41"/>
      <c r="H135" s="41"/>
      <c r="I135" s="41"/>
      <c r="J135" s="41"/>
      <c r="K135" s="41"/>
      <c r="L135" s="41"/>
      <c r="M135" s="41"/>
      <c r="N135" s="41"/>
      <c r="O135" s="42"/>
      <c r="P135" s="41"/>
    </row>
    <row r="136" ht="15.75" customHeight="1">
      <c r="A136" s="39"/>
      <c r="B136" s="41"/>
      <c r="C136" s="41"/>
      <c r="D136" s="41"/>
      <c r="E136" s="41"/>
      <c r="F136" s="41"/>
      <c r="G136" s="41"/>
      <c r="H136" s="41"/>
      <c r="I136" s="41"/>
      <c r="J136" s="41"/>
      <c r="K136" s="41"/>
      <c r="L136" s="41"/>
      <c r="M136" s="41"/>
      <c r="N136" s="41"/>
      <c r="O136" s="42"/>
      <c r="P136" s="41"/>
    </row>
    <row r="137" ht="15.75" customHeight="1">
      <c r="A137" s="39"/>
      <c r="B137" s="41"/>
      <c r="C137" s="41"/>
      <c r="D137" s="41"/>
      <c r="E137" s="41"/>
      <c r="F137" s="41"/>
      <c r="G137" s="41"/>
      <c r="H137" s="41"/>
      <c r="I137" s="41"/>
      <c r="J137" s="41"/>
      <c r="K137" s="41"/>
      <c r="L137" s="41"/>
      <c r="M137" s="41"/>
      <c r="N137" s="41"/>
      <c r="O137" s="42"/>
      <c r="P137" s="41"/>
    </row>
    <row r="138" ht="15.75" customHeight="1">
      <c r="A138" s="39"/>
      <c r="B138" s="41"/>
      <c r="C138" s="41"/>
      <c r="D138" s="41"/>
      <c r="E138" s="41"/>
      <c r="F138" s="41"/>
      <c r="G138" s="41"/>
      <c r="H138" s="41"/>
      <c r="I138" s="41"/>
      <c r="J138" s="41"/>
      <c r="K138" s="41"/>
      <c r="L138" s="41"/>
      <c r="M138" s="41"/>
      <c r="N138" s="41"/>
      <c r="O138" s="42"/>
      <c r="P138" s="41"/>
    </row>
    <row r="139" ht="15.75" customHeight="1">
      <c r="A139" s="39"/>
      <c r="B139" s="41"/>
      <c r="C139" s="41"/>
      <c r="D139" s="41"/>
      <c r="E139" s="41"/>
      <c r="F139" s="41"/>
      <c r="G139" s="41"/>
      <c r="H139" s="41"/>
      <c r="I139" s="41"/>
      <c r="J139" s="41"/>
      <c r="K139" s="41"/>
      <c r="L139" s="41"/>
      <c r="M139" s="41"/>
      <c r="N139" s="41"/>
      <c r="O139" s="42"/>
      <c r="P139" s="41"/>
    </row>
    <row r="140" ht="15.75" customHeight="1">
      <c r="A140" s="39"/>
      <c r="B140" s="41"/>
      <c r="C140" s="41"/>
      <c r="D140" s="41"/>
      <c r="E140" s="41"/>
      <c r="F140" s="41"/>
      <c r="G140" s="41"/>
      <c r="H140" s="41"/>
      <c r="I140" s="41"/>
      <c r="J140" s="41"/>
      <c r="K140" s="41"/>
      <c r="L140" s="41"/>
      <c r="M140" s="41"/>
      <c r="N140" s="41"/>
      <c r="O140" s="42"/>
      <c r="P140" s="41"/>
    </row>
    <row r="141" ht="15.75" customHeight="1">
      <c r="A141" s="39"/>
      <c r="B141" s="41"/>
      <c r="C141" s="41"/>
      <c r="D141" s="41"/>
      <c r="E141" s="41"/>
      <c r="F141" s="41"/>
      <c r="G141" s="41"/>
      <c r="H141" s="41"/>
      <c r="I141" s="41"/>
      <c r="J141" s="41"/>
      <c r="K141" s="41"/>
      <c r="L141" s="41"/>
      <c r="M141" s="41"/>
      <c r="N141" s="41"/>
      <c r="O141" s="42"/>
      <c r="P141" s="41"/>
    </row>
    <row r="142" ht="15.75" customHeight="1">
      <c r="A142" s="39"/>
      <c r="B142" s="41"/>
      <c r="C142" s="41"/>
      <c r="D142" s="41"/>
      <c r="E142" s="41"/>
      <c r="F142" s="41"/>
      <c r="G142" s="41"/>
      <c r="H142" s="41"/>
      <c r="I142" s="41"/>
      <c r="J142" s="41"/>
      <c r="K142" s="41"/>
      <c r="L142" s="41"/>
      <c r="M142" s="41"/>
      <c r="N142" s="41"/>
      <c r="O142" s="42"/>
      <c r="P142" s="41"/>
    </row>
    <row r="143" ht="15.75" customHeight="1">
      <c r="A143" s="39"/>
      <c r="B143" s="41"/>
      <c r="C143" s="41"/>
      <c r="D143" s="41"/>
      <c r="E143" s="41"/>
      <c r="F143" s="41"/>
      <c r="G143" s="41"/>
      <c r="H143" s="41"/>
      <c r="I143" s="41"/>
      <c r="J143" s="41"/>
      <c r="K143" s="41"/>
      <c r="L143" s="41"/>
      <c r="M143" s="41"/>
      <c r="N143" s="41"/>
      <c r="O143" s="42"/>
      <c r="P143" s="41"/>
    </row>
    <row r="144" ht="15.75" customHeight="1">
      <c r="A144" s="39"/>
      <c r="B144" s="41"/>
      <c r="C144" s="41"/>
      <c r="D144" s="41"/>
      <c r="E144" s="41"/>
      <c r="F144" s="41"/>
      <c r="G144" s="41"/>
      <c r="H144" s="41"/>
      <c r="I144" s="41"/>
      <c r="J144" s="41"/>
      <c r="K144" s="41"/>
      <c r="L144" s="41"/>
      <c r="M144" s="41"/>
      <c r="N144" s="41"/>
      <c r="O144" s="42"/>
      <c r="P144" s="41"/>
    </row>
    <row r="145" ht="15.75" customHeight="1">
      <c r="A145" s="39"/>
      <c r="B145" s="41"/>
      <c r="C145" s="41"/>
      <c r="D145" s="41"/>
      <c r="E145" s="41"/>
      <c r="F145" s="41"/>
      <c r="G145" s="41"/>
      <c r="H145" s="41"/>
      <c r="I145" s="41"/>
      <c r="J145" s="41"/>
      <c r="K145" s="41"/>
      <c r="L145" s="41"/>
      <c r="M145" s="41"/>
      <c r="N145" s="41"/>
      <c r="O145" s="42"/>
      <c r="P145" s="41"/>
    </row>
    <row r="146" ht="15.75" customHeight="1">
      <c r="A146" s="39"/>
      <c r="B146" s="41"/>
      <c r="C146" s="41"/>
      <c r="D146" s="41"/>
      <c r="E146" s="41"/>
      <c r="F146" s="41"/>
      <c r="G146" s="41"/>
      <c r="H146" s="41"/>
      <c r="I146" s="41"/>
      <c r="J146" s="41"/>
      <c r="K146" s="41"/>
      <c r="L146" s="41"/>
      <c r="M146" s="41"/>
      <c r="N146" s="41"/>
      <c r="O146" s="42"/>
      <c r="P146" s="41"/>
    </row>
    <row r="147" ht="15.75" customHeight="1">
      <c r="A147" s="39"/>
      <c r="B147" s="41"/>
      <c r="C147" s="41"/>
      <c r="D147" s="41"/>
      <c r="E147" s="41"/>
      <c r="F147" s="41"/>
      <c r="G147" s="41"/>
      <c r="H147" s="41"/>
      <c r="I147" s="41"/>
      <c r="J147" s="41"/>
      <c r="K147" s="41"/>
      <c r="L147" s="41"/>
      <c r="M147" s="41"/>
      <c r="N147" s="41"/>
      <c r="O147" s="42"/>
      <c r="P147" s="41"/>
    </row>
    <row r="148" ht="15.75" customHeight="1">
      <c r="A148" s="39"/>
      <c r="B148" s="41"/>
      <c r="C148" s="41"/>
      <c r="D148" s="41"/>
      <c r="E148" s="41"/>
      <c r="F148" s="41"/>
      <c r="G148" s="41"/>
      <c r="H148" s="41"/>
      <c r="I148" s="41"/>
      <c r="J148" s="41"/>
      <c r="K148" s="41"/>
      <c r="L148" s="41"/>
      <c r="M148" s="41"/>
      <c r="N148" s="41"/>
      <c r="O148" s="42"/>
      <c r="P148" s="41"/>
    </row>
    <row r="149" ht="15.75" customHeight="1">
      <c r="A149" s="39"/>
      <c r="B149" s="41"/>
      <c r="C149" s="41"/>
      <c r="D149" s="41"/>
      <c r="E149" s="41"/>
      <c r="F149" s="41"/>
      <c r="G149" s="41"/>
      <c r="H149" s="41"/>
      <c r="I149" s="41"/>
      <c r="J149" s="41"/>
      <c r="K149" s="41"/>
      <c r="L149" s="41"/>
      <c r="M149" s="41"/>
      <c r="N149" s="41"/>
      <c r="O149" s="42"/>
      <c r="P149" s="41"/>
    </row>
    <row r="150" ht="15.75" customHeight="1">
      <c r="A150" s="39"/>
      <c r="B150" s="41"/>
      <c r="C150" s="41"/>
      <c r="D150" s="41"/>
      <c r="E150" s="41"/>
      <c r="F150" s="41"/>
      <c r="G150" s="41"/>
      <c r="H150" s="41"/>
      <c r="I150" s="41"/>
      <c r="J150" s="41"/>
      <c r="K150" s="41"/>
      <c r="L150" s="41"/>
      <c r="M150" s="41"/>
      <c r="N150" s="41"/>
      <c r="O150" s="42"/>
      <c r="P150" s="41"/>
    </row>
    <row r="151" ht="15.75" customHeight="1">
      <c r="A151" s="39"/>
      <c r="B151" s="41"/>
      <c r="C151" s="41"/>
      <c r="D151" s="41"/>
      <c r="E151" s="41"/>
      <c r="F151" s="41"/>
      <c r="G151" s="41"/>
      <c r="H151" s="41"/>
      <c r="I151" s="41"/>
      <c r="J151" s="41"/>
      <c r="K151" s="41"/>
      <c r="L151" s="41"/>
      <c r="M151" s="41"/>
      <c r="N151" s="41"/>
      <c r="O151" s="42"/>
      <c r="P151" s="41"/>
    </row>
    <row r="152" ht="15.75" customHeight="1">
      <c r="A152" s="39"/>
      <c r="B152" s="41"/>
      <c r="C152" s="41"/>
      <c r="D152" s="41"/>
      <c r="E152" s="41"/>
      <c r="F152" s="41"/>
      <c r="G152" s="41"/>
      <c r="H152" s="41"/>
      <c r="I152" s="41"/>
      <c r="J152" s="41"/>
      <c r="K152" s="41"/>
      <c r="L152" s="41"/>
      <c r="M152" s="41"/>
      <c r="N152" s="41"/>
      <c r="O152" s="42"/>
      <c r="P152" s="41"/>
    </row>
    <row r="153" ht="15.75" customHeight="1">
      <c r="A153" s="39"/>
      <c r="B153" s="41"/>
      <c r="C153" s="41"/>
      <c r="D153" s="41"/>
      <c r="E153" s="41"/>
      <c r="F153" s="41"/>
      <c r="G153" s="41"/>
      <c r="H153" s="41"/>
      <c r="I153" s="41"/>
      <c r="J153" s="41"/>
      <c r="K153" s="41"/>
      <c r="L153" s="41"/>
      <c r="M153" s="41"/>
      <c r="N153" s="41"/>
      <c r="O153" s="42"/>
      <c r="P153" s="41"/>
    </row>
    <row r="154" ht="15.75" customHeight="1">
      <c r="A154" s="39"/>
      <c r="B154" s="41"/>
      <c r="C154" s="41"/>
      <c r="D154" s="41"/>
      <c r="E154" s="41"/>
      <c r="F154" s="41"/>
      <c r="G154" s="41"/>
      <c r="H154" s="41"/>
      <c r="I154" s="41"/>
      <c r="J154" s="41"/>
      <c r="K154" s="41"/>
      <c r="L154" s="41"/>
      <c r="M154" s="41"/>
      <c r="N154" s="41"/>
      <c r="O154" s="42"/>
      <c r="P154" s="41"/>
    </row>
    <row r="155" ht="15.75" customHeight="1">
      <c r="A155" s="39"/>
      <c r="B155" s="41"/>
      <c r="C155" s="41"/>
      <c r="D155" s="41"/>
      <c r="E155" s="41"/>
      <c r="F155" s="41"/>
      <c r="G155" s="41"/>
      <c r="H155" s="41"/>
      <c r="I155" s="41"/>
      <c r="J155" s="41"/>
      <c r="K155" s="41"/>
      <c r="L155" s="41"/>
      <c r="M155" s="41"/>
      <c r="N155" s="41"/>
      <c r="O155" s="42"/>
      <c r="P155" s="41"/>
    </row>
    <row r="156" ht="15.75" customHeight="1">
      <c r="A156" s="39"/>
      <c r="B156" s="41"/>
      <c r="C156" s="41"/>
      <c r="D156" s="41"/>
      <c r="E156" s="41"/>
      <c r="F156" s="41"/>
      <c r="G156" s="41"/>
      <c r="H156" s="41"/>
      <c r="I156" s="41"/>
      <c r="J156" s="41"/>
      <c r="K156" s="41"/>
      <c r="L156" s="41"/>
      <c r="M156" s="41"/>
      <c r="N156" s="41"/>
      <c r="O156" s="42"/>
      <c r="P156" s="41"/>
    </row>
    <row r="157" ht="15.75" customHeight="1">
      <c r="A157" s="39"/>
      <c r="B157" s="41"/>
      <c r="C157" s="41"/>
      <c r="D157" s="41"/>
      <c r="E157" s="41"/>
      <c r="F157" s="41"/>
      <c r="G157" s="41"/>
      <c r="H157" s="41"/>
      <c r="I157" s="41"/>
      <c r="J157" s="41"/>
      <c r="K157" s="41"/>
      <c r="L157" s="41"/>
      <c r="M157" s="41"/>
      <c r="N157" s="41"/>
      <c r="O157" s="42"/>
      <c r="P157" s="41"/>
    </row>
    <row r="158" ht="15.75" customHeight="1">
      <c r="A158" s="39"/>
      <c r="B158" s="41"/>
      <c r="C158" s="41"/>
      <c r="D158" s="41"/>
      <c r="E158" s="41"/>
      <c r="F158" s="41"/>
      <c r="G158" s="41"/>
      <c r="H158" s="41"/>
      <c r="I158" s="41"/>
      <c r="J158" s="41"/>
      <c r="K158" s="41"/>
      <c r="L158" s="41"/>
      <c r="M158" s="41"/>
      <c r="N158" s="41"/>
      <c r="O158" s="42"/>
      <c r="P158" s="41"/>
    </row>
    <row r="159" ht="15.75" customHeight="1">
      <c r="A159" s="39"/>
      <c r="B159" s="41"/>
      <c r="C159" s="41"/>
      <c r="D159" s="41"/>
      <c r="E159" s="41"/>
      <c r="F159" s="41"/>
      <c r="G159" s="41"/>
      <c r="H159" s="41"/>
      <c r="I159" s="41"/>
      <c r="J159" s="41"/>
      <c r="K159" s="41"/>
      <c r="L159" s="41"/>
      <c r="M159" s="41"/>
      <c r="N159" s="41"/>
      <c r="O159" s="42"/>
      <c r="P159" s="41"/>
    </row>
    <row r="160" ht="15.75" customHeight="1">
      <c r="A160" s="39"/>
      <c r="B160" s="41"/>
      <c r="C160" s="41"/>
      <c r="D160" s="41"/>
      <c r="E160" s="41"/>
      <c r="F160" s="41"/>
      <c r="G160" s="41"/>
      <c r="H160" s="41"/>
      <c r="I160" s="41"/>
      <c r="J160" s="41"/>
      <c r="K160" s="41"/>
      <c r="L160" s="41"/>
      <c r="M160" s="41"/>
      <c r="N160" s="41"/>
      <c r="O160" s="42"/>
      <c r="P160" s="41"/>
    </row>
    <row r="161" ht="15.75" customHeight="1">
      <c r="A161" s="39"/>
      <c r="B161" s="41"/>
      <c r="C161" s="41"/>
      <c r="D161" s="41"/>
      <c r="E161" s="41"/>
      <c r="F161" s="41"/>
      <c r="G161" s="41"/>
      <c r="H161" s="41"/>
      <c r="I161" s="41"/>
      <c r="J161" s="41"/>
      <c r="K161" s="41"/>
      <c r="L161" s="41"/>
      <c r="M161" s="41"/>
      <c r="N161" s="41"/>
      <c r="O161" s="42"/>
      <c r="P161" s="41"/>
    </row>
    <row r="162" ht="15.75" customHeight="1">
      <c r="A162" s="39"/>
      <c r="B162" s="41"/>
      <c r="C162" s="41"/>
      <c r="D162" s="41"/>
      <c r="E162" s="41"/>
      <c r="F162" s="41"/>
      <c r="G162" s="41"/>
      <c r="H162" s="41"/>
      <c r="I162" s="41"/>
      <c r="J162" s="41"/>
      <c r="K162" s="41"/>
      <c r="L162" s="41"/>
      <c r="M162" s="41"/>
      <c r="N162" s="41"/>
      <c r="O162" s="42"/>
      <c r="P162" s="41"/>
    </row>
    <row r="163" ht="15.75" customHeight="1">
      <c r="A163" s="39"/>
      <c r="B163" s="41"/>
      <c r="C163" s="41"/>
      <c r="D163" s="41"/>
      <c r="E163" s="41"/>
      <c r="F163" s="41"/>
      <c r="G163" s="41"/>
      <c r="H163" s="41"/>
      <c r="I163" s="41"/>
      <c r="J163" s="41"/>
      <c r="K163" s="41"/>
      <c r="L163" s="41"/>
      <c r="M163" s="41"/>
      <c r="N163" s="41"/>
      <c r="O163" s="42"/>
      <c r="P163" s="41"/>
    </row>
    <row r="164" ht="15.75" customHeight="1">
      <c r="A164" s="39"/>
      <c r="B164" s="41"/>
      <c r="C164" s="41"/>
      <c r="D164" s="41"/>
      <c r="E164" s="41"/>
      <c r="F164" s="41"/>
      <c r="G164" s="41"/>
      <c r="H164" s="41"/>
      <c r="I164" s="41"/>
      <c r="J164" s="41"/>
      <c r="K164" s="41"/>
      <c r="L164" s="41"/>
      <c r="M164" s="41"/>
      <c r="N164" s="41"/>
      <c r="O164" s="42"/>
      <c r="P164" s="41"/>
    </row>
    <row r="165" ht="15.75" customHeight="1">
      <c r="A165" s="39"/>
      <c r="B165" s="41"/>
      <c r="C165" s="41"/>
      <c r="D165" s="41"/>
      <c r="E165" s="41"/>
      <c r="F165" s="41"/>
      <c r="G165" s="41"/>
      <c r="H165" s="41"/>
      <c r="I165" s="41"/>
      <c r="J165" s="41"/>
      <c r="K165" s="41"/>
      <c r="L165" s="41"/>
      <c r="M165" s="41"/>
      <c r="N165" s="41"/>
      <c r="O165" s="42"/>
      <c r="P165" s="41"/>
    </row>
    <row r="166" ht="15.75" customHeight="1">
      <c r="A166" s="39"/>
      <c r="B166" s="41"/>
      <c r="C166" s="41"/>
      <c r="D166" s="41"/>
      <c r="E166" s="41"/>
      <c r="F166" s="41"/>
      <c r="G166" s="41"/>
      <c r="H166" s="41"/>
      <c r="I166" s="41"/>
      <c r="J166" s="41"/>
      <c r="K166" s="41"/>
      <c r="L166" s="41"/>
      <c r="M166" s="41"/>
      <c r="N166" s="41"/>
      <c r="O166" s="42"/>
      <c r="P166" s="41"/>
    </row>
    <row r="167" ht="15.75" customHeight="1">
      <c r="A167" s="39"/>
      <c r="B167" s="41"/>
      <c r="C167" s="41"/>
      <c r="D167" s="41"/>
      <c r="E167" s="41"/>
      <c r="F167" s="41"/>
      <c r="G167" s="41"/>
      <c r="H167" s="41"/>
      <c r="I167" s="41"/>
      <c r="J167" s="41"/>
      <c r="K167" s="41"/>
      <c r="L167" s="41"/>
      <c r="M167" s="41"/>
      <c r="N167" s="41"/>
      <c r="O167" s="42"/>
      <c r="P167" s="41"/>
    </row>
    <row r="168" ht="15.75" customHeight="1">
      <c r="A168" s="39"/>
      <c r="B168" s="41"/>
      <c r="C168" s="41"/>
      <c r="D168" s="41"/>
      <c r="E168" s="41"/>
      <c r="F168" s="41"/>
      <c r="G168" s="41"/>
      <c r="H168" s="41"/>
      <c r="I168" s="41"/>
      <c r="J168" s="41"/>
      <c r="K168" s="41"/>
      <c r="L168" s="41"/>
      <c r="M168" s="41"/>
      <c r="N168" s="41"/>
      <c r="O168" s="42"/>
      <c r="P168" s="41"/>
    </row>
    <row r="169" ht="15.75" customHeight="1">
      <c r="A169" s="39"/>
      <c r="B169" s="41"/>
      <c r="C169" s="41"/>
      <c r="D169" s="41"/>
      <c r="E169" s="41"/>
      <c r="F169" s="41"/>
      <c r="G169" s="41"/>
      <c r="H169" s="41"/>
      <c r="I169" s="41"/>
      <c r="J169" s="41"/>
      <c r="K169" s="41"/>
      <c r="L169" s="41"/>
      <c r="M169" s="41"/>
      <c r="N169" s="41"/>
      <c r="O169" s="42"/>
      <c r="P169" s="41"/>
    </row>
    <row r="170" ht="15.75" customHeight="1">
      <c r="A170" s="39"/>
      <c r="B170" s="41"/>
      <c r="C170" s="41"/>
      <c r="D170" s="41"/>
      <c r="E170" s="41"/>
      <c r="F170" s="41"/>
      <c r="G170" s="41"/>
      <c r="H170" s="41"/>
      <c r="I170" s="41"/>
      <c r="J170" s="41"/>
      <c r="K170" s="41"/>
      <c r="L170" s="41"/>
      <c r="M170" s="41"/>
      <c r="N170" s="41"/>
      <c r="O170" s="42"/>
      <c r="P170" s="41"/>
    </row>
    <row r="171" ht="15.75" customHeight="1">
      <c r="A171" s="39"/>
      <c r="B171" s="41"/>
      <c r="C171" s="41"/>
      <c r="D171" s="41"/>
      <c r="E171" s="41"/>
      <c r="F171" s="41"/>
      <c r="G171" s="41"/>
      <c r="H171" s="41"/>
      <c r="I171" s="41"/>
      <c r="J171" s="41"/>
      <c r="K171" s="41"/>
      <c r="L171" s="41"/>
      <c r="M171" s="41"/>
      <c r="N171" s="41"/>
      <c r="O171" s="42"/>
      <c r="P171" s="41"/>
    </row>
    <row r="172" ht="15.75" customHeight="1">
      <c r="A172" s="39"/>
      <c r="B172" s="41"/>
      <c r="C172" s="41"/>
      <c r="D172" s="41"/>
      <c r="E172" s="41"/>
      <c r="F172" s="41"/>
      <c r="G172" s="41"/>
      <c r="H172" s="41"/>
      <c r="I172" s="41"/>
      <c r="J172" s="41"/>
      <c r="K172" s="41"/>
      <c r="L172" s="41"/>
      <c r="M172" s="41"/>
      <c r="N172" s="41"/>
      <c r="O172" s="42"/>
      <c r="P172" s="41"/>
    </row>
    <row r="173" ht="15.75" customHeight="1">
      <c r="A173" s="39"/>
      <c r="B173" s="41"/>
      <c r="C173" s="41"/>
      <c r="D173" s="41"/>
      <c r="E173" s="41"/>
      <c r="F173" s="41"/>
      <c r="G173" s="41"/>
      <c r="H173" s="41"/>
      <c r="I173" s="41"/>
      <c r="J173" s="41"/>
      <c r="K173" s="41"/>
      <c r="L173" s="41"/>
      <c r="M173" s="41"/>
      <c r="N173" s="41"/>
      <c r="O173" s="42"/>
      <c r="P173" s="41"/>
    </row>
    <row r="174" ht="15.75" customHeight="1">
      <c r="A174" s="39"/>
      <c r="B174" s="41"/>
      <c r="C174" s="41"/>
      <c r="D174" s="41"/>
      <c r="E174" s="41"/>
      <c r="F174" s="41"/>
      <c r="G174" s="41"/>
      <c r="H174" s="41"/>
      <c r="I174" s="41"/>
      <c r="J174" s="41"/>
      <c r="K174" s="41"/>
      <c r="L174" s="41"/>
      <c r="M174" s="41"/>
      <c r="N174" s="41"/>
      <c r="O174" s="42"/>
      <c r="P174" s="41"/>
    </row>
    <row r="175" ht="15.75" customHeight="1">
      <c r="A175" s="39"/>
      <c r="B175" s="41"/>
      <c r="C175" s="41"/>
      <c r="D175" s="41"/>
      <c r="E175" s="41"/>
      <c r="F175" s="41"/>
      <c r="G175" s="41"/>
      <c r="H175" s="41"/>
      <c r="I175" s="41"/>
      <c r="J175" s="41"/>
      <c r="K175" s="41"/>
      <c r="L175" s="41"/>
      <c r="M175" s="41"/>
      <c r="N175" s="41"/>
      <c r="O175" s="42"/>
      <c r="P175" s="41"/>
    </row>
    <row r="176" ht="15.75" customHeight="1">
      <c r="A176" s="39"/>
      <c r="B176" s="41"/>
      <c r="C176" s="41"/>
      <c r="D176" s="41"/>
      <c r="E176" s="41"/>
      <c r="F176" s="41"/>
      <c r="G176" s="41"/>
      <c r="H176" s="41"/>
      <c r="I176" s="41"/>
      <c r="J176" s="41"/>
      <c r="K176" s="41"/>
      <c r="L176" s="41"/>
      <c r="M176" s="41"/>
      <c r="N176" s="41"/>
      <c r="O176" s="42"/>
      <c r="P176" s="41"/>
    </row>
    <row r="177" ht="15.75" customHeight="1">
      <c r="A177" s="39"/>
      <c r="B177" s="41"/>
      <c r="C177" s="41"/>
      <c r="D177" s="41"/>
      <c r="E177" s="41"/>
      <c r="F177" s="41"/>
      <c r="G177" s="41"/>
      <c r="H177" s="41"/>
      <c r="I177" s="41"/>
      <c r="J177" s="41"/>
      <c r="K177" s="41"/>
      <c r="L177" s="41"/>
      <c r="M177" s="41"/>
      <c r="N177" s="41"/>
      <c r="O177" s="42"/>
      <c r="P177" s="41"/>
    </row>
    <row r="178" ht="15.75" customHeight="1">
      <c r="A178" s="39"/>
      <c r="B178" s="41"/>
      <c r="C178" s="41"/>
      <c r="D178" s="41"/>
      <c r="E178" s="41"/>
      <c r="F178" s="41"/>
      <c r="G178" s="41"/>
      <c r="H178" s="41"/>
      <c r="I178" s="41"/>
      <c r="J178" s="41"/>
      <c r="K178" s="41"/>
      <c r="L178" s="41"/>
      <c r="M178" s="41"/>
      <c r="N178" s="41"/>
      <c r="O178" s="42"/>
      <c r="P178" s="41"/>
    </row>
    <row r="179" ht="15.75" customHeight="1">
      <c r="A179" s="39"/>
      <c r="B179" s="41"/>
      <c r="C179" s="41"/>
      <c r="D179" s="41"/>
      <c r="E179" s="41"/>
      <c r="F179" s="41"/>
      <c r="G179" s="41"/>
      <c r="H179" s="41"/>
      <c r="I179" s="41"/>
      <c r="J179" s="41"/>
      <c r="K179" s="41"/>
      <c r="L179" s="41"/>
      <c r="M179" s="41"/>
      <c r="N179" s="41"/>
      <c r="O179" s="42"/>
      <c r="P179" s="41"/>
    </row>
    <row r="180" ht="15.75" customHeight="1">
      <c r="A180" s="39"/>
      <c r="B180" s="41"/>
      <c r="C180" s="41"/>
      <c r="D180" s="41"/>
      <c r="E180" s="41"/>
      <c r="F180" s="41"/>
      <c r="G180" s="41"/>
      <c r="H180" s="41"/>
      <c r="I180" s="41"/>
      <c r="J180" s="41"/>
      <c r="K180" s="41"/>
      <c r="L180" s="41"/>
      <c r="M180" s="41"/>
      <c r="N180" s="41"/>
      <c r="O180" s="42"/>
      <c r="P180" s="41"/>
    </row>
    <row r="181" ht="15.75" customHeight="1">
      <c r="A181" s="39"/>
      <c r="B181" s="41"/>
      <c r="C181" s="41"/>
      <c r="D181" s="41"/>
      <c r="E181" s="41"/>
      <c r="F181" s="41"/>
      <c r="G181" s="41"/>
      <c r="H181" s="41"/>
      <c r="I181" s="41"/>
      <c r="J181" s="41"/>
      <c r="K181" s="41"/>
      <c r="L181" s="41"/>
      <c r="M181" s="41"/>
      <c r="N181" s="41"/>
      <c r="O181" s="42"/>
      <c r="P181" s="41"/>
    </row>
    <row r="182" ht="15.75" customHeight="1">
      <c r="A182" s="39"/>
      <c r="B182" s="41"/>
      <c r="C182" s="41"/>
      <c r="D182" s="41"/>
      <c r="E182" s="41"/>
      <c r="F182" s="41"/>
      <c r="G182" s="41"/>
      <c r="H182" s="41"/>
      <c r="I182" s="41"/>
      <c r="J182" s="41"/>
      <c r="K182" s="41"/>
      <c r="L182" s="41"/>
      <c r="M182" s="41"/>
      <c r="N182" s="41"/>
      <c r="O182" s="42"/>
      <c r="P182" s="41"/>
    </row>
    <row r="183" ht="15.75" customHeight="1">
      <c r="A183" s="39"/>
      <c r="B183" s="41"/>
      <c r="C183" s="41"/>
      <c r="D183" s="41"/>
      <c r="E183" s="41"/>
      <c r="F183" s="41"/>
      <c r="G183" s="41"/>
      <c r="H183" s="41"/>
      <c r="I183" s="41"/>
      <c r="J183" s="41"/>
      <c r="K183" s="41"/>
      <c r="L183" s="41"/>
      <c r="M183" s="41"/>
      <c r="N183" s="41"/>
      <c r="O183" s="42"/>
      <c r="P183" s="41"/>
    </row>
    <row r="184" ht="15.75" customHeight="1">
      <c r="A184" s="39"/>
      <c r="B184" s="41"/>
      <c r="C184" s="41"/>
      <c r="D184" s="41"/>
      <c r="E184" s="41"/>
      <c r="F184" s="41"/>
      <c r="G184" s="41"/>
      <c r="H184" s="41"/>
      <c r="I184" s="41"/>
      <c r="J184" s="41"/>
      <c r="K184" s="41"/>
      <c r="L184" s="41"/>
      <c r="M184" s="41"/>
      <c r="N184" s="41"/>
      <c r="O184" s="42"/>
      <c r="P184" s="41"/>
    </row>
    <row r="185" ht="15.75" customHeight="1">
      <c r="A185" s="39"/>
      <c r="B185" s="41"/>
      <c r="C185" s="41"/>
      <c r="D185" s="41"/>
      <c r="E185" s="41"/>
      <c r="F185" s="41"/>
      <c r="G185" s="41"/>
      <c r="H185" s="41"/>
      <c r="I185" s="41"/>
      <c r="J185" s="41"/>
      <c r="K185" s="41"/>
      <c r="L185" s="41"/>
      <c r="M185" s="41"/>
      <c r="N185" s="41"/>
      <c r="O185" s="42"/>
      <c r="P185" s="41"/>
    </row>
    <row r="186" ht="15.75" customHeight="1">
      <c r="A186" s="39"/>
      <c r="B186" s="41"/>
      <c r="C186" s="41"/>
      <c r="D186" s="41"/>
      <c r="E186" s="41"/>
      <c r="F186" s="41"/>
      <c r="G186" s="41"/>
      <c r="H186" s="41"/>
      <c r="I186" s="41"/>
      <c r="J186" s="41"/>
      <c r="K186" s="41"/>
      <c r="L186" s="41"/>
      <c r="M186" s="41"/>
      <c r="N186" s="41"/>
      <c r="O186" s="42"/>
      <c r="P186" s="41"/>
    </row>
    <row r="187" ht="15.75" customHeight="1">
      <c r="A187" s="39"/>
      <c r="B187" s="41"/>
      <c r="C187" s="41"/>
      <c r="D187" s="41"/>
      <c r="E187" s="41"/>
      <c r="F187" s="41"/>
      <c r="G187" s="41"/>
      <c r="H187" s="41"/>
      <c r="I187" s="41"/>
      <c r="J187" s="41"/>
      <c r="K187" s="41"/>
      <c r="L187" s="41"/>
      <c r="M187" s="41"/>
      <c r="N187" s="41"/>
      <c r="O187" s="42"/>
      <c r="P187" s="41"/>
    </row>
    <row r="188" ht="15.75" customHeight="1">
      <c r="A188" s="39"/>
      <c r="B188" s="41"/>
      <c r="C188" s="41"/>
      <c r="D188" s="41"/>
      <c r="E188" s="41"/>
      <c r="F188" s="41"/>
      <c r="G188" s="41"/>
      <c r="H188" s="41"/>
      <c r="I188" s="41"/>
      <c r="J188" s="41"/>
      <c r="K188" s="41"/>
      <c r="L188" s="41"/>
      <c r="M188" s="41"/>
      <c r="N188" s="41"/>
      <c r="O188" s="42"/>
      <c r="P188" s="41"/>
    </row>
    <row r="189" ht="15.75" customHeight="1">
      <c r="A189" s="39"/>
      <c r="B189" s="41"/>
      <c r="C189" s="41"/>
      <c r="D189" s="41"/>
      <c r="E189" s="41"/>
      <c r="F189" s="41"/>
      <c r="G189" s="41"/>
      <c r="H189" s="41"/>
      <c r="I189" s="41"/>
      <c r="J189" s="41"/>
      <c r="K189" s="41"/>
      <c r="L189" s="41"/>
      <c r="M189" s="41"/>
      <c r="N189" s="41"/>
      <c r="O189" s="42"/>
      <c r="P189" s="41"/>
    </row>
    <row r="190" ht="15.75" customHeight="1">
      <c r="A190" s="39"/>
      <c r="B190" s="41"/>
      <c r="C190" s="41"/>
      <c r="D190" s="41"/>
      <c r="E190" s="41"/>
      <c r="F190" s="41"/>
      <c r="G190" s="41"/>
      <c r="H190" s="41"/>
      <c r="I190" s="41"/>
      <c r="J190" s="41"/>
      <c r="K190" s="41"/>
      <c r="L190" s="41"/>
      <c r="M190" s="41"/>
      <c r="N190" s="41"/>
      <c r="O190" s="42"/>
      <c r="P190" s="41"/>
    </row>
    <row r="191" ht="15.75" customHeight="1">
      <c r="A191" s="39"/>
      <c r="B191" s="41"/>
      <c r="C191" s="41"/>
      <c r="D191" s="41"/>
      <c r="E191" s="41"/>
      <c r="F191" s="41"/>
      <c r="G191" s="41"/>
      <c r="H191" s="41"/>
      <c r="I191" s="41"/>
      <c r="J191" s="41"/>
      <c r="K191" s="41"/>
      <c r="L191" s="41"/>
      <c r="M191" s="41"/>
      <c r="N191" s="41"/>
      <c r="O191" s="42"/>
      <c r="P191" s="41"/>
    </row>
    <row r="192" ht="15.75" customHeight="1">
      <c r="A192" s="39"/>
      <c r="B192" s="41"/>
      <c r="C192" s="41"/>
      <c r="D192" s="41"/>
      <c r="E192" s="41"/>
      <c r="F192" s="41"/>
      <c r="G192" s="41"/>
      <c r="H192" s="41"/>
      <c r="I192" s="41"/>
      <c r="J192" s="41"/>
      <c r="K192" s="41"/>
      <c r="L192" s="41"/>
      <c r="M192" s="41"/>
      <c r="N192" s="41"/>
      <c r="O192" s="42"/>
      <c r="P192" s="41"/>
    </row>
    <row r="193" ht="15.75" customHeight="1">
      <c r="A193" s="39"/>
      <c r="B193" s="41"/>
      <c r="C193" s="41"/>
      <c r="D193" s="41"/>
      <c r="E193" s="41"/>
      <c r="F193" s="41"/>
      <c r="G193" s="41"/>
      <c r="H193" s="41"/>
      <c r="I193" s="41"/>
      <c r="J193" s="41"/>
      <c r="K193" s="41"/>
      <c r="L193" s="41"/>
      <c r="M193" s="41"/>
      <c r="N193" s="41"/>
      <c r="O193" s="42"/>
      <c r="P193" s="41"/>
    </row>
    <row r="194" ht="15.75" customHeight="1">
      <c r="A194" s="39"/>
      <c r="B194" s="41"/>
      <c r="C194" s="41"/>
      <c r="D194" s="41"/>
      <c r="E194" s="41"/>
      <c r="F194" s="41"/>
      <c r="G194" s="41"/>
      <c r="H194" s="41"/>
      <c r="I194" s="41"/>
      <c r="J194" s="41"/>
      <c r="K194" s="41"/>
      <c r="L194" s="41"/>
      <c r="M194" s="41"/>
      <c r="N194" s="41"/>
      <c r="O194" s="42"/>
      <c r="P194" s="41"/>
    </row>
    <row r="195" ht="15.75" customHeight="1">
      <c r="A195" s="39"/>
      <c r="B195" s="41"/>
      <c r="C195" s="41"/>
      <c r="D195" s="41"/>
      <c r="E195" s="41"/>
      <c r="F195" s="41"/>
      <c r="G195" s="41"/>
      <c r="H195" s="41"/>
      <c r="I195" s="41"/>
      <c r="J195" s="41"/>
      <c r="K195" s="41"/>
      <c r="L195" s="41"/>
      <c r="M195" s="41"/>
      <c r="N195" s="41"/>
      <c r="O195" s="42"/>
      <c r="P195" s="41"/>
    </row>
    <row r="196" ht="15.75" customHeight="1">
      <c r="A196" s="39"/>
      <c r="B196" s="41"/>
      <c r="C196" s="41"/>
      <c r="D196" s="41"/>
      <c r="E196" s="41"/>
      <c r="F196" s="41"/>
      <c r="G196" s="41"/>
      <c r="H196" s="41"/>
      <c r="I196" s="41"/>
      <c r="J196" s="41"/>
      <c r="K196" s="41"/>
      <c r="L196" s="41"/>
      <c r="M196" s="41"/>
      <c r="N196" s="41"/>
      <c r="O196" s="42"/>
      <c r="P196" s="41"/>
    </row>
    <row r="197" ht="15.75" customHeight="1">
      <c r="A197" s="39"/>
      <c r="B197" s="41"/>
      <c r="C197" s="41"/>
      <c r="D197" s="41"/>
      <c r="E197" s="41"/>
      <c r="F197" s="41"/>
      <c r="G197" s="41"/>
      <c r="H197" s="41"/>
      <c r="I197" s="41"/>
      <c r="J197" s="41"/>
      <c r="K197" s="41"/>
      <c r="L197" s="41"/>
      <c r="M197" s="41"/>
      <c r="N197" s="41"/>
      <c r="O197" s="42"/>
      <c r="P197" s="41"/>
    </row>
    <row r="198" ht="15.75" customHeight="1">
      <c r="A198" s="39"/>
      <c r="B198" s="41"/>
      <c r="C198" s="41"/>
      <c r="D198" s="41"/>
      <c r="E198" s="41"/>
      <c r="F198" s="41"/>
      <c r="G198" s="41"/>
      <c r="H198" s="41"/>
      <c r="I198" s="41"/>
      <c r="J198" s="41"/>
      <c r="K198" s="41"/>
      <c r="L198" s="41"/>
      <c r="M198" s="41"/>
      <c r="N198" s="41"/>
      <c r="O198" s="42"/>
      <c r="P198" s="41"/>
    </row>
    <row r="199" ht="15.75" customHeight="1">
      <c r="A199" s="39"/>
      <c r="B199" s="41"/>
      <c r="C199" s="41"/>
      <c r="D199" s="41"/>
      <c r="E199" s="41"/>
      <c r="F199" s="41"/>
      <c r="G199" s="41"/>
      <c r="H199" s="41"/>
      <c r="I199" s="41"/>
      <c r="J199" s="41"/>
      <c r="K199" s="41"/>
      <c r="L199" s="41"/>
      <c r="M199" s="41"/>
      <c r="N199" s="41"/>
      <c r="O199" s="42"/>
      <c r="P199" s="41"/>
    </row>
    <row r="200" ht="15.75" customHeight="1">
      <c r="A200" s="39"/>
      <c r="B200" s="41"/>
      <c r="C200" s="41"/>
      <c r="D200" s="41"/>
      <c r="E200" s="41"/>
      <c r="F200" s="41"/>
      <c r="G200" s="41"/>
      <c r="H200" s="41"/>
      <c r="I200" s="41"/>
      <c r="J200" s="41"/>
      <c r="K200" s="41"/>
      <c r="L200" s="41"/>
      <c r="M200" s="41"/>
      <c r="N200" s="41"/>
      <c r="O200" s="42"/>
      <c r="P200" s="41"/>
    </row>
    <row r="201" ht="15.75" customHeight="1">
      <c r="A201" s="39"/>
      <c r="B201" s="41"/>
      <c r="C201" s="41"/>
      <c r="D201" s="41"/>
      <c r="E201" s="41"/>
      <c r="F201" s="41"/>
      <c r="G201" s="41"/>
      <c r="H201" s="41"/>
      <c r="I201" s="41"/>
      <c r="J201" s="41"/>
      <c r="K201" s="41"/>
      <c r="L201" s="41"/>
      <c r="M201" s="41"/>
      <c r="N201" s="41"/>
      <c r="O201" s="42"/>
      <c r="P201" s="41"/>
    </row>
    <row r="202" ht="15.75" customHeight="1">
      <c r="A202" s="39"/>
      <c r="B202" s="41"/>
      <c r="C202" s="41"/>
      <c r="D202" s="41"/>
      <c r="E202" s="41"/>
      <c r="F202" s="41"/>
      <c r="G202" s="41"/>
      <c r="H202" s="41"/>
      <c r="I202" s="41"/>
      <c r="J202" s="41"/>
      <c r="K202" s="41"/>
      <c r="L202" s="41"/>
      <c r="M202" s="41"/>
      <c r="N202" s="41"/>
      <c r="O202" s="42"/>
      <c r="P202" s="41"/>
    </row>
    <row r="203" ht="15.75" customHeight="1">
      <c r="A203" s="39"/>
      <c r="B203" s="41"/>
      <c r="C203" s="41"/>
      <c r="D203" s="41"/>
      <c r="E203" s="41"/>
      <c r="F203" s="41"/>
      <c r="G203" s="41"/>
      <c r="H203" s="41"/>
      <c r="I203" s="41"/>
      <c r="J203" s="41"/>
      <c r="K203" s="41"/>
      <c r="L203" s="41"/>
      <c r="M203" s="41"/>
      <c r="N203" s="41"/>
      <c r="O203" s="42"/>
      <c r="P203" s="41"/>
    </row>
    <row r="204" ht="15.75" customHeight="1">
      <c r="A204" s="39"/>
      <c r="B204" s="41"/>
      <c r="C204" s="41"/>
      <c r="D204" s="41"/>
      <c r="E204" s="41"/>
      <c r="F204" s="41"/>
      <c r="G204" s="41"/>
      <c r="H204" s="41"/>
      <c r="I204" s="41"/>
      <c r="J204" s="41"/>
      <c r="K204" s="41"/>
      <c r="L204" s="41"/>
      <c r="M204" s="41"/>
      <c r="N204" s="41"/>
      <c r="O204" s="42"/>
      <c r="P204" s="41"/>
    </row>
    <row r="205" ht="15.75" customHeight="1">
      <c r="A205" s="39"/>
      <c r="B205" s="41"/>
      <c r="C205" s="41"/>
      <c r="D205" s="41"/>
      <c r="E205" s="41"/>
      <c r="F205" s="41"/>
      <c r="G205" s="41"/>
      <c r="H205" s="41"/>
      <c r="I205" s="41"/>
      <c r="J205" s="41"/>
      <c r="K205" s="41"/>
      <c r="L205" s="41"/>
      <c r="M205" s="41"/>
      <c r="N205" s="41"/>
      <c r="O205" s="42"/>
      <c r="P205" s="41"/>
    </row>
    <row r="206" ht="15.75" customHeight="1">
      <c r="A206" s="39"/>
      <c r="B206" s="41"/>
      <c r="C206" s="41"/>
      <c r="D206" s="41"/>
      <c r="E206" s="41"/>
      <c r="F206" s="41"/>
      <c r="G206" s="41"/>
      <c r="H206" s="41"/>
      <c r="I206" s="41"/>
      <c r="J206" s="41"/>
      <c r="K206" s="41"/>
      <c r="L206" s="41"/>
      <c r="M206" s="41"/>
      <c r="N206" s="41"/>
      <c r="O206" s="42"/>
      <c r="P206" s="41"/>
    </row>
    <row r="207" ht="15.75" customHeight="1">
      <c r="A207" s="39"/>
      <c r="B207" s="41"/>
      <c r="C207" s="41"/>
      <c r="D207" s="41"/>
      <c r="E207" s="41"/>
      <c r="F207" s="41"/>
      <c r="G207" s="41"/>
      <c r="H207" s="41"/>
      <c r="I207" s="41"/>
      <c r="J207" s="41"/>
      <c r="K207" s="41"/>
      <c r="L207" s="41"/>
      <c r="M207" s="41"/>
      <c r="N207" s="41"/>
      <c r="O207" s="42"/>
      <c r="P207" s="41"/>
    </row>
    <row r="208" ht="15.75" customHeight="1">
      <c r="A208" s="39"/>
      <c r="B208" s="41"/>
      <c r="C208" s="41"/>
      <c r="D208" s="41"/>
      <c r="E208" s="41"/>
      <c r="F208" s="41"/>
      <c r="G208" s="41"/>
      <c r="H208" s="41"/>
      <c r="I208" s="41"/>
      <c r="J208" s="41"/>
      <c r="K208" s="41"/>
      <c r="L208" s="41"/>
      <c r="M208" s="41"/>
      <c r="N208" s="41"/>
      <c r="O208" s="42"/>
      <c r="P208" s="41"/>
    </row>
    <row r="209" ht="15.75" customHeight="1">
      <c r="A209" s="39"/>
      <c r="B209" s="41"/>
      <c r="C209" s="41"/>
      <c r="D209" s="41"/>
      <c r="E209" s="41"/>
      <c r="F209" s="41"/>
      <c r="G209" s="41"/>
      <c r="H209" s="41"/>
      <c r="I209" s="41"/>
      <c r="J209" s="41"/>
      <c r="K209" s="41"/>
      <c r="L209" s="41"/>
      <c r="M209" s="41"/>
      <c r="N209" s="41"/>
      <c r="O209" s="42"/>
      <c r="P209" s="41"/>
    </row>
    <row r="210" ht="15.75" customHeight="1">
      <c r="A210" s="39"/>
      <c r="B210" s="41"/>
      <c r="C210" s="41"/>
      <c r="D210" s="41"/>
      <c r="E210" s="41"/>
      <c r="F210" s="41"/>
      <c r="G210" s="41"/>
      <c r="H210" s="41"/>
      <c r="I210" s="41"/>
      <c r="J210" s="41"/>
      <c r="K210" s="41"/>
      <c r="L210" s="41"/>
      <c r="M210" s="41"/>
      <c r="N210" s="41"/>
      <c r="O210" s="42"/>
      <c r="P210" s="41"/>
    </row>
    <row r="211" ht="15.75" customHeight="1">
      <c r="A211" s="39"/>
      <c r="B211" s="41"/>
      <c r="C211" s="41"/>
      <c r="D211" s="41"/>
      <c r="E211" s="41"/>
      <c r="F211" s="41"/>
      <c r="G211" s="41"/>
      <c r="H211" s="41"/>
      <c r="I211" s="41"/>
      <c r="J211" s="41"/>
      <c r="K211" s="41"/>
      <c r="L211" s="41"/>
      <c r="M211" s="41"/>
      <c r="N211" s="41"/>
      <c r="O211" s="42"/>
      <c r="P211" s="41"/>
    </row>
    <row r="212" ht="15.75" customHeight="1">
      <c r="A212" s="39"/>
      <c r="B212" s="41"/>
      <c r="C212" s="41"/>
      <c r="D212" s="41"/>
      <c r="E212" s="41"/>
      <c r="F212" s="41"/>
      <c r="G212" s="41"/>
      <c r="H212" s="41"/>
      <c r="I212" s="41"/>
      <c r="J212" s="41"/>
      <c r="K212" s="41"/>
      <c r="L212" s="41"/>
      <c r="M212" s="41"/>
      <c r="N212" s="41"/>
      <c r="O212" s="42"/>
      <c r="P212" s="41"/>
    </row>
    <row r="213" ht="15.75" customHeight="1">
      <c r="A213" s="39"/>
      <c r="B213" s="41"/>
      <c r="C213" s="41"/>
      <c r="D213" s="41"/>
      <c r="E213" s="41"/>
      <c r="F213" s="41"/>
      <c r="G213" s="41"/>
      <c r="H213" s="41"/>
      <c r="I213" s="41"/>
      <c r="J213" s="41"/>
      <c r="K213" s="41"/>
      <c r="L213" s="41"/>
      <c r="M213" s="41"/>
      <c r="N213" s="41"/>
      <c r="O213" s="42"/>
      <c r="P213" s="41"/>
    </row>
    <row r="214" ht="15.75" customHeight="1">
      <c r="A214" s="39"/>
      <c r="B214" s="41"/>
      <c r="C214" s="41"/>
      <c r="D214" s="41"/>
      <c r="E214" s="41"/>
      <c r="F214" s="41"/>
      <c r="G214" s="41"/>
      <c r="H214" s="41"/>
      <c r="I214" s="41"/>
      <c r="J214" s="41"/>
      <c r="K214" s="41"/>
      <c r="L214" s="41"/>
      <c r="M214" s="41"/>
      <c r="N214" s="41"/>
      <c r="O214" s="42"/>
      <c r="P214" s="41"/>
    </row>
    <row r="215" ht="15.75" customHeight="1">
      <c r="A215" s="39"/>
      <c r="B215" s="41"/>
      <c r="C215" s="41"/>
      <c r="D215" s="41"/>
      <c r="E215" s="41"/>
      <c r="F215" s="41"/>
      <c r="G215" s="41"/>
      <c r="H215" s="41"/>
      <c r="I215" s="41"/>
      <c r="J215" s="41"/>
      <c r="K215" s="41"/>
      <c r="L215" s="41"/>
      <c r="M215" s="41"/>
      <c r="N215" s="41"/>
      <c r="O215" s="42"/>
      <c r="P215" s="41"/>
    </row>
    <row r="216" ht="15.75" customHeight="1">
      <c r="A216" s="39"/>
      <c r="B216" s="41"/>
      <c r="C216" s="41"/>
      <c r="D216" s="41"/>
      <c r="E216" s="41"/>
      <c r="F216" s="41"/>
      <c r="G216" s="41"/>
      <c r="H216" s="41"/>
      <c r="I216" s="41"/>
      <c r="J216" s="41"/>
      <c r="K216" s="41"/>
      <c r="L216" s="41"/>
      <c r="M216" s="41"/>
      <c r="N216" s="41"/>
      <c r="O216" s="42"/>
      <c r="P216" s="41"/>
    </row>
    <row r="217" ht="15.75" customHeight="1">
      <c r="A217" s="39"/>
      <c r="B217" s="41"/>
      <c r="C217" s="41"/>
      <c r="D217" s="41"/>
      <c r="E217" s="41"/>
      <c r="F217" s="41"/>
      <c r="G217" s="41"/>
      <c r="H217" s="41"/>
      <c r="I217" s="41"/>
      <c r="J217" s="41"/>
      <c r="K217" s="41"/>
      <c r="L217" s="41"/>
      <c r="M217" s="41"/>
      <c r="N217" s="41"/>
      <c r="O217" s="42"/>
      <c r="P217" s="41"/>
    </row>
    <row r="218" ht="15.75" customHeight="1">
      <c r="A218" s="39"/>
      <c r="B218" s="41"/>
      <c r="C218" s="41"/>
      <c r="D218" s="41"/>
      <c r="E218" s="41"/>
      <c r="F218" s="41"/>
      <c r="G218" s="41"/>
      <c r="H218" s="41"/>
      <c r="I218" s="41"/>
      <c r="J218" s="41"/>
      <c r="K218" s="41"/>
      <c r="L218" s="41"/>
      <c r="M218" s="41"/>
      <c r="N218" s="41"/>
      <c r="O218" s="42"/>
      <c r="P218" s="41"/>
    </row>
    <row r="219" ht="15.75" customHeight="1">
      <c r="A219" s="39"/>
      <c r="B219" s="41"/>
      <c r="C219" s="41"/>
      <c r="D219" s="41"/>
      <c r="E219" s="41"/>
      <c r="F219" s="41"/>
      <c r="G219" s="41"/>
      <c r="H219" s="41"/>
      <c r="I219" s="41"/>
      <c r="J219" s="41"/>
      <c r="K219" s="41"/>
      <c r="L219" s="41"/>
      <c r="M219" s="41"/>
      <c r="N219" s="41"/>
      <c r="O219" s="42"/>
      <c r="P219" s="41"/>
    </row>
    <row r="220" ht="15.75" customHeight="1">
      <c r="A220" s="39"/>
      <c r="B220" s="41"/>
      <c r="C220" s="41"/>
      <c r="D220" s="41"/>
      <c r="E220" s="41"/>
      <c r="F220" s="41"/>
      <c r="G220" s="41"/>
      <c r="H220" s="41"/>
      <c r="I220" s="41"/>
      <c r="J220" s="41"/>
      <c r="K220" s="41"/>
      <c r="L220" s="41"/>
      <c r="M220" s="41"/>
      <c r="N220" s="41"/>
      <c r="O220" s="42"/>
      <c r="P220" s="41"/>
    </row>
    <row r="221" ht="15.75" customHeight="1">
      <c r="A221" s="39"/>
      <c r="B221" s="41"/>
      <c r="C221" s="41"/>
      <c r="D221" s="41"/>
      <c r="E221" s="41"/>
      <c r="F221" s="41"/>
      <c r="G221" s="41"/>
      <c r="H221" s="41"/>
      <c r="I221" s="41"/>
      <c r="J221" s="41"/>
      <c r="K221" s="41"/>
      <c r="L221" s="41"/>
      <c r="M221" s="41"/>
      <c r="N221" s="41"/>
      <c r="O221" s="42"/>
      <c r="P221" s="41"/>
    </row>
    <row r="222" ht="15.75" customHeight="1">
      <c r="A222" s="39"/>
      <c r="B222" s="41"/>
      <c r="C222" s="41"/>
      <c r="D222" s="41"/>
      <c r="E222" s="41"/>
      <c r="F222" s="41"/>
      <c r="G222" s="41"/>
      <c r="H222" s="41"/>
      <c r="I222" s="41"/>
      <c r="J222" s="41"/>
      <c r="K222" s="41"/>
      <c r="L222" s="41"/>
      <c r="M222" s="41"/>
      <c r="N222" s="41"/>
      <c r="O222" s="42"/>
      <c r="P222" s="41"/>
    </row>
    <row r="223" ht="15.75" customHeight="1">
      <c r="A223" s="39"/>
      <c r="B223" s="41"/>
      <c r="C223" s="41"/>
      <c r="D223" s="41"/>
      <c r="E223" s="41"/>
      <c r="F223" s="41"/>
      <c r="G223" s="41"/>
      <c r="H223" s="41"/>
      <c r="I223" s="41"/>
      <c r="J223" s="41"/>
      <c r="K223" s="41"/>
      <c r="L223" s="41"/>
      <c r="M223" s="41"/>
      <c r="N223" s="41"/>
      <c r="O223" s="42"/>
      <c r="P223" s="41"/>
    </row>
    <row r="224" ht="15.75" customHeight="1">
      <c r="A224" s="39"/>
      <c r="B224" s="41"/>
      <c r="C224" s="41"/>
      <c r="D224" s="41"/>
      <c r="E224" s="41"/>
      <c r="F224" s="41"/>
      <c r="G224" s="41"/>
      <c r="H224" s="41"/>
      <c r="I224" s="41"/>
      <c r="J224" s="41"/>
      <c r="K224" s="41"/>
      <c r="L224" s="41"/>
      <c r="M224" s="41"/>
      <c r="N224" s="41"/>
      <c r="O224" s="42"/>
      <c r="P224" s="41"/>
    </row>
    <row r="225" ht="15.75" customHeight="1">
      <c r="A225" s="39"/>
      <c r="B225" s="41"/>
      <c r="C225" s="41"/>
      <c r="D225" s="41"/>
      <c r="E225" s="41"/>
      <c r="F225" s="41"/>
      <c r="G225" s="41"/>
      <c r="H225" s="41"/>
      <c r="I225" s="41"/>
      <c r="J225" s="41"/>
      <c r="K225" s="41"/>
      <c r="L225" s="41"/>
      <c r="M225" s="41"/>
      <c r="N225" s="41"/>
      <c r="O225" s="42"/>
      <c r="P225" s="41"/>
    </row>
    <row r="226" ht="15.75" customHeight="1">
      <c r="A226" s="39"/>
      <c r="B226" s="41"/>
      <c r="C226" s="41"/>
      <c r="D226" s="41"/>
      <c r="E226" s="41"/>
      <c r="F226" s="41"/>
      <c r="G226" s="41"/>
      <c r="H226" s="41"/>
      <c r="I226" s="41"/>
      <c r="J226" s="41"/>
      <c r="K226" s="41"/>
      <c r="L226" s="41"/>
      <c r="M226" s="41"/>
      <c r="N226" s="41"/>
      <c r="O226" s="42"/>
      <c r="P226" s="41"/>
    </row>
    <row r="227" ht="15.75" customHeight="1">
      <c r="A227" s="39"/>
      <c r="B227" s="41"/>
      <c r="C227" s="41"/>
      <c r="D227" s="41"/>
      <c r="E227" s="41"/>
      <c r="F227" s="41"/>
      <c r="G227" s="41"/>
      <c r="H227" s="41"/>
      <c r="I227" s="41"/>
      <c r="J227" s="41"/>
      <c r="K227" s="41"/>
      <c r="L227" s="41"/>
      <c r="M227" s="41"/>
      <c r="N227" s="41"/>
      <c r="O227" s="42"/>
      <c r="P227" s="41"/>
    </row>
    <row r="228" ht="15.75" customHeight="1">
      <c r="A228" s="39"/>
      <c r="B228" s="41"/>
      <c r="C228" s="41"/>
      <c r="D228" s="41"/>
      <c r="E228" s="41"/>
      <c r="F228" s="41"/>
      <c r="G228" s="41"/>
      <c r="H228" s="41"/>
      <c r="I228" s="41"/>
      <c r="J228" s="41"/>
      <c r="K228" s="41"/>
      <c r="L228" s="41"/>
      <c r="M228" s="41"/>
      <c r="N228" s="41"/>
      <c r="O228" s="42"/>
      <c r="P228" s="41"/>
    </row>
    <row r="229" ht="15.75" customHeight="1">
      <c r="A229" s="39"/>
      <c r="B229" s="41"/>
      <c r="C229" s="41"/>
      <c r="D229" s="41"/>
      <c r="E229" s="41"/>
      <c r="F229" s="41"/>
      <c r="G229" s="41"/>
      <c r="H229" s="41"/>
      <c r="I229" s="41"/>
      <c r="J229" s="41"/>
      <c r="K229" s="41"/>
      <c r="L229" s="41"/>
      <c r="M229" s="41"/>
      <c r="N229" s="41"/>
      <c r="O229" s="42"/>
      <c r="P229" s="41"/>
    </row>
    <row r="230" ht="15.75" customHeight="1">
      <c r="A230" s="39"/>
      <c r="B230" s="41"/>
      <c r="C230" s="41"/>
      <c r="D230" s="41"/>
      <c r="E230" s="41"/>
      <c r="F230" s="41"/>
      <c r="G230" s="41"/>
      <c r="H230" s="41"/>
      <c r="I230" s="41"/>
      <c r="J230" s="41"/>
      <c r="K230" s="41"/>
      <c r="L230" s="41"/>
      <c r="M230" s="41"/>
      <c r="N230" s="41"/>
      <c r="O230" s="42"/>
      <c r="P230" s="41"/>
    </row>
    <row r="231" ht="15.75" customHeight="1">
      <c r="A231" s="39"/>
      <c r="B231" s="41"/>
      <c r="C231" s="41"/>
      <c r="D231" s="41"/>
      <c r="E231" s="41"/>
      <c r="F231" s="41"/>
      <c r="G231" s="41"/>
      <c r="H231" s="41"/>
      <c r="I231" s="41"/>
      <c r="J231" s="41"/>
      <c r="K231" s="41"/>
      <c r="L231" s="41"/>
      <c r="M231" s="41"/>
      <c r="N231" s="41"/>
      <c r="O231" s="42"/>
      <c r="P231" s="41"/>
    </row>
    <row r="232" ht="15.75" customHeight="1">
      <c r="A232" s="39"/>
      <c r="B232" s="41"/>
      <c r="C232" s="41"/>
      <c r="D232" s="41"/>
      <c r="E232" s="41"/>
      <c r="F232" s="41"/>
      <c r="G232" s="41"/>
      <c r="H232" s="41"/>
      <c r="I232" s="41"/>
      <c r="J232" s="41"/>
      <c r="K232" s="41"/>
      <c r="L232" s="41"/>
      <c r="M232" s="41"/>
      <c r="N232" s="41"/>
      <c r="O232" s="42"/>
      <c r="P232" s="41"/>
    </row>
    <row r="233" ht="15.75" customHeight="1">
      <c r="A233" s="39"/>
      <c r="B233" s="41"/>
      <c r="C233" s="41"/>
      <c r="D233" s="41"/>
      <c r="E233" s="41"/>
      <c r="F233" s="41"/>
      <c r="G233" s="41"/>
      <c r="H233" s="41"/>
      <c r="I233" s="41"/>
      <c r="J233" s="41"/>
      <c r="K233" s="41"/>
      <c r="L233" s="41"/>
      <c r="M233" s="41"/>
      <c r="N233" s="41"/>
      <c r="O233" s="42"/>
      <c r="P233" s="41"/>
    </row>
    <row r="234" ht="15.75" customHeight="1">
      <c r="A234" s="39"/>
      <c r="B234" s="41"/>
      <c r="C234" s="41"/>
      <c r="D234" s="41"/>
      <c r="E234" s="41"/>
      <c r="F234" s="41"/>
      <c r="G234" s="41"/>
      <c r="H234" s="41"/>
      <c r="I234" s="41"/>
      <c r="J234" s="41"/>
      <c r="K234" s="41"/>
      <c r="L234" s="41"/>
      <c r="M234" s="41"/>
      <c r="N234" s="41"/>
      <c r="O234" s="42"/>
      <c r="P234" s="41"/>
    </row>
    <row r="235" ht="15.75" customHeight="1">
      <c r="A235" s="39"/>
      <c r="B235" s="41"/>
      <c r="C235" s="41"/>
      <c r="D235" s="41"/>
      <c r="E235" s="41"/>
      <c r="F235" s="41"/>
      <c r="G235" s="41"/>
      <c r="H235" s="41"/>
      <c r="I235" s="41"/>
      <c r="J235" s="41"/>
      <c r="K235" s="41"/>
      <c r="L235" s="41"/>
      <c r="M235" s="41"/>
      <c r="N235" s="41"/>
      <c r="O235" s="42"/>
      <c r="P235" s="41"/>
    </row>
    <row r="236" ht="15.75" customHeight="1">
      <c r="A236" s="39"/>
      <c r="B236" s="41"/>
      <c r="C236" s="41"/>
      <c r="D236" s="41"/>
      <c r="E236" s="41"/>
      <c r="F236" s="41"/>
      <c r="G236" s="41"/>
      <c r="H236" s="41"/>
      <c r="I236" s="41"/>
      <c r="J236" s="41"/>
      <c r="K236" s="41"/>
      <c r="L236" s="41"/>
      <c r="M236" s="41"/>
      <c r="N236" s="41"/>
      <c r="O236" s="42"/>
      <c r="P236" s="41"/>
    </row>
    <row r="237" ht="15.75" customHeight="1">
      <c r="A237" s="39"/>
      <c r="B237" s="41"/>
      <c r="C237" s="41"/>
      <c r="D237" s="41"/>
      <c r="E237" s="41"/>
      <c r="F237" s="41"/>
      <c r="G237" s="41"/>
      <c r="H237" s="41"/>
      <c r="I237" s="41"/>
      <c r="J237" s="41"/>
      <c r="K237" s="41"/>
      <c r="L237" s="41"/>
      <c r="M237" s="41"/>
      <c r="N237" s="41"/>
      <c r="O237" s="42"/>
      <c r="P237" s="41"/>
    </row>
    <row r="238" ht="15.75" customHeight="1">
      <c r="A238" s="39"/>
      <c r="B238" s="41"/>
      <c r="C238" s="41"/>
      <c r="D238" s="41"/>
      <c r="E238" s="41"/>
      <c r="F238" s="41"/>
      <c r="G238" s="41"/>
      <c r="H238" s="41"/>
      <c r="I238" s="41"/>
      <c r="J238" s="41"/>
      <c r="K238" s="41"/>
      <c r="L238" s="41"/>
      <c r="M238" s="41"/>
      <c r="N238" s="41"/>
      <c r="O238" s="42"/>
      <c r="P238" s="41"/>
    </row>
    <row r="239" ht="15.75" customHeight="1">
      <c r="A239" s="39"/>
      <c r="B239" s="41"/>
      <c r="C239" s="41"/>
      <c r="D239" s="41"/>
      <c r="E239" s="41"/>
      <c r="F239" s="41"/>
      <c r="G239" s="41"/>
      <c r="H239" s="41"/>
      <c r="I239" s="41"/>
      <c r="J239" s="41"/>
      <c r="K239" s="41"/>
      <c r="L239" s="41"/>
      <c r="M239" s="41"/>
      <c r="N239" s="41"/>
      <c r="O239" s="42"/>
      <c r="P239" s="41"/>
    </row>
    <row r="240" ht="15.75" customHeight="1">
      <c r="A240" s="39"/>
      <c r="B240" s="41"/>
      <c r="C240" s="41"/>
      <c r="D240" s="41"/>
      <c r="E240" s="41"/>
      <c r="F240" s="41"/>
      <c r="G240" s="41"/>
      <c r="H240" s="41"/>
      <c r="I240" s="41"/>
      <c r="J240" s="41"/>
      <c r="K240" s="41"/>
      <c r="L240" s="41"/>
      <c r="M240" s="41"/>
      <c r="N240" s="41"/>
      <c r="O240" s="42"/>
      <c r="P240" s="41"/>
    </row>
    <row r="241" ht="15.75" customHeight="1">
      <c r="A241" s="39"/>
      <c r="B241" s="41"/>
      <c r="C241" s="41"/>
      <c r="D241" s="41"/>
      <c r="E241" s="41"/>
      <c r="F241" s="41"/>
      <c r="G241" s="41"/>
      <c r="H241" s="41"/>
      <c r="I241" s="41"/>
      <c r="J241" s="41"/>
      <c r="K241" s="41"/>
      <c r="L241" s="41"/>
      <c r="M241" s="41"/>
      <c r="N241" s="41"/>
      <c r="O241" s="42"/>
      <c r="P241" s="41"/>
    </row>
    <row r="242" ht="15.75" customHeight="1">
      <c r="A242" s="39"/>
      <c r="B242" s="41"/>
      <c r="C242" s="41"/>
      <c r="D242" s="41"/>
      <c r="E242" s="41"/>
      <c r="F242" s="41"/>
      <c r="G242" s="41"/>
      <c r="H242" s="41"/>
      <c r="I242" s="41"/>
      <c r="J242" s="41"/>
      <c r="K242" s="41"/>
      <c r="L242" s="41"/>
      <c r="M242" s="41"/>
      <c r="N242" s="41"/>
      <c r="O242" s="42"/>
      <c r="P242" s="41"/>
    </row>
    <row r="243" ht="15.75" customHeight="1">
      <c r="A243" s="39"/>
      <c r="B243" s="41"/>
      <c r="C243" s="41"/>
      <c r="D243" s="41"/>
      <c r="E243" s="41"/>
      <c r="F243" s="41"/>
      <c r="G243" s="41"/>
      <c r="H243" s="41"/>
      <c r="I243" s="41"/>
      <c r="J243" s="41"/>
      <c r="K243" s="41"/>
      <c r="L243" s="41"/>
      <c r="M243" s="41"/>
      <c r="N243" s="41"/>
      <c r="O243" s="42"/>
      <c r="P243" s="41"/>
    </row>
    <row r="244" ht="15.75" customHeight="1">
      <c r="A244" s="39"/>
      <c r="B244" s="41"/>
      <c r="C244" s="41"/>
      <c r="D244" s="41"/>
      <c r="E244" s="41"/>
      <c r="F244" s="41"/>
      <c r="G244" s="41"/>
      <c r="H244" s="41"/>
      <c r="I244" s="41"/>
      <c r="J244" s="41"/>
      <c r="K244" s="41"/>
      <c r="L244" s="41"/>
      <c r="M244" s="41"/>
      <c r="N244" s="41"/>
      <c r="O244" s="42"/>
      <c r="P244" s="41"/>
    </row>
    <row r="245" ht="15.75" customHeight="1">
      <c r="A245" s="39"/>
      <c r="B245" s="41"/>
      <c r="C245" s="41"/>
      <c r="D245" s="41"/>
      <c r="E245" s="41"/>
      <c r="F245" s="41"/>
      <c r="G245" s="41"/>
      <c r="H245" s="41"/>
      <c r="I245" s="41"/>
      <c r="J245" s="41"/>
      <c r="K245" s="41"/>
      <c r="L245" s="41"/>
      <c r="M245" s="41"/>
      <c r="N245" s="41"/>
      <c r="O245" s="42"/>
      <c r="P245" s="41"/>
    </row>
    <row r="246" ht="15.75" customHeight="1">
      <c r="A246" s="39"/>
      <c r="B246" s="41"/>
      <c r="C246" s="41"/>
      <c r="D246" s="41"/>
      <c r="E246" s="41"/>
      <c r="F246" s="41"/>
      <c r="G246" s="41"/>
      <c r="H246" s="41"/>
      <c r="I246" s="41"/>
      <c r="J246" s="41"/>
      <c r="K246" s="41"/>
      <c r="L246" s="41"/>
      <c r="M246" s="41"/>
      <c r="N246" s="41"/>
      <c r="O246" s="42"/>
      <c r="P246" s="41"/>
    </row>
    <row r="247" ht="15.75" customHeight="1">
      <c r="A247" s="39"/>
      <c r="B247" s="41"/>
      <c r="C247" s="41"/>
      <c r="D247" s="41"/>
      <c r="E247" s="41"/>
      <c r="F247" s="41"/>
      <c r="G247" s="41"/>
      <c r="H247" s="41"/>
      <c r="I247" s="41"/>
      <c r="J247" s="41"/>
      <c r="K247" s="41"/>
      <c r="L247" s="41"/>
      <c r="M247" s="41"/>
      <c r="N247" s="41"/>
      <c r="O247" s="42"/>
      <c r="P247" s="41"/>
    </row>
    <row r="248" ht="15.75" customHeight="1">
      <c r="A248" s="39"/>
      <c r="B248" s="41"/>
      <c r="C248" s="41"/>
      <c r="D248" s="41"/>
      <c r="E248" s="41"/>
      <c r="F248" s="41"/>
      <c r="G248" s="41"/>
      <c r="H248" s="41"/>
      <c r="I248" s="41"/>
      <c r="J248" s="41"/>
      <c r="K248" s="41"/>
      <c r="L248" s="41"/>
      <c r="M248" s="41"/>
      <c r="N248" s="41"/>
      <c r="O248" s="42"/>
      <c r="P248" s="41"/>
    </row>
    <row r="249" ht="15.75" customHeight="1">
      <c r="A249" s="39"/>
      <c r="B249" s="41"/>
      <c r="C249" s="41"/>
      <c r="D249" s="41"/>
      <c r="E249" s="41"/>
      <c r="F249" s="41"/>
      <c r="G249" s="41"/>
      <c r="H249" s="41"/>
      <c r="I249" s="41"/>
      <c r="J249" s="41"/>
      <c r="K249" s="41"/>
      <c r="L249" s="41"/>
      <c r="M249" s="41"/>
      <c r="N249" s="41"/>
      <c r="O249" s="42"/>
      <c r="P249" s="41"/>
    </row>
    <row r="250" ht="15.75" customHeight="1">
      <c r="A250" s="39"/>
      <c r="B250" s="41"/>
      <c r="C250" s="41"/>
      <c r="D250" s="41"/>
      <c r="E250" s="41"/>
      <c r="F250" s="41"/>
      <c r="G250" s="41"/>
      <c r="H250" s="41"/>
      <c r="I250" s="41"/>
      <c r="J250" s="41"/>
      <c r="K250" s="41"/>
      <c r="L250" s="41"/>
      <c r="M250" s="41"/>
      <c r="N250" s="41"/>
      <c r="O250" s="42"/>
      <c r="P250" s="41"/>
    </row>
    <row r="251" ht="15.75" customHeight="1">
      <c r="A251" s="39"/>
      <c r="B251" s="41"/>
      <c r="C251" s="41"/>
      <c r="D251" s="41"/>
      <c r="E251" s="41"/>
      <c r="F251" s="41"/>
      <c r="G251" s="41"/>
      <c r="H251" s="41"/>
      <c r="I251" s="41"/>
      <c r="J251" s="41"/>
      <c r="K251" s="41"/>
      <c r="L251" s="41"/>
      <c r="M251" s="41"/>
      <c r="N251" s="41"/>
      <c r="O251" s="42"/>
      <c r="P251" s="41"/>
    </row>
    <row r="252" ht="15.75" customHeight="1">
      <c r="A252" s="39"/>
      <c r="B252" s="41"/>
      <c r="C252" s="41"/>
      <c r="D252" s="41"/>
      <c r="E252" s="41"/>
      <c r="F252" s="41"/>
      <c r="G252" s="41"/>
      <c r="H252" s="41"/>
      <c r="I252" s="41"/>
      <c r="J252" s="41"/>
      <c r="K252" s="41"/>
      <c r="L252" s="41"/>
      <c r="M252" s="41"/>
      <c r="N252" s="41"/>
      <c r="O252" s="42"/>
      <c r="P252" s="41"/>
    </row>
    <row r="253" ht="15.75" customHeight="1">
      <c r="A253" s="39"/>
      <c r="B253" s="41"/>
      <c r="C253" s="41"/>
      <c r="D253" s="41"/>
      <c r="E253" s="41"/>
      <c r="F253" s="41"/>
      <c r="G253" s="41"/>
      <c r="H253" s="41"/>
      <c r="I253" s="41"/>
      <c r="J253" s="41"/>
      <c r="K253" s="41"/>
      <c r="L253" s="41"/>
      <c r="M253" s="41"/>
      <c r="N253" s="41"/>
      <c r="O253" s="42"/>
      <c r="P253" s="41"/>
    </row>
    <row r="254" ht="15.75" customHeight="1">
      <c r="A254" s="39"/>
      <c r="B254" s="41"/>
      <c r="C254" s="41"/>
      <c r="D254" s="41"/>
      <c r="E254" s="41"/>
      <c r="F254" s="41"/>
      <c r="G254" s="41"/>
      <c r="H254" s="41"/>
      <c r="I254" s="41"/>
      <c r="J254" s="41"/>
      <c r="K254" s="41"/>
      <c r="L254" s="41"/>
      <c r="M254" s="41"/>
      <c r="N254" s="41"/>
      <c r="O254" s="42"/>
      <c r="P254" s="41"/>
    </row>
    <row r="255" ht="15.75" customHeight="1">
      <c r="A255" s="39"/>
      <c r="B255" s="41"/>
      <c r="C255" s="41"/>
      <c r="D255" s="41"/>
      <c r="E255" s="41"/>
      <c r="F255" s="41"/>
      <c r="G255" s="41"/>
      <c r="H255" s="41"/>
      <c r="I255" s="41"/>
      <c r="J255" s="41"/>
      <c r="K255" s="41"/>
      <c r="L255" s="41"/>
      <c r="M255" s="41"/>
      <c r="N255" s="41"/>
      <c r="O255" s="42"/>
      <c r="P255" s="41"/>
    </row>
    <row r="256" ht="15.75" customHeight="1">
      <c r="A256" s="39"/>
      <c r="B256" s="41"/>
      <c r="C256" s="41"/>
      <c r="D256" s="41"/>
      <c r="E256" s="41"/>
      <c r="F256" s="41"/>
      <c r="G256" s="41"/>
      <c r="H256" s="41"/>
      <c r="I256" s="41"/>
      <c r="J256" s="41"/>
      <c r="K256" s="41"/>
      <c r="L256" s="41"/>
      <c r="M256" s="41"/>
      <c r="N256" s="41"/>
      <c r="O256" s="42"/>
      <c r="P256" s="41"/>
    </row>
    <row r="257" ht="15.75" customHeight="1">
      <c r="A257" s="39"/>
      <c r="B257" s="41"/>
      <c r="C257" s="41"/>
      <c r="D257" s="41"/>
      <c r="E257" s="41"/>
      <c r="F257" s="41"/>
      <c r="G257" s="41"/>
      <c r="H257" s="41"/>
      <c r="I257" s="41"/>
      <c r="J257" s="41"/>
      <c r="K257" s="41"/>
      <c r="L257" s="41"/>
      <c r="M257" s="41"/>
      <c r="N257" s="41"/>
      <c r="O257" s="42"/>
      <c r="P257" s="41"/>
    </row>
    <row r="258" ht="15.75" customHeight="1">
      <c r="A258" s="39"/>
      <c r="B258" s="41"/>
      <c r="C258" s="41"/>
      <c r="D258" s="41"/>
      <c r="E258" s="41"/>
      <c r="F258" s="41"/>
      <c r="G258" s="41"/>
      <c r="H258" s="41"/>
      <c r="I258" s="41"/>
      <c r="J258" s="41"/>
      <c r="K258" s="41"/>
      <c r="L258" s="41"/>
      <c r="M258" s="41"/>
      <c r="N258" s="41"/>
      <c r="O258" s="42"/>
      <c r="P258" s="41"/>
    </row>
    <row r="259" ht="15.75" customHeight="1">
      <c r="A259" s="39"/>
      <c r="B259" s="41"/>
      <c r="C259" s="41"/>
      <c r="D259" s="41"/>
      <c r="E259" s="41"/>
      <c r="F259" s="41"/>
      <c r="G259" s="41"/>
      <c r="H259" s="41"/>
      <c r="I259" s="41"/>
      <c r="J259" s="41"/>
      <c r="K259" s="41"/>
      <c r="L259" s="41"/>
      <c r="M259" s="41"/>
      <c r="N259" s="41"/>
      <c r="O259" s="42"/>
      <c r="P259" s="41"/>
    </row>
    <row r="260" ht="15.75" customHeight="1">
      <c r="A260" s="39"/>
      <c r="B260" s="41"/>
      <c r="C260" s="41"/>
      <c r="D260" s="41"/>
      <c r="E260" s="41"/>
      <c r="F260" s="41"/>
      <c r="G260" s="41"/>
      <c r="H260" s="41"/>
      <c r="I260" s="41"/>
      <c r="J260" s="41"/>
      <c r="K260" s="41"/>
      <c r="L260" s="41"/>
      <c r="M260" s="41"/>
      <c r="N260" s="41"/>
      <c r="O260" s="42"/>
      <c r="P260" s="41"/>
    </row>
    <row r="261" ht="15.75" customHeight="1">
      <c r="A261" s="39"/>
      <c r="B261" s="41"/>
      <c r="C261" s="41"/>
      <c r="D261" s="41"/>
      <c r="E261" s="41"/>
      <c r="F261" s="41"/>
      <c r="G261" s="41"/>
      <c r="H261" s="41"/>
      <c r="I261" s="41"/>
      <c r="J261" s="41"/>
      <c r="K261" s="41"/>
      <c r="L261" s="41"/>
      <c r="M261" s="41"/>
      <c r="N261" s="41"/>
      <c r="O261" s="42"/>
      <c r="P261" s="41"/>
    </row>
    <row r="262" ht="15.75" customHeight="1">
      <c r="A262" s="39"/>
      <c r="B262" s="41"/>
      <c r="C262" s="41"/>
      <c r="D262" s="41"/>
      <c r="E262" s="41"/>
      <c r="F262" s="41"/>
      <c r="G262" s="41"/>
      <c r="H262" s="41"/>
      <c r="I262" s="41"/>
      <c r="J262" s="41"/>
      <c r="K262" s="41"/>
      <c r="L262" s="41"/>
      <c r="M262" s="41"/>
      <c r="N262" s="41"/>
      <c r="O262" s="42"/>
      <c r="P262" s="41"/>
    </row>
    <row r="263" ht="15.75" customHeight="1">
      <c r="A263" s="39"/>
      <c r="B263" s="41"/>
      <c r="C263" s="41"/>
      <c r="D263" s="41"/>
      <c r="E263" s="41"/>
      <c r="F263" s="41"/>
      <c r="G263" s="41"/>
      <c r="H263" s="41"/>
      <c r="I263" s="41"/>
      <c r="J263" s="41"/>
      <c r="K263" s="41"/>
      <c r="L263" s="41"/>
      <c r="M263" s="41"/>
      <c r="N263" s="41"/>
      <c r="O263" s="42"/>
      <c r="P263" s="41"/>
    </row>
    <row r="264" ht="15.75" customHeight="1">
      <c r="A264" s="39"/>
      <c r="B264" s="41"/>
      <c r="C264" s="41"/>
      <c r="D264" s="41"/>
      <c r="E264" s="41"/>
      <c r="F264" s="41"/>
      <c r="G264" s="41"/>
      <c r="H264" s="41"/>
      <c r="I264" s="41"/>
      <c r="J264" s="41"/>
      <c r="K264" s="41"/>
      <c r="L264" s="41"/>
      <c r="M264" s="41"/>
      <c r="N264" s="41"/>
      <c r="O264" s="42"/>
      <c r="P264" s="41"/>
    </row>
    <row r="265" ht="15.75" customHeight="1">
      <c r="A265" s="39"/>
      <c r="B265" s="41"/>
      <c r="C265" s="41"/>
      <c r="D265" s="41"/>
      <c r="E265" s="41"/>
      <c r="F265" s="41"/>
      <c r="G265" s="41"/>
      <c r="H265" s="41"/>
      <c r="I265" s="41"/>
      <c r="J265" s="41"/>
      <c r="K265" s="41"/>
      <c r="L265" s="41"/>
      <c r="M265" s="41"/>
      <c r="N265" s="41"/>
      <c r="O265" s="42"/>
      <c r="P265" s="41"/>
    </row>
    <row r="266" ht="15.75" customHeight="1">
      <c r="A266" s="39"/>
      <c r="B266" s="41"/>
      <c r="C266" s="41"/>
      <c r="D266" s="41"/>
      <c r="E266" s="41"/>
      <c r="F266" s="41"/>
      <c r="G266" s="41"/>
      <c r="H266" s="41"/>
      <c r="I266" s="41"/>
      <c r="J266" s="41"/>
      <c r="K266" s="41"/>
      <c r="L266" s="41"/>
      <c r="M266" s="41"/>
      <c r="N266" s="41"/>
      <c r="O266" s="42"/>
      <c r="P266" s="41"/>
    </row>
    <row r="267" ht="15.75" customHeight="1">
      <c r="A267" s="39"/>
      <c r="B267" s="41"/>
      <c r="C267" s="41"/>
      <c r="D267" s="41"/>
      <c r="E267" s="41"/>
      <c r="F267" s="41"/>
      <c r="G267" s="41"/>
      <c r="H267" s="41"/>
      <c r="I267" s="41"/>
      <c r="J267" s="41"/>
      <c r="K267" s="41"/>
      <c r="L267" s="41"/>
      <c r="M267" s="41"/>
      <c r="N267" s="41"/>
      <c r="O267" s="42"/>
      <c r="P267" s="41"/>
    </row>
    <row r="268" ht="15.75" customHeight="1">
      <c r="A268" s="39"/>
      <c r="B268" s="41"/>
      <c r="C268" s="41"/>
      <c r="D268" s="41"/>
      <c r="E268" s="41"/>
      <c r="F268" s="41"/>
      <c r="G268" s="41"/>
      <c r="H268" s="41"/>
      <c r="I268" s="41"/>
      <c r="J268" s="41"/>
      <c r="K268" s="41"/>
      <c r="L268" s="41"/>
      <c r="M268" s="41"/>
      <c r="N268" s="41"/>
      <c r="O268" s="42"/>
      <c r="P268" s="41"/>
    </row>
    <row r="269" ht="15.75" customHeight="1">
      <c r="A269" s="39"/>
      <c r="B269" s="41"/>
      <c r="C269" s="41"/>
      <c r="D269" s="41"/>
      <c r="E269" s="41"/>
      <c r="F269" s="41"/>
      <c r="G269" s="41"/>
      <c r="H269" s="41"/>
      <c r="I269" s="41"/>
      <c r="J269" s="41"/>
      <c r="K269" s="41"/>
      <c r="L269" s="41"/>
      <c r="M269" s="41"/>
      <c r="N269" s="41"/>
      <c r="O269" s="42"/>
      <c r="P269" s="41"/>
    </row>
    <row r="270" ht="15.75" customHeight="1">
      <c r="A270" s="39"/>
      <c r="B270" s="41"/>
      <c r="C270" s="41"/>
      <c r="D270" s="41"/>
      <c r="E270" s="41"/>
      <c r="F270" s="41"/>
      <c r="G270" s="41"/>
      <c r="H270" s="41"/>
      <c r="I270" s="41"/>
      <c r="J270" s="41"/>
      <c r="K270" s="41"/>
      <c r="L270" s="41"/>
      <c r="M270" s="41"/>
      <c r="N270" s="41"/>
      <c r="O270" s="42"/>
      <c r="P270" s="41"/>
    </row>
    <row r="271" ht="15.75" customHeight="1">
      <c r="A271" s="39"/>
      <c r="B271" s="41"/>
      <c r="C271" s="41"/>
      <c r="D271" s="41"/>
      <c r="E271" s="41"/>
      <c r="F271" s="41"/>
      <c r="G271" s="41"/>
      <c r="H271" s="41"/>
      <c r="I271" s="41"/>
      <c r="J271" s="41"/>
      <c r="K271" s="41"/>
      <c r="L271" s="41"/>
      <c r="M271" s="41"/>
      <c r="N271" s="41"/>
      <c r="O271" s="42"/>
      <c r="P271" s="41"/>
    </row>
    <row r="272" ht="15.75" customHeight="1">
      <c r="A272" s="39"/>
      <c r="B272" s="41"/>
      <c r="C272" s="41"/>
      <c r="D272" s="41"/>
      <c r="E272" s="41"/>
      <c r="F272" s="41"/>
      <c r="G272" s="41"/>
      <c r="H272" s="41"/>
      <c r="I272" s="41"/>
      <c r="J272" s="41"/>
      <c r="K272" s="41"/>
      <c r="L272" s="41"/>
      <c r="M272" s="41"/>
      <c r="N272" s="41"/>
      <c r="O272" s="42"/>
      <c r="P272" s="41"/>
    </row>
    <row r="273" ht="15.75" customHeight="1">
      <c r="A273" s="39"/>
      <c r="B273" s="41"/>
      <c r="C273" s="41"/>
      <c r="D273" s="41"/>
      <c r="E273" s="41"/>
      <c r="F273" s="41"/>
      <c r="G273" s="41"/>
      <c r="H273" s="41"/>
      <c r="I273" s="41"/>
      <c r="J273" s="41"/>
      <c r="K273" s="41"/>
      <c r="L273" s="41"/>
      <c r="M273" s="41"/>
      <c r="N273" s="41"/>
      <c r="O273" s="42"/>
      <c r="P273" s="41"/>
    </row>
    <row r="274" ht="15.75" customHeight="1">
      <c r="A274" s="39"/>
      <c r="B274" s="41"/>
      <c r="C274" s="41"/>
      <c r="D274" s="41"/>
      <c r="E274" s="41"/>
      <c r="F274" s="41"/>
      <c r="G274" s="41"/>
      <c r="H274" s="41"/>
      <c r="I274" s="41"/>
      <c r="J274" s="41"/>
      <c r="K274" s="41"/>
      <c r="L274" s="41"/>
      <c r="M274" s="41"/>
      <c r="N274" s="41"/>
      <c r="O274" s="42"/>
      <c r="P274" s="41"/>
    </row>
    <row r="275" ht="15.75" customHeight="1">
      <c r="A275" s="39"/>
      <c r="B275" s="41"/>
      <c r="C275" s="41"/>
      <c r="D275" s="41"/>
      <c r="E275" s="41"/>
      <c r="F275" s="41"/>
      <c r="G275" s="41"/>
      <c r="H275" s="41"/>
      <c r="I275" s="41"/>
      <c r="J275" s="41"/>
      <c r="K275" s="41"/>
      <c r="L275" s="41"/>
      <c r="M275" s="41"/>
      <c r="N275" s="41"/>
      <c r="O275" s="42"/>
      <c r="P275" s="41"/>
    </row>
    <row r="276" ht="15.75" customHeight="1">
      <c r="A276" s="39"/>
      <c r="B276" s="41"/>
      <c r="C276" s="41"/>
      <c r="D276" s="41"/>
      <c r="E276" s="41"/>
      <c r="F276" s="41"/>
      <c r="G276" s="41"/>
      <c r="H276" s="41"/>
      <c r="I276" s="41"/>
      <c r="J276" s="41"/>
      <c r="K276" s="41"/>
      <c r="L276" s="41"/>
      <c r="M276" s="41"/>
      <c r="N276" s="41"/>
      <c r="O276" s="42"/>
      <c r="P276" s="41"/>
    </row>
    <row r="277" ht="15.75" customHeight="1">
      <c r="A277" s="39"/>
      <c r="B277" s="41"/>
      <c r="C277" s="41"/>
      <c r="D277" s="41"/>
      <c r="E277" s="41"/>
      <c r="F277" s="41"/>
      <c r="G277" s="41"/>
      <c r="H277" s="41"/>
      <c r="I277" s="41"/>
      <c r="J277" s="41"/>
      <c r="K277" s="41"/>
      <c r="L277" s="41"/>
      <c r="M277" s="41"/>
      <c r="N277" s="41"/>
      <c r="O277" s="42"/>
      <c r="P277" s="41"/>
    </row>
    <row r="278" ht="15.75" customHeight="1">
      <c r="A278" s="39"/>
      <c r="B278" s="41"/>
      <c r="C278" s="41"/>
      <c r="D278" s="41"/>
      <c r="E278" s="41"/>
      <c r="F278" s="41"/>
      <c r="G278" s="41"/>
      <c r="H278" s="41"/>
      <c r="I278" s="41"/>
      <c r="J278" s="41"/>
      <c r="K278" s="41"/>
      <c r="L278" s="41"/>
      <c r="M278" s="41"/>
      <c r="N278" s="41"/>
      <c r="O278" s="42"/>
      <c r="P278" s="41"/>
    </row>
    <row r="279" ht="15.75" customHeight="1">
      <c r="A279" s="39"/>
      <c r="B279" s="41"/>
      <c r="C279" s="41"/>
      <c r="D279" s="41"/>
      <c r="E279" s="41"/>
      <c r="F279" s="41"/>
      <c r="G279" s="41"/>
      <c r="H279" s="41"/>
      <c r="I279" s="41"/>
      <c r="J279" s="41"/>
      <c r="K279" s="41"/>
      <c r="L279" s="41"/>
      <c r="M279" s="41"/>
      <c r="N279" s="41"/>
      <c r="O279" s="42"/>
      <c r="P279" s="41"/>
    </row>
    <row r="280" ht="15.75" customHeight="1">
      <c r="A280" s="39"/>
      <c r="B280" s="41"/>
      <c r="C280" s="41"/>
      <c r="D280" s="41"/>
      <c r="E280" s="41"/>
      <c r="F280" s="41"/>
      <c r="G280" s="41"/>
      <c r="H280" s="41"/>
      <c r="I280" s="41"/>
      <c r="J280" s="41"/>
      <c r="K280" s="41"/>
      <c r="L280" s="41"/>
      <c r="M280" s="41"/>
      <c r="N280" s="41"/>
      <c r="O280" s="42"/>
      <c r="P280" s="41"/>
    </row>
    <row r="281" ht="15.75" customHeight="1">
      <c r="A281" s="39"/>
      <c r="B281" s="41"/>
      <c r="C281" s="41"/>
      <c r="D281" s="41"/>
      <c r="E281" s="41"/>
      <c r="F281" s="41"/>
      <c r="G281" s="41"/>
      <c r="H281" s="41"/>
      <c r="I281" s="41"/>
      <c r="J281" s="41"/>
      <c r="K281" s="41"/>
      <c r="L281" s="41"/>
      <c r="M281" s="41"/>
      <c r="N281" s="41"/>
      <c r="O281" s="42"/>
      <c r="P281" s="41"/>
    </row>
    <row r="282" ht="15.75" customHeight="1">
      <c r="A282" s="39"/>
      <c r="B282" s="41"/>
      <c r="C282" s="41"/>
      <c r="D282" s="41"/>
      <c r="E282" s="41"/>
      <c r="F282" s="41"/>
      <c r="G282" s="41"/>
      <c r="H282" s="41"/>
      <c r="I282" s="41"/>
      <c r="J282" s="41"/>
      <c r="K282" s="41"/>
      <c r="L282" s="41"/>
      <c r="M282" s="41"/>
      <c r="N282" s="41"/>
      <c r="O282" s="42"/>
      <c r="P282" s="41"/>
    </row>
    <row r="283" ht="15.75" customHeight="1">
      <c r="A283" s="39"/>
      <c r="B283" s="41"/>
      <c r="C283" s="41"/>
      <c r="D283" s="41"/>
      <c r="E283" s="41"/>
      <c r="F283" s="41"/>
      <c r="G283" s="41"/>
      <c r="H283" s="41"/>
      <c r="I283" s="41"/>
      <c r="J283" s="41"/>
      <c r="K283" s="41"/>
      <c r="L283" s="41"/>
      <c r="M283" s="41"/>
      <c r="N283" s="41"/>
      <c r="O283" s="42"/>
      <c r="P283" s="41"/>
    </row>
    <row r="284" ht="15.75" customHeight="1">
      <c r="A284" s="39"/>
      <c r="B284" s="41"/>
      <c r="C284" s="41"/>
      <c r="D284" s="41"/>
      <c r="E284" s="41"/>
      <c r="F284" s="41"/>
      <c r="G284" s="41"/>
      <c r="H284" s="41"/>
      <c r="I284" s="41"/>
      <c r="J284" s="41"/>
      <c r="K284" s="41"/>
      <c r="L284" s="41"/>
      <c r="M284" s="41"/>
      <c r="N284" s="41"/>
      <c r="O284" s="42"/>
      <c r="P284" s="41"/>
    </row>
    <row r="285" ht="15.75" customHeight="1">
      <c r="A285" s="39"/>
      <c r="B285" s="41"/>
      <c r="C285" s="41"/>
      <c r="D285" s="41"/>
      <c r="E285" s="41"/>
      <c r="F285" s="41"/>
      <c r="G285" s="41"/>
      <c r="H285" s="41"/>
      <c r="I285" s="41"/>
      <c r="J285" s="41"/>
      <c r="K285" s="41"/>
      <c r="L285" s="41"/>
      <c r="M285" s="41"/>
      <c r="N285" s="41"/>
      <c r="O285" s="42"/>
      <c r="P285" s="41"/>
    </row>
    <row r="286" ht="15.75" customHeight="1">
      <c r="A286" s="39"/>
      <c r="B286" s="41"/>
      <c r="C286" s="41"/>
      <c r="D286" s="41"/>
      <c r="E286" s="41"/>
      <c r="F286" s="41"/>
      <c r="G286" s="41"/>
      <c r="H286" s="41"/>
      <c r="I286" s="41"/>
      <c r="J286" s="41"/>
      <c r="K286" s="41"/>
      <c r="L286" s="41"/>
      <c r="M286" s="41"/>
      <c r="N286" s="41"/>
      <c r="O286" s="42"/>
      <c r="P286" s="41"/>
    </row>
    <row r="287" ht="15.75" customHeight="1">
      <c r="A287" s="39"/>
      <c r="B287" s="41"/>
      <c r="C287" s="41"/>
      <c r="D287" s="41"/>
      <c r="E287" s="41"/>
      <c r="F287" s="41"/>
      <c r="G287" s="41"/>
      <c r="H287" s="41"/>
      <c r="I287" s="41"/>
      <c r="J287" s="41"/>
      <c r="K287" s="41"/>
      <c r="L287" s="41"/>
      <c r="M287" s="41"/>
      <c r="N287" s="41"/>
      <c r="O287" s="42"/>
      <c r="P287" s="41"/>
    </row>
    <row r="288" ht="15.75" customHeight="1">
      <c r="A288" s="39"/>
      <c r="B288" s="41"/>
      <c r="C288" s="41"/>
      <c r="D288" s="41"/>
      <c r="E288" s="41"/>
      <c r="F288" s="41"/>
      <c r="G288" s="41"/>
      <c r="H288" s="41"/>
      <c r="I288" s="41"/>
      <c r="J288" s="41"/>
      <c r="K288" s="41"/>
      <c r="L288" s="41"/>
      <c r="M288" s="41"/>
      <c r="N288" s="41"/>
      <c r="O288" s="42"/>
      <c r="P288" s="41"/>
    </row>
    <row r="289" ht="15.75" customHeight="1">
      <c r="A289" s="39"/>
      <c r="B289" s="41"/>
      <c r="C289" s="41"/>
      <c r="D289" s="41"/>
      <c r="E289" s="41"/>
      <c r="F289" s="41"/>
      <c r="G289" s="41"/>
      <c r="H289" s="41"/>
      <c r="I289" s="41"/>
      <c r="J289" s="41"/>
      <c r="K289" s="41"/>
      <c r="L289" s="41"/>
      <c r="M289" s="41"/>
      <c r="N289" s="41"/>
      <c r="O289" s="42"/>
      <c r="P289" s="41"/>
    </row>
    <row r="290" ht="15.75" customHeight="1">
      <c r="A290" s="39"/>
      <c r="B290" s="41"/>
      <c r="C290" s="41"/>
      <c r="D290" s="41"/>
      <c r="E290" s="41"/>
      <c r="F290" s="41"/>
      <c r="G290" s="41"/>
      <c r="H290" s="41"/>
      <c r="I290" s="41"/>
      <c r="J290" s="41"/>
      <c r="K290" s="41"/>
      <c r="L290" s="41"/>
      <c r="M290" s="41"/>
      <c r="N290" s="41"/>
      <c r="O290" s="42"/>
      <c r="P290" s="41"/>
    </row>
    <row r="291" ht="15.75" customHeight="1">
      <c r="A291" s="39"/>
      <c r="B291" s="41"/>
      <c r="C291" s="41"/>
      <c r="D291" s="41"/>
      <c r="E291" s="41"/>
      <c r="F291" s="41"/>
      <c r="G291" s="41"/>
      <c r="H291" s="41"/>
      <c r="I291" s="41"/>
      <c r="J291" s="41"/>
      <c r="K291" s="41"/>
      <c r="L291" s="41"/>
      <c r="M291" s="41"/>
      <c r="N291" s="41"/>
      <c r="O291" s="42"/>
      <c r="P291" s="41"/>
    </row>
    <row r="292" ht="15.75" customHeight="1">
      <c r="A292" s="39"/>
      <c r="B292" s="41"/>
      <c r="C292" s="41"/>
      <c r="D292" s="41"/>
      <c r="E292" s="41"/>
      <c r="F292" s="41"/>
      <c r="G292" s="41"/>
      <c r="H292" s="41"/>
      <c r="I292" s="41"/>
      <c r="J292" s="41"/>
      <c r="K292" s="41"/>
      <c r="L292" s="41"/>
      <c r="M292" s="41"/>
      <c r="N292" s="41"/>
      <c r="O292" s="42"/>
      <c r="P292" s="41"/>
    </row>
    <row r="293" ht="15.75" customHeight="1">
      <c r="A293" s="39"/>
      <c r="B293" s="41"/>
      <c r="C293" s="41"/>
      <c r="D293" s="41"/>
      <c r="E293" s="41"/>
      <c r="F293" s="41"/>
      <c r="G293" s="41"/>
      <c r="H293" s="41"/>
      <c r="I293" s="41"/>
      <c r="J293" s="41"/>
      <c r="K293" s="41"/>
      <c r="L293" s="41"/>
      <c r="M293" s="41"/>
      <c r="N293" s="41"/>
      <c r="O293" s="42"/>
      <c r="P293" s="41"/>
    </row>
    <row r="294" ht="15.75" customHeight="1">
      <c r="A294" s="39"/>
      <c r="B294" s="41"/>
      <c r="C294" s="41"/>
      <c r="D294" s="41"/>
      <c r="E294" s="41"/>
      <c r="F294" s="41"/>
      <c r="G294" s="41"/>
      <c r="H294" s="41"/>
      <c r="I294" s="41"/>
      <c r="J294" s="41"/>
      <c r="K294" s="41"/>
      <c r="L294" s="41"/>
      <c r="M294" s="41"/>
      <c r="N294" s="41"/>
      <c r="O294" s="42"/>
      <c r="P294" s="41"/>
    </row>
    <row r="295" ht="15.75" customHeight="1">
      <c r="A295" s="39"/>
      <c r="B295" s="41"/>
      <c r="C295" s="41"/>
      <c r="D295" s="41"/>
      <c r="E295" s="41"/>
      <c r="F295" s="41"/>
      <c r="G295" s="41"/>
      <c r="H295" s="41"/>
      <c r="I295" s="41"/>
      <c r="J295" s="41"/>
      <c r="K295" s="41"/>
      <c r="L295" s="41"/>
      <c r="M295" s="41"/>
      <c r="N295" s="41"/>
      <c r="O295" s="42"/>
      <c r="P295" s="41"/>
    </row>
    <row r="296" ht="15.75" customHeight="1">
      <c r="A296" s="39"/>
      <c r="B296" s="41"/>
      <c r="C296" s="41"/>
      <c r="D296" s="41"/>
      <c r="E296" s="41"/>
      <c r="F296" s="41"/>
      <c r="G296" s="41"/>
      <c r="H296" s="41"/>
      <c r="I296" s="41"/>
      <c r="J296" s="41"/>
      <c r="K296" s="41"/>
      <c r="L296" s="41"/>
      <c r="M296" s="41"/>
      <c r="N296" s="41"/>
      <c r="O296" s="42"/>
      <c r="P296" s="41"/>
    </row>
    <row r="297" ht="15.75" customHeight="1">
      <c r="A297" s="39"/>
      <c r="B297" s="41"/>
      <c r="C297" s="41"/>
      <c r="D297" s="41"/>
      <c r="E297" s="41"/>
      <c r="F297" s="41"/>
      <c r="G297" s="41"/>
      <c r="H297" s="41"/>
      <c r="I297" s="41"/>
      <c r="J297" s="41"/>
      <c r="K297" s="41"/>
      <c r="L297" s="41"/>
      <c r="M297" s="41"/>
      <c r="N297" s="41"/>
      <c r="O297" s="42"/>
      <c r="P297" s="41"/>
    </row>
    <row r="298" ht="15.75" customHeight="1">
      <c r="A298" s="39"/>
      <c r="B298" s="41"/>
      <c r="C298" s="41"/>
      <c r="D298" s="41"/>
      <c r="E298" s="41"/>
      <c r="F298" s="41"/>
      <c r="G298" s="41"/>
      <c r="H298" s="41"/>
      <c r="I298" s="41"/>
      <c r="J298" s="41"/>
      <c r="K298" s="41"/>
      <c r="L298" s="41"/>
      <c r="M298" s="41"/>
      <c r="N298" s="41"/>
      <c r="O298" s="42"/>
      <c r="P298" s="41"/>
    </row>
    <row r="299" ht="15.75" customHeight="1">
      <c r="A299" s="39"/>
      <c r="B299" s="41"/>
      <c r="C299" s="41"/>
      <c r="D299" s="41"/>
      <c r="E299" s="41"/>
      <c r="F299" s="41"/>
      <c r="G299" s="41"/>
      <c r="H299" s="41"/>
      <c r="I299" s="41"/>
      <c r="J299" s="41"/>
      <c r="K299" s="41"/>
      <c r="L299" s="41"/>
      <c r="M299" s="41"/>
      <c r="N299" s="41"/>
      <c r="O299" s="42"/>
      <c r="P299" s="41"/>
    </row>
    <row r="300" ht="15.75" customHeight="1">
      <c r="A300" s="39"/>
      <c r="B300" s="41"/>
      <c r="C300" s="41"/>
      <c r="D300" s="41"/>
      <c r="E300" s="41"/>
      <c r="F300" s="41"/>
      <c r="G300" s="41"/>
      <c r="H300" s="41"/>
      <c r="I300" s="41"/>
      <c r="J300" s="41"/>
      <c r="K300" s="41"/>
      <c r="L300" s="41"/>
      <c r="M300" s="41"/>
      <c r="N300" s="41"/>
      <c r="O300" s="42"/>
      <c r="P300" s="41"/>
    </row>
    <row r="301" ht="15.75" customHeight="1">
      <c r="A301" s="39"/>
      <c r="B301" s="41"/>
      <c r="C301" s="41"/>
      <c r="D301" s="41"/>
      <c r="E301" s="41"/>
      <c r="F301" s="41"/>
      <c r="G301" s="41"/>
      <c r="H301" s="41"/>
      <c r="I301" s="41"/>
      <c r="J301" s="41"/>
      <c r="K301" s="41"/>
      <c r="L301" s="41"/>
      <c r="M301" s="41"/>
      <c r="N301" s="41"/>
      <c r="O301" s="42"/>
      <c r="P301" s="41"/>
    </row>
    <row r="302" ht="15.75" customHeight="1">
      <c r="A302" s="39"/>
      <c r="B302" s="41"/>
      <c r="C302" s="41"/>
      <c r="D302" s="41"/>
      <c r="E302" s="41"/>
      <c r="F302" s="41"/>
      <c r="G302" s="41"/>
      <c r="H302" s="41"/>
      <c r="I302" s="41"/>
      <c r="J302" s="41"/>
      <c r="K302" s="41"/>
      <c r="L302" s="41"/>
      <c r="M302" s="41"/>
      <c r="N302" s="41"/>
      <c r="O302" s="42"/>
      <c r="P302" s="41"/>
    </row>
    <row r="303" ht="15.75" customHeight="1">
      <c r="A303" s="39"/>
      <c r="B303" s="41"/>
      <c r="C303" s="41"/>
      <c r="D303" s="41"/>
      <c r="E303" s="41"/>
      <c r="F303" s="41"/>
      <c r="G303" s="41"/>
      <c r="H303" s="41"/>
      <c r="I303" s="41"/>
      <c r="J303" s="41"/>
      <c r="K303" s="41"/>
      <c r="L303" s="41"/>
      <c r="M303" s="41"/>
      <c r="N303" s="41"/>
      <c r="O303" s="42"/>
      <c r="P303" s="41"/>
    </row>
    <row r="304" ht="15.75" customHeight="1">
      <c r="A304" s="39"/>
    </row>
    <row r="305" ht="15.75" customHeight="1">
      <c r="A305" s="39"/>
    </row>
    <row r="306" ht="15.75" customHeight="1">
      <c r="A306" s="39"/>
    </row>
    <row r="307" ht="15.75" customHeight="1">
      <c r="A307" s="39"/>
    </row>
    <row r="308" ht="15.75" customHeight="1">
      <c r="A308" s="39"/>
    </row>
    <row r="309" ht="15.75" customHeight="1">
      <c r="A309" s="39"/>
    </row>
    <row r="310" ht="15.75" customHeight="1">
      <c r="A310" s="39"/>
    </row>
    <row r="311" ht="15.75" customHeight="1">
      <c r="A311" s="39"/>
    </row>
    <row r="312" ht="15.75" customHeight="1">
      <c r="A312" s="39"/>
    </row>
    <row r="313" ht="15.75" customHeight="1">
      <c r="A313" s="39"/>
    </row>
    <row r="314" ht="15.75" customHeight="1">
      <c r="A314" s="39"/>
    </row>
    <row r="315" ht="15.75" customHeight="1">
      <c r="A315" s="39"/>
    </row>
    <row r="316" ht="15.75" customHeight="1">
      <c r="A316" s="39"/>
    </row>
    <row r="317" ht="15.75" customHeight="1">
      <c r="A317" s="39"/>
    </row>
    <row r="318" ht="15.75" customHeight="1">
      <c r="A318" s="39"/>
    </row>
    <row r="319" ht="15.75" customHeight="1">
      <c r="A319" s="39"/>
    </row>
    <row r="320" ht="15.75" customHeight="1">
      <c r="A320" s="39"/>
    </row>
    <row r="321" ht="15.75" customHeight="1">
      <c r="A321" s="39"/>
    </row>
    <row r="322" ht="15.75" customHeight="1">
      <c r="A322" s="39"/>
    </row>
    <row r="323" ht="15.75" customHeight="1">
      <c r="A323" s="39"/>
    </row>
    <row r="324" ht="15.75" customHeight="1">
      <c r="A324" s="39"/>
    </row>
    <row r="325" ht="15.75" customHeight="1">
      <c r="A325" s="39"/>
    </row>
    <row r="326" ht="15.75" customHeight="1">
      <c r="A326" s="39"/>
    </row>
    <row r="327" ht="15.75" customHeight="1">
      <c r="A327" s="39"/>
    </row>
    <row r="328" ht="15.75" customHeight="1">
      <c r="A328" s="39"/>
    </row>
    <row r="329" ht="15.75" customHeight="1">
      <c r="A329" s="39"/>
    </row>
    <row r="330" ht="15.75" customHeight="1">
      <c r="A330" s="39"/>
    </row>
    <row r="331" ht="15.75" customHeight="1">
      <c r="A331" s="39"/>
    </row>
    <row r="332" ht="15.75" customHeight="1">
      <c r="A332" s="39"/>
    </row>
    <row r="333" ht="15.75" customHeight="1">
      <c r="A333" s="39"/>
    </row>
    <row r="334" ht="15.75" customHeight="1">
      <c r="A334" s="39"/>
    </row>
    <row r="335" ht="15.75" customHeight="1">
      <c r="A335" s="39"/>
    </row>
    <row r="336" ht="15.75" customHeight="1">
      <c r="A336" s="39"/>
    </row>
    <row r="337" ht="15.75" customHeight="1">
      <c r="A337" s="39"/>
    </row>
    <row r="338" ht="15.75" customHeight="1">
      <c r="A338" s="39"/>
    </row>
    <row r="339" ht="15.75" customHeight="1">
      <c r="A339" s="39"/>
    </row>
    <row r="340" ht="15.75" customHeight="1">
      <c r="A340" s="39"/>
    </row>
    <row r="341" ht="15.75" customHeight="1">
      <c r="A341" s="39"/>
    </row>
    <row r="342" ht="15.75" customHeight="1">
      <c r="A342" s="39"/>
    </row>
    <row r="343" ht="15.75" customHeight="1">
      <c r="A343" s="39"/>
    </row>
    <row r="344" ht="15.75" customHeight="1">
      <c r="A344" s="39"/>
    </row>
    <row r="345" ht="15.75" customHeight="1">
      <c r="A345" s="39"/>
    </row>
    <row r="346" ht="15.75" customHeight="1">
      <c r="A346" s="39"/>
    </row>
    <row r="347" ht="15.75" customHeight="1">
      <c r="A347" s="39"/>
    </row>
    <row r="348" ht="15.75" customHeight="1">
      <c r="A348" s="39"/>
    </row>
    <row r="349" ht="15.75" customHeight="1">
      <c r="A349" s="39"/>
    </row>
    <row r="350" ht="15.75" customHeight="1">
      <c r="A350" s="39"/>
    </row>
    <row r="351" ht="15.75" customHeight="1">
      <c r="A351" s="39"/>
    </row>
    <row r="352" ht="15.75" customHeight="1">
      <c r="A352" s="39"/>
    </row>
    <row r="353" ht="15.75" customHeight="1">
      <c r="A353" s="39"/>
    </row>
    <row r="354" ht="15.75" customHeight="1">
      <c r="A354" s="39"/>
    </row>
    <row r="355" ht="15.75" customHeight="1">
      <c r="A355" s="39"/>
    </row>
    <row r="356" ht="15.75" customHeight="1">
      <c r="A356" s="39"/>
    </row>
    <row r="357" ht="15.75" customHeight="1">
      <c r="A357" s="39"/>
    </row>
    <row r="358" ht="15.75" customHeight="1">
      <c r="A358" s="39"/>
    </row>
    <row r="359" ht="15.75" customHeight="1">
      <c r="A359" s="39"/>
    </row>
    <row r="360" ht="15.75" customHeight="1">
      <c r="A360" s="39"/>
    </row>
    <row r="361" ht="15.75" customHeight="1">
      <c r="A361" s="39"/>
    </row>
    <row r="362" ht="15.75" customHeight="1">
      <c r="A362" s="39"/>
    </row>
    <row r="363" ht="15.75" customHeight="1">
      <c r="A363" s="39"/>
    </row>
    <row r="364" ht="15.75" customHeight="1">
      <c r="A364" s="39"/>
    </row>
    <row r="365" ht="15.75" customHeight="1">
      <c r="A365" s="39"/>
    </row>
    <row r="366" ht="15.75" customHeight="1">
      <c r="A366" s="39"/>
    </row>
    <row r="367" ht="15.75" customHeight="1">
      <c r="A367" s="39"/>
    </row>
    <row r="368" ht="15.75" customHeight="1">
      <c r="A368" s="39"/>
    </row>
    <row r="369" ht="15.75" customHeight="1">
      <c r="A369" s="39"/>
    </row>
    <row r="370" ht="15.75" customHeight="1">
      <c r="A370" s="39"/>
    </row>
    <row r="371" ht="15.75" customHeight="1">
      <c r="A371" s="39"/>
    </row>
    <row r="372" ht="15.75" customHeight="1">
      <c r="A372" s="39"/>
    </row>
    <row r="373" ht="15.75" customHeight="1">
      <c r="A373" s="39"/>
    </row>
    <row r="374" ht="15.75" customHeight="1">
      <c r="A374" s="39"/>
    </row>
    <row r="375" ht="15.75" customHeight="1">
      <c r="A375" s="39"/>
    </row>
    <row r="376" ht="15.75" customHeight="1">
      <c r="A376" s="39"/>
    </row>
    <row r="377" ht="15.75" customHeight="1">
      <c r="A377" s="39"/>
    </row>
    <row r="378" ht="15.75" customHeight="1">
      <c r="A378" s="39"/>
    </row>
    <row r="379" ht="15.75" customHeight="1">
      <c r="A379" s="39"/>
    </row>
    <row r="380" ht="15.75" customHeight="1">
      <c r="A380" s="39"/>
    </row>
    <row r="381" ht="15.75" customHeight="1">
      <c r="A381" s="39"/>
    </row>
    <row r="382" ht="15.75" customHeight="1">
      <c r="A382" s="39"/>
    </row>
    <row r="383" ht="15.75" customHeight="1">
      <c r="A383" s="39"/>
    </row>
    <row r="384" ht="15.75" customHeight="1">
      <c r="A384" s="39"/>
    </row>
    <row r="385" ht="15.75" customHeight="1">
      <c r="A385" s="39"/>
    </row>
    <row r="386" ht="15.75" customHeight="1">
      <c r="A386" s="39"/>
    </row>
    <row r="387" ht="15.75" customHeight="1">
      <c r="A387" s="39"/>
    </row>
    <row r="388" ht="15.75" customHeight="1">
      <c r="A388" s="39"/>
    </row>
    <row r="389" ht="15.75" customHeight="1">
      <c r="A389" s="39"/>
    </row>
    <row r="390" ht="15.75" customHeight="1">
      <c r="A390" s="39"/>
    </row>
    <row r="391" ht="15.75" customHeight="1">
      <c r="A391" s="39"/>
    </row>
    <row r="392" ht="15.75" customHeight="1">
      <c r="A392" s="39"/>
    </row>
    <row r="393" ht="15.75" customHeight="1">
      <c r="A393" s="39"/>
    </row>
    <row r="394" ht="15.75" customHeight="1">
      <c r="A394" s="39"/>
    </row>
    <row r="395" ht="15.75" customHeight="1">
      <c r="A395" s="39"/>
    </row>
    <row r="396" ht="15.75" customHeight="1">
      <c r="A396" s="39"/>
    </row>
    <row r="397" ht="15.75" customHeight="1">
      <c r="A397" s="39"/>
    </row>
    <row r="398" ht="15.75" customHeight="1">
      <c r="A398" s="39"/>
    </row>
    <row r="399" ht="15.75" customHeight="1">
      <c r="A399" s="39"/>
    </row>
    <row r="400" ht="15.75" customHeight="1">
      <c r="A400" s="39"/>
    </row>
    <row r="401" ht="15.75" customHeight="1">
      <c r="A401" s="39"/>
    </row>
    <row r="402" ht="15.75" customHeight="1">
      <c r="A402" s="39"/>
    </row>
    <row r="403" ht="15.75" customHeight="1">
      <c r="A403" s="39"/>
    </row>
    <row r="404" ht="15.75" customHeight="1">
      <c r="A404" s="39"/>
    </row>
    <row r="405" ht="15.75" customHeight="1">
      <c r="A405" s="39"/>
    </row>
    <row r="406" ht="15.75" customHeight="1">
      <c r="A406" s="39"/>
    </row>
    <row r="407" ht="15.75" customHeight="1">
      <c r="A407" s="39"/>
    </row>
    <row r="408" ht="15.75" customHeight="1">
      <c r="A408" s="39"/>
    </row>
    <row r="409" ht="15.75" customHeight="1">
      <c r="A409" s="39"/>
    </row>
    <row r="410" ht="15.75" customHeight="1">
      <c r="A410" s="39"/>
    </row>
    <row r="411" ht="15.75" customHeight="1">
      <c r="A411" s="39"/>
    </row>
    <row r="412" ht="15.75" customHeight="1">
      <c r="A412" s="39"/>
    </row>
    <row r="413" ht="15.75" customHeight="1">
      <c r="A413" s="39"/>
    </row>
    <row r="414" ht="15.75" customHeight="1">
      <c r="A414" s="39"/>
    </row>
    <row r="415" ht="15.75" customHeight="1">
      <c r="A415" s="39"/>
    </row>
    <row r="416" ht="15.75" customHeight="1">
      <c r="A416" s="39"/>
    </row>
    <row r="417" ht="15.75" customHeight="1">
      <c r="A417" s="39"/>
    </row>
    <row r="418" ht="15.75" customHeight="1">
      <c r="A418" s="39"/>
    </row>
    <row r="419" ht="15.75" customHeight="1">
      <c r="A419" s="39"/>
    </row>
    <row r="420" ht="15.75" customHeight="1">
      <c r="A420" s="39"/>
    </row>
    <row r="421" ht="15.75" customHeight="1">
      <c r="A421" s="39"/>
    </row>
    <row r="422" ht="15.75" customHeight="1">
      <c r="A422" s="39"/>
    </row>
    <row r="423" ht="15.75" customHeight="1">
      <c r="A423" s="39"/>
    </row>
    <row r="424" ht="15.75" customHeight="1">
      <c r="A424" s="39"/>
    </row>
    <row r="425" ht="15.75" customHeight="1">
      <c r="A425" s="39"/>
    </row>
    <row r="426" ht="15.75" customHeight="1">
      <c r="A426" s="39"/>
    </row>
    <row r="427" ht="15.75" customHeight="1">
      <c r="A427" s="39"/>
    </row>
    <row r="428" ht="15.75" customHeight="1">
      <c r="A428" s="39"/>
    </row>
    <row r="429" ht="15.75" customHeight="1">
      <c r="A429" s="39"/>
    </row>
    <row r="430" ht="15.75" customHeight="1">
      <c r="A430" s="39"/>
    </row>
    <row r="431" ht="15.75" customHeight="1">
      <c r="A431" s="39"/>
    </row>
    <row r="432" ht="15.75" customHeight="1">
      <c r="A432" s="39"/>
    </row>
    <row r="433" ht="15.75" customHeight="1">
      <c r="A433" s="39"/>
    </row>
    <row r="434" ht="15.75" customHeight="1">
      <c r="A434" s="39"/>
    </row>
    <row r="435" ht="15.75" customHeight="1">
      <c r="A435" s="39"/>
    </row>
    <row r="436" ht="15.75" customHeight="1">
      <c r="A436" s="39"/>
    </row>
    <row r="437" ht="15.75" customHeight="1">
      <c r="A437" s="39"/>
    </row>
    <row r="438" ht="15.75" customHeight="1">
      <c r="A438" s="39"/>
    </row>
    <row r="439" ht="15.75" customHeight="1">
      <c r="A439" s="39"/>
    </row>
    <row r="440" ht="15.75" customHeight="1">
      <c r="A440" s="39"/>
    </row>
    <row r="441" ht="15.75" customHeight="1">
      <c r="A441" s="39"/>
    </row>
    <row r="442" ht="15.75" customHeight="1">
      <c r="A442" s="39"/>
    </row>
    <row r="443" ht="15.75" customHeight="1">
      <c r="A443" s="39"/>
    </row>
    <row r="444" ht="15.75" customHeight="1">
      <c r="A444" s="39"/>
    </row>
    <row r="445" ht="15.75" customHeight="1">
      <c r="A445" s="39"/>
    </row>
    <row r="446" ht="15.75" customHeight="1">
      <c r="A446" s="39"/>
    </row>
    <row r="447" ht="15.75" customHeight="1">
      <c r="A447" s="39"/>
    </row>
    <row r="448" ht="15.75" customHeight="1">
      <c r="A448" s="39"/>
    </row>
    <row r="449" ht="15.75" customHeight="1">
      <c r="A449" s="39"/>
    </row>
    <row r="450" ht="15.75" customHeight="1">
      <c r="A450" s="39"/>
    </row>
    <row r="451" ht="15.75" customHeight="1">
      <c r="A451" s="39"/>
    </row>
    <row r="452" ht="15.75" customHeight="1">
      <c r="A452" s="39"/>
    </row>
    <row r="453" ht="15.75" customHeight="1">
      <c r="A453" s="39"/>
    </row>
    <row r="454" ht="15.75" customHeight="1">
      <c r="A454" s="39"/>
    </row>
    <row r="455" ht="15.75" customHeight="1">
      <c r="A455" s="39"/>
    </row>
    <row r="456" ht="15.75" customHeight="1">
      <c r="A456" s="39"/>
    </row>
    <row r="457" ht="15.75" customHeight="1">
      <c r="A457" s="39"/>
    </row>
    <row r="458" ht="15.75" customHeight="1">
      <c r="A458" s="39"/>
    </row>
    <row r="459" ht="15.75" customHeight="1">
      <c r="A459" s="39"/>
    </row>
    <row r="460" ht="15.75" customHeight="1">
      <c r="A460" s="39"/>
    </row>
    <row r="461" ht="15.75" customHeight="1">
      <c r="A461" s="39"/>
    </row>
    <row r="462" ht="15.75" customHeight="1">
      <c r="A462" s="39"/>
    </row>
    <row r="463" ht="15.75" customHeight="1">
      <c r="A463" s="39"/>
    </row>
    <row r="464" ht="15.75" customHeight="1">
      <c r="A464" s="39"/>
    </row>
    <row r="465" ht="15.75" customHeight="1">
      <c r="A465" s="39"/>
    </row>
    <row r="466" ht="15.75" customHeight="1">
      <c r="A466" s="39"/>
    </row>
    <row r="467" ht="15.75" customHeight="1">
      <c r="A467" s="39"/>
    </row>
    <row r="468" ht="15.75" customHeight="1">
      <c r="A468" s="39"/>
    </row>
    <row r="469" ht="15.75" customHeight="1">
      <c r="A469" s="39"/>
    </row>
    <row r="470" ht="15.75" customHeight="1">
      <c r="A470" s="39"/>
    </row>
    <row r="471" ht="15.75" customHeight="1">
      <c r="A471" s="39"/>
    </row>
    <row r="472" ht="15.75" customHeight="1">
      <c r="A472" s="39"/>
    </row>
    <row r="473" ht="15.75" customHeight="1">
      <c r="A473" s="39"/>
    </row>
    <row r="474" ht="15.75" customHeight="1">
      <c r="A474" s="39"/>
    </row>
    <row r="475" ht="15.75" customHeight="1">
      <c r="A475" s="39"/>
    </row>
    <row r="476" ht="15.75" customHeight="1">
      <c r="A476" s="39"/>
    </row>
    <row r="477" ht="15.75" customHeight="1">
      <c r="A477" s="39"/>
    </row>
    <row r="478" ht="15.75" customHeight="1">
      <c r="A478" s="39"/>
    </row>
    <row r="479" ht="15.75" customHeight="1">
      <c r="A479" s="39"/>
    </row>
    <row r="480" ht="15.75" customHeight="1">
      <c r="A480" s="39"/>
    </row>
    <row r="481" ht="15.75" customHeight="1">
      <c r="A481" s="39"/>
    </row>
    <row r="482" ht="15.75" customHeight="1">
      <c r="A482" s="39"/>
    </row>
    <row r="483" ht="15.75" customHeight="1">
      <c r="A483" s="39"/>
    </row>
    <row r="484" ht="15.75" customHeight="1">
      <c r="A484" s="39"/>
    </row>
    <row r="485" ht="15.75" customHeight="1">
      <c r="A485" s="39"/>
    </row>
    <row r="486" ht="15.75" customHeight="1">
      <c r="A486" s="39"/>
    </row>
    <row r="487" ht="15.75" customHeight="1">
      <c r="A487" s="39"/>
    </row>
    <row r="488" ht="15.75" customHeight="1">
      <c r="A488" s="39"/>
    </row>
    <row r="489" ht="15.75" customHeight="1">
      <c r="A489" s="39"/>
    </row>
    <row r="490" ht="15.75" customHeight="1">
      <c r="A490" s="39"/>
    </row>
    <row r="491" ht="15.75" customHeight="1">
      <c r="A491" s="39"/>
    </row>
    <row r="492" ht="15.75" customHeight="1">
      <c r="A492" s="39"/>
    </row>
    <row r="493" ht="15.75" customHeight="1">
      <c r="A493" s="39"/>
    </row>
    <row r="494" ht="15.75" customHeight="1">
      <c r="A494" s="39"/>
    </row>
    <row r="495" ht="15.75" customHeight="1">
      <c r="A495" s="39"/>
    </row>
    <row r="496" ht="15.75" customHeight="1">
      <c r="A496" s="39"/>
    </row>
    <row r="497" ht="15.75" customHeight="1">
      <c r="A497" s="39"/>
    </row>
    <row r="498" ht="15.75" customHeight="1">
      <c r="A498" s="39"/>
    </row>
    <row r="499" ht="15.75" customHeight="1">
      <c r="A499" s="39"/>
    </row>
    <row r="500" ht="15.75" customHeight="1">
      <c r="A500" s="39"/>
    </row>
    <row r="501" ht="15.75" customHeight="1">
      <c r="A501" s="39"/>
    </row>
    <row r="502" ht="15.75" customHeight="1">
      <c r="A502" s="39"/>
    </row>
    <row r="503" ht="15.75" customHeight="1">
      <c r="A503" s="39"/>
    </row>
    <row r="504" ht="15.75" customHeight="1">
      <c r="A504" s="39"/>
    </row>
    <row r="505" ht="15.75" customHeight="1">
      <c r="A505" s="39"/>
    </row>
    <row r="506" ht="15.75" customHeight="1">
      <c r="A506" s="39"/>
    </row>
    <row r="507" ht="15.75" customHeight="1">
      <c r="A507" s="39"/>
    </row>
    <row r="508" ht="15.75" customHeight="1">
      <c r="A508" s="39"/>
    </row>
    <row r="509" ht="15.75" customHeight="1">
      <c r="A509" s="39"/>
    </row>
    <row r="510" ht="15.75" customHeight="1">
      <c r="A510" s="39"/>
    </row>
    <row r="511" ht="15.75" customHeight="1">
      <c r="A511" s="39"/>
    </row>
    <row r="512" ht="15.75" customHeight="1">
      <c r="A512" s="39"/>
    </row>
    <row r="513" ht="15.75" customHeight="1">
      <c r="A513" s="39"/>
    </row>
    <row r="514" ht="15.75" customHeight="1">
      <c r="A514" s="39"/>
    </row>
    <row r="515" ht="15.75" customHeight="1">
      <c r="A515" s="39"/>
    </row>
    <row r="516" ht="15.75" customHeight="1">
      <c r="A516" s="39"/>
    </row>
    <row r="517" ht="15.75" customHeight="1">
      <c r="A517" s="39"/>
    </row>
    <row r="518" ht="15.75" customHeight="1">
      <c r="A518" s="39"/>
    </row>
    <row r="519" ht="15.75" customHeight="1">
      <c r="A519" s="39"/>
    </row>
    <row r="520" ht="15.75" customHeight="1">
      <c r="A520" s="39"/>
    </row>
    <row r="521" ht="15.75" customHeight="1">
      <c r="A521" s="39"/>
    </row>
    <row r="522" ht="15.75" customHeight="1">
      <c r="A522" s="39"/>
    </row>
    <row r="523" ht="15.75" customHeight="1">
      <c r="A523" s="39"/>
    </row>
    <row r="524" ht="15.75" customHeight="1">
      <c r="A524" s="39"/>
    </row>
    <row r="525" ht="15.75" customHeight="1">
      <c r="A525" s="39"/>
    </row>
    <row r="526" ht="15.75" customHeight="1">
      <c r="A526" s="39"/>
    </row>
    <row r="527" ht="15.75" customHeight="1">
      <c r="A527" s="39"/>
    </row>
    <row r="528" ht="15.75" customHeight="1">
      <c r="A528" s="39"/>
    </row>
    <row r="529" ht="15.75" customHeight="1">
      <c r="A529" s="39"/>
    </row>
    <row r="530" ht="15.75" customHeight="1">
      <c r="A530" s="39"/>
    </row>
    <row r="531" ht="15.75" customHeight="1">
      <c r="A531" s="39"/>
    </row>
    <row r="532" ht="15.75" customHeight="1">
      <c r="A532" s="39"/>
    </row>
    <row r="533" ht="15.75" customHeight="1">
      <c r="A533" s="39"/>
    </row>
    <row r="534" ht="15.75" customHeight="1">
      <c r="A534" s="39"/>
    </row>
    <row r="535" ht="15.75" customHeight="1">
      <c r="A535" s="39"/>
    </row>
    <row r="536" ht="15.75" customHeight="1">
      <c r="A536" s="39"/>
    </row>
    <row r="537" ht="15.75" customHeight="1">
      <c r="A537" s="39"/>
    </row>
    <row r="538" ht="15.75" customHeight="1">
      <c r="A538" s="39"/>
    </row>
    <row r="539" ht="15.75" customHeight="1">
      <c r="A539" s="39"/>
    </row>
    <row r="540" ht="15.75" customHeight="1">
      <c r="A540" s="39"/>
    </row>
    <row r="541" ht="15.75" customHeight="1">
      <c r="A541" s="39"/>
    </row>
    <row r="542" ht="15.75" customHeight="1">
      <c r="A542" s="39"/>
    </row>
    <row r="543" ht="15.75" customHeight="1">
      <c r="A543" s="39"/>
    </row>
    <row r="544" ht="15.75" customHeight="1">
      <c r="A544" s="39"/>
    </row>
    <row r="545" ht="15.75" customHeight="1">
      <c r="A545" s="39"/>
    </row>
    <row r="546" ht="15.75" customHeight="1">
      <c r="A546" s="39"/>
    </row>
    <row r="547" ht="15.75" customHeight="1">
      <c r="A547" s="39"/>
    </row>
    <row r="548" ht="15.75" customHeight="1">
      <c r="A548" s="39"/>
    </row>
    <row r="549" ht="15.75" customHeight="1">
      <c r="A549" s="39"/>
    </row>
    <row r="550" ht="15.75" customHeight="1">
      <c r="A550" s="39"/>
    </row>
    <row r="551" ht="15.75" customHeight="1">
      <c r="A551" s="39"/>
    </row>
    <row r="552" ht="15.75" customHeight="1">
      <c r="A552" s="39"/>
    </row>
    <row r="553" ht="15.75" customHeight="1">
      <c r="A553" s="39"/>
    </row>
    <row r="554" ht="15.75" customHeight="1">
      <c r="A554" s="39"/>
    </row>
    <row r="555" ht="15.75" customHeight="1">
      <c r="A555" s="39"/>
    </row>
    <row r="556" ht="15.75" customHeight="1">
      <c r="A556" s="39"/>
    </row>
    <row r="557" ht="15.75" customHeight="1">
      <c r="A557" s="39"/>
    </row>
    <row r="558" ht="15.75" customHeight="1">
      <c r="A558" s="39"/>
    </row>
    <row r="559" ht="15.75" customHeight="1">
      <c r="A559" s="39"/>
    </row>
    <row r="560" ht="15.75" customHeight="1">
      <c r="A560" s="39"/>
    </row>
    <row r="561" ht="15.75" customHeight="1">
      <c r="A561" s="39"/>
    </row>
    <row r="562" ht="15.75" customHeight="1">
      <c r="A562" s="39"/>
    </row>
    <row r="563" ht="15.75" customHeight="1">
      <c r="A563" s="39"/>
    </row>
    <row r="564" ht="15.75" customHeight="1">
      <c r="A564" s="39"/>
    </row>
    <row r="565" ht="15.75" customHeight="1">
      <c r="A565" s="39"/>
    </row>
    <row r="566" ht="15.75" customHeight="1">
      <c r="A566" s="39"/>
    </row>
    <row r="567" ht="15.75" customHeight="1">
      <c r="A567" s="39"/>
    </row>
    <row r="568" ht="15.75" customHeight="1">
      <c r="A568" s="39"/>
    </row>
    <row r="569" ht="15.75" customHeight="1">
      <c r="A569" s="39"/>
    </row>
    <row r="570" ht="15.75" customHeight="1">
      <c r="A570" s="39"/>
    </row>
    <row r="571" ht="15.75" customHeight="1">
      <c r="A571" s="39"/>
    </row>
    <row r="572" ht="15.75" customHeight="1">
      <c r="A572" s="39"/>
    </row>
    <row r="573" ht="15.75" customHeight="1">
      <c r="A573" s="39"/>
    </row>
    <row r="574" ht="15.75" customHeight="1">
      <c r="A574" s="39"/>
    </row>
    <row r="575" ht="15.75" customHeight="1">
      <c r="A575" s="39"/>
    </row>
    <row r="576" ht="15.75" customHeight="1">
      <c r="A576" s="39"/>
    </row>
    <row r="577" ht="15.75" customHeight="1">
      <c r="A577" s="39"/>
    </row>
    <row r="578" ht="15.75" customHeight="1">
      <c r="A578" s="39"/>
    </row>
    <row r="579" ht="15.75" customHeight="1">
      <c r="A579" s="39"/>
    </row>
    <row r="580" ht="15.75" customHeight="1">
      <c r="A580" s="39"/>
    </row>
    <row r="581" ht="15.75" customHeight="1">
      <c r="A581" s="39"/>
    </row>
    <row r="582" ht="15.75" customHeight="1">
      <c r="A582" s="39"/>
    </row>
    <row r="583" ht="15.75" customHeight="1">
      <c r="A583" s="39"/>
    </row>
    <row r="584" ht="15.75" customHeight="1">
      <c r="A584" s="39"/>
    </row>
    <row r="585" ht="15.75" customHeight="1">
      <c r="A585" s="39"/>
    </row>
    <row r="586" ht="15.75" customHeight="1">
      <c r="A586" s="39"/>
    </row>
    <row r="587" ht="15.75" customHeight="1">
      <c r="A587" s="39"/>
    </row>
    <row r="588" ht="15.75" customHeight="1">
      <c r="A588" s="39"/>
    </row>
    <row r="589" ht="15.75" customHeight="1">
      <c r="A589" s="39"/>
    </row>
    <row r="590" ht="15.75" customHeight="1">
      <c r="A590" s="39"/>
    </row>
    <row r="591" ht="15.75" customHeight="1">
      <c r="A591" s="39"/>
    </row>
    <row r="592" ht="15.75" customHeight="1">
      <c r="A592" s="39"/>
    </row>
    <row r="593" ht="15.75" customHeight="1">
      <c r="A593" s="39"/>
    </row>
    <row r="594" ht="15.75" customHeight="1">
      <c r="A594" s="39"/>
    </row>
    <row r="595" ht="15.75" customHeight="1">
      <c r="A595" s="39"/>
    </row>
    <row r="596" ht="15.75" customHeight="1">
      <c r="A596" s="39"/>
    </row>
    <row r="597" ht="15.75" customHeight="1">
      <c r="A597" s="39"/>
    </row>
    <row r="598" ht="15.75" customHeight="1">
      <c r="A598" s="39"/>
    </row>
    <row r="599" ht="15.75" customHeight="1">
      <c r="A599" s="39"/>
    </row>
    <row r="600" ht="15.75" customHeight="1">
      <c r="A600" s="39"/>
    </row>
    <row r="601" ht="15.75" customHeight="1">
      <c r="A601" s="39"/>
    </row>
    <row r="602" ht="15.75" customHeight="1">
      <c r="A602" s="39"/>
    </row>
    <row r="603" ht="15.75" customHeight="1">
      <c r="A603" s="39"/>
    </row>
    <row r="604" ht="15.75" customHeight="1">
      <c r="A604" s="39"/>
    </row>
    <row r="605" ht="15.75" customHeight="1">
      <c r="A605" s="39"/>
    </row>
    <row r="606" ht="15.75" customHeight="1">
      <c r="A606" s="39"/>
    </row>
    <row r="607" ht="15.75" customHeight="1">
      <c r="A607" s="39"/>
    </row>
    <row r="608" ht="15.75" customHeight="1">
      <c r="A608" s="39"/>
    </row>
    <row r="609" ht="15.75" customHeight="1">
      <c r="A609" s="39"/>
    </row>
    <row r="610" ht="15.75" customHeight="1">
      <c r="A610" s="39"/>
    </row>
    <row r="611" ht="15.75" customHeight="1">
      <c r="A611" s="39"/>
    </row>
    <row r="612" ht="15.75" customHeight="1">
      <c r="A612" s="39"/>
    </row>
    <row r="613" ht="15.75" customHeight="1">
      <c r="A613" s="39"/>
    </row>
    <row r="614" ht="15.75" customHeight="1">
      <c r="A614" s="39"/>
    </row>
    <row r="615" ht="15.75" customHeight="1">
      <c r="A615" s="39"/>
    </row>
    <row r="616" ht="15.75" customHeight="1">
      <c r="A616" s="39"/>
    </row>
    <row r="617" ht="15.75" customHeight="1">
      <c r="A617" s="39"/>
    </row>
    <row r="618" ht="15.75" customHeight="1">
      <c r="A618" s="39"/>
    </row>
    <row r="619" ht="15.75" customHeight="1">
      <c r="A619" s="39"/>
    </row>
    <row r="620" ht="15.75" customHeight="1">
      <c r="A620" s="39"/>
    </row>
    <row r="621" ht="15.75" customHeight="1">
      <c r="A621" s="39"/>
    </row>
    <row r="622" ht="15.75" customHeight="1">
      <c r="A622" s="39"/>
    </row>
    <row r="623" ht="15.75" customHeight="1">
      <c r="A623" s="39"/>
    </row>
    <row r="624" ht="15.75" customHeight="1">
      <c r="A624" s="39"/>
    </row>
    <row r="625" ht="15.75" customHeight="1">
      <c r="A625" s="39"/>
    </row>
    <row r="626" ht="15.75" customHeight="1">
      <c r="A626" s="39"/>
    </row>
    <row r="627" ht="15.75" customHeight="1">
      <c r="A627" s="39"/>
    </row>
    <row r="628" ht="15.75" customHeight="1">
      <c r="A628" s="39"/>
    </row>
    <row r="629" ht="15.75" customHeight="1">
      <c r="A629" s="39"/>
    </row>
    <row r="630" ht="15.75" customHeight="1">
      <c r="A630" s="39"/>
    </row>
    <row r="631" ht="15.75" customHeight="1">
      <c r="A631" s="39"/>
    </row>
    <row r="632" ht="15.75" customHeight="1">
      <c r="A632" s="39"/>
    </row>
    <row r="633" ht="15.75" customHeight="1">
      <c r="A633" s="39"/>
    </row>
    <row r="634" ht="15.75" customHeight="1">
      <c r="A634" s="39"/>
    </row>
    <row r="635" ht="15.75" customHeight="1">
      <c r="A635" s="39"/>
    </row>
    <row r="636" ht="15.75" customHeight="1">
      <c r="A636" s="39"/>
    </row>
    <row r="637" ht="15.75" customHeight="1">
      <c r="A637" s="39"/>
    </row>
    <row r="638" ht="15.75" customHeight="1">
      <c r="A638" s="39"/>
    </row>
    <row r="639" ht="15.75" customHeight="1">
      <c r="A639" s="39"/>
    </row>
    <row r="640" ht="15.75" customHeight="1">
      <c r="A640" s="39"/>
    </row>
    <row r="641" ht="15.75" customHeight="1">
      <c r="A641" s="39"/>
    </row>
    <row r="642" ht="15.75" customHeight="1">
      <c r="A642" s="39"/>
    </row>
    <row r="643" ht="15.75" customHeight="1">
      <c r="A643" s="39"/>
    </row>
    <row r="644" ht="15.75" customHeight="1">
      <c r="A644" s="39"/>
    </row>
    <row r="645" ht="15.75" customHeight="1">
      <c r="A645" s="39"/>
    </row>
    <row r="646" ht="15.75" customHeight="1">
      <c r="A646" s="39"/>
    </row>
    <row r="647" ht="15.75" customHeight="1">
      <c r="A647" s="39"/>
    </row>
    <row r="648" ht="15.75" customHeight="1">
      <c r="A648" s="39"/>
    </row>
    <row r="649" ht="15.75" customHeight="1">
      <c r="A649" s="39"/>
    </row>
    <row r="650" ht="15.75" customHeight="1">
      <c r="A650" s="39"/>
    </row>
    <row r="651" ht="15.75" customHeight="1">
      <c r="A651" s="39"/>
    </row>
    <row r="652" ht="15.75" customHeight="1">
      <c r="A652" s="39"/>
    </row>
    <row r="653" ht="15.75" customHeight="1">
      <c r="A653" s="39"/>
    </row>
    <row r="654" ht="15.75" customHeight="1">
      <c r="A654" s="39"/>
    </row>
    <row r="655" ht="15.75" customHeight="1">
      <c r="A655" s="39"/>
    </row>
    <row r="656" ht="15.75" customHeight="1">
      <c r="A656" s="39"/>
    </row>
    <row r="657" ht="15.75" customHeight="1">
      <c r="A657" s="39"/>
    </row>
    <row r="658" ht="15.75" customHeight="1">
      <c r="A658" s="39"/>
    </row>
    <row r="659" ht="15.75" customHeight="1">
      <c r="A659" s="39"/>
    </row>
    <row r="660" ht="15.75" customHeight="1">
      <c r="A660" s="39"/>
    </row>
    <row r="661" ht="15.75" customHeight="1">
      <c r="A661" s="39"/>
    </row>
    <row r="662" ht="15.75" customHeight="1">
      <c r="A662" s="39"/>
    </row>
    <row r="663" ht="15.75" customHeight="1">
      <c r="A663" s="39"/>
    </row>
    <row r="664" ht="15.75" customHeight="1">
      <c r="A664" s="39"/>
    </row>
    <row r="665" ht="15.75" customHeight="1">
      <c r="A665" s="39"/>
    </row>
    <row r="666" ht="15.75" customHeight="1">
      <c r="A666" s="39"/>
    </row>
    <row r="667" ht="15.75" customHeight="1">
      <c r="A667" s="39"/>
    </row>
    <row r="668" ht="15.75" customHeight="1">
      <c r="A668" s="39"/>
    </row>
    <row r="669" ht="15.75" customHeight="1">
      <c r="A669" s="39"/>
    </row>
    <row r="670" ht="15.75" customHeight="1">
      <c r="A670" s="39"/>
    </row>
    <row r="671" ht="15.75" customHeight="1">
      <c r="A671" s="39"/>
    </row>
    <row r="672" ht="15.75" customHeight="1">
      <c r="A672" s="39"/>
    </row>
    <row r="673" ht="15.75" customHeight="1">
      <c r="A673" s="39"/>
    </row>
    <row r="674" ht="15.75" customHeight="1">
      <c r="A674" s="39"/>
    </row>
    <row r="675" ht="15.75" customHeight="1">
      <c r="A675" s="39"/>
    </row>
    <row r="676" ht="15.75" customHeight="1">
      <c r="A676" s="39"/>
    </row>
    <row r="677" ht="15.75" customHeight="1">
      <c r="A677" s="39"/>
    </row>
    <row r="678" ht="15.75" customHeight="1">
      <c r="A678" s="39"/>
    </row>
    <row r="679" ht="15.75" customHeight="1">
      <c r="A679" s="39"/>
    </row>
    <row r="680" ht="15.75" customHeight="1">
      <c r="A680" s="39"/>
    </row>
    <row r="681" ht="15.75" customHeight="1">
      <c r="A681" s="39"/>
    </row>
    <row r="682" ht="15.75" customHeight="1">
      <c r="A682" s="39"/>
    </row>
    <row r="683" ht="15.75" customHeight="1">
      <c r="A683" s="39"/>
    </row>
    <row r="684" ht="15.75" customHeight="1">
      <c r="A684" s="39"/>
    </row>
    <row r="685" ht="15.75" customHeight="1">
      <c r="A685" s="39"/>
    </row>
    <row r="686" ht="15.75" customHeight="1">
      <c r="A686" s="39"/>
    </row>
    <row r="687" ht="15.75" customHeight="1">
      <c r="A687" s="39"/>
    </row>
    <row r="688" ht="15.75" customHeight="1">
      <c r="A688" s="39"/>
    </row>
    <row r="689" ht="15.75" customHeight="1">
      <c r="A689" s="39"/>
    </row>
    <row r="690" ht="15.75" customHeight="1">
      <c r="A690" s="39"/>
    </row>
    <row r="691" ht="15.75" customHeight="1">
      <c r="A691" s="39"/>
    </row>
    <row r="692" ht="15.75" customHeight="1">
      <c r="A692" s="39"/>
    </row>
    <row r="693" ht="15.75" customHeight="1">
      <c r="A693" s="39"/>
    </row>
    <row r="694" ht="15.75" customHeight="1">
      <c r="A694" s="39"/>
    </row>
    <row r="695" ht="15.75" customHeight="1">
      <c r="A695" s="39"/>
    </row>
    <row r="696" ht="15.75" customHeight="1">
      <c r="A696" s="39"/>
    </row>
    <row r="697" ht="15.75" customHeight="1">
      <c r="A697" s="39"/>
    </row>
    <row r="698" ht="15.75" customHeight="1">
      <c r="A698" s="39"/>
    </row>
    <row r="699" ht="15.75" customHeight="1">
      <c r="A699" s="39"/>
    </row>
    <row r="700" ht="15.75" customHeight="1">
      <c r="A700" s="39"/>
    </row>
    <row r="701" ht="15.75" customHeight="1">
      <c r="A701" s="39"/>
    </row>
    <row r="702" ht="15.75" customHeight="1">
      <c r="A702" s="39"/>
    </row>
    <row r="703" ht="15.75" customHeight="1">
      <c r="A703" s="39"/>
    </row>
    <row r="704" ht="15.75" customHeight="1">
      <c r="A704" s="39"/>
    </row>
    <row r="705" ht="15.75" customHeight="1">
      <c r="A705" s="39"/>
    </row>
    <row r="706" ht="15.75" customHeight="1">
      <c r="A706" s="39"/>
    </row>
    <row r="707" ht="15.75" customHeight="1">
      <c r="A707" s="39"/>
    </row>
    <row r="708" ht="15.75" customHeight="1">
      <c r="A708" s="39"/>
    </row>
    <row r="709" ht="15.75" customHeight="1">
      <c r="A709" s="39"/>
    </row>
    <row r="710" ht="15.75" customHeight="1">
      <c r="A710" s="39"/>
    </row>
    <row r="711" ht="15.75" customHeight="1">
      <c r="A711" s="39"/>
    </row>
    <row r="712" ht="15.75" customHeight="1">
      <c r="A712" s="39"/>
    </row>
    <row r="713" ht="15.75" customHeight="1">
      <c r="A713" s="39"/>
    </row>
    <row r="714" ht="15.75" customHeight="1">
      <c r="A714" s="39"/>
    </row>
    <row r="715" ht="15.75" customHeight="1">
      <c r="A715" s="39"/>
    </row>
    <row r="716" ht="15.75" customHeight="1">
      <c r="A716" s="39"/>
    </row>
    <row r="717" ht="15.75" customHeight="1">
      <c r="A717" s="39"/>
    </row>
    <row r="718" ht="15.75" customHeight="1">
      <c r="A718" s="39"/>
    </row>
    <row r="719" ht="15.75" customHeight="1">
      <c r="A719" s="39"/>
    </row>
    <row r="720" ht="15.75" customHeight="1">
      <c r="A720" s="39"/>
    </row>
    <row r="721" ht="15.75" customHeight="1">
      <c r="A721" s="39"/>
    </row>
    <row r="722" ht="15.75" customHeight="1">
      <c r="A722" s="39"/>
    </row>
    <row r="723" ht="15.75" customHeight="1">
      <c r="A723" s="39"/>
    </row>
    <row r="724" ht="15.75" customHeight="1">
      <c r="A724" s="39"/>
    </row>
    <row r="725" ht="15.75" customHeight="1">
      <c r="A725" s="39"/>
    </row>
    <row r="726" ht="15.75" customHeight="1">
      <c r="A726" s="39"/>
    </row>
    <row r="727" ht="15.75" customHeight="1">
      <c r="A727" s="39"/>
    </row>
    <row r="728" ht="15.75" customHeight="1">
      <c r="A728" s="39"/>
    </row>
    <row r="729" ht="15.75" customHeight="1">
      <c r="A729" s="39"/>
    </row>
    <row r="730" ht="15.75" customHeight="1">
      <c r="A730" s="39"/>
    </row>
    <row r="731" ht="15.75" customHeight="1">
      <c r="A731" s="39"/>
    </row>
    <row r="732" ht="15.75" customHeight="1">
      <c r="A732" s="39"/>
    </row>
    <row r="733" ht="15.75" customHeight="1">
      <c r="A733" s="39"/>
    </row>
    <row r="734" ht="15.75" customHeight="1">
      <c r="A734" s="39"/>
    </row>
    <row r="735" ht="15.75" customHeight="1">
      <c r="A735" s="39"/>
    </row>
    <row r="736" ht="15.75" customHeight="1">
      <c r="A736" s="39"/>
    </row>
    <row r="737" ht="15.75" customHeight="1">
      <c r="A737" s="39"/>
    </row>
    <row r="738" ht="15.75" customHeight="1">
      <c r="A738" s="39"/>
    </row>
    <row r="739" ht="15.75" customHeight="1">
      <c r="A739" s="39"/>
    </row>
    <row r="740" ht="15.75" customHeight="1">
      <c r="A740" s="39"/>
    </row>
    <row r="741" ht="15.75" customHeight="1">
      <c r="A741" s="39"/>
    </row>
    <row r="742" ht="15.75" customHeight="1">
      <c r="A742" s="39"/>
    </row>
    <row r="743" ht="15.75" customHeight="1">
      <c r="A743" s="39"/>
    </row>
    <row r="744" ht="15.75" customHeight="1">
      <c r="A744" s="39"/>
    </row>
    <row r="745" ht="15.75" customHeight="1">
      <c r="A745" s="39"/>
    </row>
    <row r="746" ht="15.75" customHeight="1">
      <c r="A746" s="39"/>
    </row>
    <row r="747" ht="15.75" customHeight="1">
      <c r="A747" s="39"/>
    </row>
    <row r="748" ht="15.75" customHeight="1">
      <c r="A748" s="39"/>
    </row>
    <row r="749" ht="15.75" customHeight="1">
      <c r="A749" s="39"/>
    </row>
    <row r="750" ht="15.75" customHeight="1">
      <c r="A750" s="39"/>
    </row>
    <row r="751" ht="15.75" customHeight="1">
      <c r="A751" s="39"/>
    </row>
    <row r="752" ht="15.75" customHeight="1">
      <c r="A752" s="39"/>
    </row>
    <row r="753" ht="15.75" customHeight="1">
      <c r="A753" s="39"/>
    </row>
    <row r="754" ht="15.75" customHeight="1">
      <c r="A754" s="39"/>
    </row>
    <row r="755" ht="15.75" customHeight="1">
      <c r="A755" s="39"/>
    </row>
    <row r="756" ht="15.75" customHeight="1">
      <c r="A756" s="39"/>
    </row>
    <row r="757" ht="15.75" customHeight="1">
      <c r="A757" s="39"/>
    </row>
    <row r="758" ht="15.75" customHeight="1">
      <c r="A758" s="39"/>
    </row>
    <row r="759" ht="15.75" customHeight="1">
      <c r="A759" s="39"/>
    </row>
    <row r="760" ht="15.75" customHeight="1">
      <c r="A760" s="39"/>
    </row>
    <row r="761" ht="15.75" customHeight="1">
      <c r="A761" s="39"/>
    </row>
    <row r="762" ht="15.75" customHeight="1">
      <c r="A762" s="39"/>
    </row>
    <row r="763" ht="15.75" customHeight="1">
      <c r="A763" s="39"/>
    </row>
    <row r="764" ht="15.75" customHeight="1">
      <c r="A764" s="39"/>
    </row>
    <row r="765" ht="15.75" customHeight="1">
      <c r="A765" s="39"/>
    </row>
    <row r="766" ht="15.75" customHeight="1">
      <c r="A766" s="39"/>
    </row>
    <row r="767" ht="15.75" customHeight="1">
      <c r="A767" s="39"/>
    </row>
    <row r="768" ht="15.75" customHeight="1">
      <c r="A768" s="39"/>
    </row>
    <row r="769" ht="15.75" customHeight="1">
      <c r="A769" s="39"/>
    </row>
    <row r="770" ht="15.75" customHeight="1">
      <c r="A770" s="39"/>
    </row>
    <row r="771" ht="15.75" customHeight="1">
      <c r="A771" s="39"/>
    </row>
    <row r="772" ht="15.75" customHeight="1">
      <c r="A772" s="39"/>
    </row>
    <row r="773" ht="15.75" customHeight="1">
      <c r="A773" s="39"/>
    </row>
    <row r="774" ht="15.75" customHeight="1">
      <c r="A774" s="39"/>
    </row>
    <row r="775" ht="15.75" customHeight="1">
      <c r="A775" s="39"/>
    </row>
    <row r="776" ht="15.75" customHeight="1">
      <c r="A776" s="39"/>
    </row>
    <row r="777" ht="15.75" customHeight="1">
      <c r="A777" s="39"/>
    </row>
    <row r="778" ht="15.75" customHeight="1">
      <c r="A778" s="39"/>
    </row>
    <row r="779" ht="15.75" customHeight="1">
      <c r="A779" s="39"/>
    </row>
    <row r="780" ht="15.75" customHeight="1">
      <c r="A780" s="39"/>
    </row>
    <row r="781" ht="15.75" customHeight="1">
      <c r="A781" s="39"/>
    </row>
    <row r="782" ht="15.75" customHeight="1">
      <c r="A782" s="39"/>
    </row>
    <row r="783" ht="15.75" customHeight="1">
      <c r="A783" s="39"/>
    </row>
    <row r="784" ht="15.75" customHeight="1">
      <c r="A784" s="39"/>
    </row>
    <row r="785" ht="15.75" customHeight="1">
      <c r="A785" s="39"/>
    </row>
    <row r="786" ht="15.75" customHeight="1">
      <c r="A786" s="39"/>
    </row>
    <row r="787" ht="15.75" customHeight="1">
      <c r="A787" s="39"/>
    </row>
    <row r="788" ht="15.75" customHeight="1">
      <c r="A788" s="39"/>
    </row>
    <row r="789" ht="15.75" customHeight="1">
      <c r="A789" s="39"/>
    </row>
    <row r="790" ht="15.75" customHeight="1">
      <c r="A790" s="39"/>
    </row>
    <row r="791" ht="15.75" customHeight="1">
      <c r="A791" s="39"/>
    </row>
    <row r="792" ht="15.75" customHeight="1">
      <c r="A792" s="39"/>
    </row>
    <row r="793" ht="15.75" customHeight="1">
      <c r="A793" s="39"/>
    </row>
    <row r="794" ht="15.75" customHeight="1">
      <c r="A794" s="39"/>
    </row>
    <row r="795" ht="15.75" customHeight="1">
      <c r="A795" s="39"/>
    </row>
    <row r="796" ht="15.75" customHeight="1">
      <c r="A796" s="39"/>
    </row>
    <row r="797" ht="15.75" customHeight="1">
      <c r="A797" s="39"/>
    </row>
    <row r="798" ht="15.75" customHeight="1">
      <c r="A798" s="39"/>
    </row>
    <row r="799" ht="15.75" customHeight="1">
      <c r="A799" s="39"/>
    </row>
    <row r="800" ht="15.75" customHeight="1">
      <c r="A800" s="39"/>
    </row>
    <row r="801" ht="15.75" customHeight="1">
      <c r="A801" s="39"/>
    </row>
    <row r="802" ht="15.75" customHeight="1">
      <c r="A802" s="39"/>
    </row>
    <row r="803" ht="15.75" customHeight="1">
      <c r="A803" s="39"/>
    </row>
    <row r="804" ht="15.75" customHeight="1">
      <c r="A804" s="39"/>
    </row>
    <row r="805" ht="15.75" customHeight="1">
      <c r="A805" s="39"/>
    </row>
    <row r="806" ht="15.75" customHeight="1">
      <c r="A806" s="39"/>
    </row>
    <row r="807" ht="15.75" customHeight="1">
      <c r="A807" s="39"/>
    </row>
    <row r="808" ht="15.75" customHeight="1">
      <c r="A808" s="39"/>
    </row>
    <row r="809" ht="15.75" customHeight="1">
      <c r="A809" s="39"/>
    </row>
    <row r="810" ht="15.75" customHeight="1">
      <c r="A810" s="39"/>
    </row>
    <row r="811" ht="15.75" customHeight="1">
      <c r="A811" s="39"/>
    </row>
    <row r="812" ht="15.75" customHeight="1">
      <c r="A812" s="39"/>
    </row>
    <row r="813" ht="15.75" customHeight="1">
      <c r="A813" s="39"/>
    </row>
    <row r="814" ht="15.75" customHeight="1">
      <c r="A814" s="39"/>
    </row>
    <row r="815" ht="15.75" customHeight="1">
      <c r="A815" s="39"/>
    </row>
    <row r="816" ht="15.75" customHeight="1">
      <c r="A816" s="39"/>
    </row>
    <row r="817" ht="15.75" customHeight="1">
      <c r="A817" s="39"/>
    </row>
    <row r="818" ht="15.75" customHeight="1">
      <c r="A818" s="39"/>
    </row>
    <row r="819" ht="15.75" customHeight="1">
      <c r="A819" s="39"/>
    </row>
    <row r="820" ht="15.75" customHeight="1">
      <c r="A820" s="39"/>
    </row>
    <row r="821" ht="15.75" customHeight="1">
      <c r="A821" s="39"/>
    </row>
    <row r="822" ht="15.75" customHeight="1">
      <c r="A822" s="39"/>
    </row>
    <row r="823" ht="15.75" customHeight="1">
      <c r="A823" s="39"/>
    </row>
    <row r="824" ht="15.75" customHeight="1">
      <c r="A824" s="39"/>
    </row>
    <row r="825" ht="15.75" customHeight="1">
      <c r="A825" s="39"/>
    </row>
    <row r="826" ht="15.75" customHeight="1">
      <c r="A826" s="39"/>
    </row>
    <row r="827" ht="15.75" customHeight="1">
      <c r="A827" s="39"/>
    </row>
    <row r="828" ht="15.75" customHeight="1">
      <c r="A828" s="39"/>
    </row>
    <row r="829" ht="15.75" customHeight="1">
      <c r="A829" s="39"/>
    </row>
    <row r="830" ht="15.75" customHeight="1">
      <c r="A830" s="39"/>
    </row>
    <row r="831" ht="15.75" customHeight="1">
      <c r="A831" s="39"/>
    </row>
    <row r="832" ht="15.75" customHeight="1">
      <c r="A832" s="39"/>
    </row>
    <row r="833" ht="15.75" customHeight="1">
      <c r="A833" s="39"/>
    </row>
    <row r="834" ht="15.75" customHeight="1">
      <c r="A834" s="39"/>
    </row>
    <row r="835" ht="15.75" customHeight="1">
      <c r="A835" s="39"/>
    </row>
    <row r="836" ht="15.75" customHeight="1">
      <c r="A836" s="39"/>
    </row>
    <row r="837" ht="15.75" customHeight="1">
      <c r="A837" s="39"/>
    </row>
    <row r="838" ht="15.75" customHeight="1">
      <c r="A838" s="39"/>
    </row>
    <row r="839" ht="15.75" customHeight="1">
      <c r="A839" s="39"/>
    </row>
    <row r="840" ht="15.75" customHeight="1">
      <c r="A840" s="39"/>
    </row>
    <row r="841" ht="15.75" customHeight="1">
      <c r="A841" s="39"/>
    </row>
    <row r="842" ht="15.75" customHeight="1">
      <c r="A842" s="39"/>
    </row>
    <row r="843" ht="15.75" customHeight="1">
      <c r="A843" s="39"/>
    </row>
    <row r="844" ht="15.75" customHeight="1">
      <c r="A844" s="39"/>
    </row>
    <row r="845" ht="15.75" customHeight="1">
      <c r="A845" s="39"/>
    </row>
    <row r="846" ht="15.75" customHeight="1">
      <c r="A846" s="39"/>
    </row>
    <row r="847" ht="15.75" customHeight="1">
      <c r="A847" s="39"/>
    </row>
    <row r="848" ht="15.75" customHeight="1">
      <c r="A848" s="39"/>
    </row>
    <row r="849" ht="15.75" customHeight="1">
      <c r="A849" s="39"/>
    </row>
    <row r="850" ht="15.75" customHeight="1">
      <c r="A850" s="39"/>
    </row>
    <row r="851" ht="15.75" customHeight="1">
      <c r="A851" s="39"/>
    </row>
    <row r="852" ht="15.75" customHeight="1">
      <c r="A852" s="39"/>
    </row>
    <row r="853" ht="15.75" customHeight="1">
      <c r="A853" s="39"/>
    </row>
    <row r="854" ht="15.75" customHeight="1">
      <c r="A854" s="39"/>
    </row>
    <row r="855" ht="15.75" customHeight="1">
      <c r="A855" s="39"/>
    </row>
    <row r="856" ht="15.75" customHeight="1">
      <c r="A856" s="39"/>
    </row>
    <row r="857" ht="15.75" customHeight="1">
      <c r="A857" s="39"/>
    </row>
    <row r="858" ht="15.75" customHeight="1">
      <c r="A858" s="39"/>
    </row>
    <row r="859" ht="15.75" customHeight="1">
      <c r="A859" s="39"/>
    </row>
    <row r="860" ht="15.75" customHeight="1">
      <c r="A860" s="39"/>
    </row>
    <row r="861" ht="15.75" customHeight="1">
      <c r="A861" s="39"/>
    </row>
    <row r="862" ht="15.75" customHeight="1">
      <c r="A862" s="39"/>
    </row>
    <row r="863" ht="15.75" customHeight="1">
      <c r="A863" s="39"/>
    </row>
    <row r="864" ht="15.75" customHeight="1">
      <c r="A864" s="39"/>
    </row>
    <row r="865" ht="15.75" customHeight="1">
      <c r="A865" s="39"/>
    </row>
    <row r="866" ht="15.75" customHeight="1">
      <c r="A866" s="39"/>
    </row>
    <row r="867" ht="15.75" customHeight="1">
      <c r="A867" s="39"/>
    </row>
    <row r="868" ht="15.75" customHeight="1">
      <c r="A868" s="39"/>
    </row>
    <row r="869" ht="15.75" customHeight="1">
      <c r="A869" s="39"/>
    </row>
    <row r="870" ht="15.75" customHeight="1">
      <c r="A870" s="39"/>
    </row>
    <row r="871" ht="15.75" customHeight="1">
      <c r="A871" s="39"/>
    </row>
    <row r="872" ht="15.75" customHeight="1">
      <c r="A872" s="39"/>
    </row>
    <row r="873" ht="15.75" customHeight="1">
      <c r="A873" s="39"/>
    </row>
    <row r="874" ht="15.75" customHeight="1">
      <c r="A874" s="39"/>
    </row>
    <row r="875" ht="15.75" customHeight="1">
      <c r="A875" s="39"/>
    </row>
    <row r="876" ht="15.75" customHeight="1">
      <c r="A876" s="39"/>
    </row>
    <row r="877" ht="15.75" customHeight="1">
      <c r="A877" s="39"/>
    </row>
    <row r="878" ht="15.75" customHeight="1">
      <c r="A878" s="39"/>
    </row>
    <row r="879" ht="15.75" customHeight="1">
      <c r="A879" s="39"/>
    </row>
    <row r="880" ht="15.75" customHeight="1">
      <c r="A880" s="39"/>
    </row>
    <row r="881" ht="15.75" customHeight="1">
      <c r="A881" s="39"/>
    </row>
    <row r="882" ht="15.75" customHeight="1">
      <c r="A882" s="39"/>
    </row>
    <row r="883" ht="15.75" customHeight="1">
      <c r="A883" s="39"/>
    </row>
    <row r="884" ht="15.75" customHeight="1">
      <c r="A884" s="39"/>
    </row>
    <row r="885" ht="15.75" customHeight="1">
      <c r="A885" s="39"/>
    </row>
    <row r="886" ht="15.75" customHeight="1">
      <c r="A886" s="39"/>
    </row>
    <row r="887" ht="15.75" customHeight="1">
      <c r="A887" s="39"/>
    </row>
    <row r="888" ht="15.75" customHeight="1">
      <c r="A888" s="39"/>
    </row>
    <row r="889" ht="15.75" customHeight="1">
      <c r="A889" s="39"/>
    </row>
    <row r="890" ht="15.75" customHeight="1">
      <c r="A890" s="39"/>
    </row>
    <row r="891" ht="15.75" customHeight="1">
      <c r="A891" s="39"/>
    </row>
    <row r="892" ht="15.75" customHeight="1">
      <c r="A892" s="39"/>
    </row>
    <row r="893" ht="15.75" customHeight="1">
      <c r="A893" s="39"/>
    </row>
    <row r="894" ht="15.75" customHeight="1">
      <c r="A894" s="39"/>
    </row>
    <row r="895" ht="15.75" customHeight="1">
      <c r="A895" s="39"/>
    </row>
    <row r="896" ht="15.75" customHeight="1">
      <c r="A896" s="39"/>
    </row>
    <row r="897" ht="15.75" customHeight="1">
      <c r="A897" s="39"/>
    </row>
    <row r="898" ht="15.75" customHeight="1">
      <c r="A898" s="39"/>
    </row>
    <row r="899" ht="15.75" customHeight="1">
      <c r="A899" s="39"/>
    </row>
    <row r="900" ht="15.75" customHeight="1">
      <c r="A900" s="39"/>
    </row>
    <row r="901" ht="15.75" customHeight="1">
      <c r="A901" s="39"/>
    </row>
    <row r="902" ht="15.75" customHeight="1">
      <c r="A902" s="39"/>
    </row>
    <row r="903" ht="15.75" customHeight="1">
      <c r="A903" s="39"/>
    </row>
    <row r="904" ht="15.75" customHeight="1">
      <c r="A904" s="39"/>
    </row>
    <row r="905" ht="15.75" customHeight="1">
      <c r="A905" s="39"/>
    </row>
    <row r="906" ht="15.75" customHeight="1">
      <c r="A906" s="39"/>
    </row>
    <row r="907" ht="15.75" customHeight="1">
      <c r="A907" s="39"/>
    </row>
    <row r="908" ht="15.75" customHeight="1">
      <c r="A908" s="39"/>
    </row>
    <row r="909" ht="15.75" customHeight="1">
      <c r="A909" s="39"/>
    </row>
    <row r="910" ht="15.75" customHeight="1">
      <c r="A910" s="39"/>
    </row>
    <row r="911" ht="15.75" customHeight="1">
      <c r="A911" s="39"/>
    </row>
    <row r="912" ht="15.75" customHeight="1">
      <c r="A912" s="39"/>
    </row>
    <row r="913" ht="15.75" customHeight="1">
      <c r="A913" s="39"/>
    </row>
    <row r="914" ht="15.75" customHeight="1">
      <c r="A914" s="39"/>
    </row>
    <row r="915" ht="15.75" customHeight="1">
      <c r="A915" s="39"/>
    </row>
    <row r="916" ht="15.75" customHeight="1">
      <c r="A916" s="39"/>
    </row>
    <row r="917" ht="15.75" customHeight="1">
      <c r="A917" s="39"/>
    </row>
    <row r="918" ht="15.75" customHeight="1">
      <c r="A918" s="39"/>
    </row>
    <row r="919" ht="15.75" customHeight="1">
      <c r="A919" s="39"/>
    </row>
    <row r="920" ht="15.75" customHeight="1">
      <c r="A920" s="39"/>
    </row>
    <row r="921" ht="15.75" customHeight="1">
      <c r="A921" s="39"/>
    </row>
    <row r="922" ht="15.75" customHeight="1">
      <c r="A922" s="39"/>
    </row>
    <row r="923" ht="15.75" customHeight="1">
      <c r="A923" s="39"/>
    </row>
    <row r="924" ht="15.75" customHeight="1">
      <c r="A924" s="39"/>
    </row>
    <row r="925" ht="15.75" customHeight="1">
      <c r="A925" s="39"/>
    </row>
    <row r="926" ht="15.75" customHeight="1">
      <c r="A926" s="39"/>
    </row>
    <row r="927" ht="15.75" customHeight="1">
      <c r="A927" s="39"/>
    </row>
    <row r="928" ht="15.75" customHeight="1">
      <c r="A928" s="39"/>
    </row>
    <row r="929" ht="15.75" customHeight="1">
      <c r="A929" s="39"/>
    </row>
    <row r="930" ht="15.75" customHeight="1">
      <c r="A930" s="39"/>
    </row>
    <row r="931" ht="15.75" customHeight="1">
      <c r="A931" s="39"/>
    </row>
    <row r="932" ht="15.75" customHeight="1">
      <c r="A932" s="39"/>
    </row>
    <row r="933" ht="15.75" customHeight="1">
      <c r="A933" s="39"/>
    </row>
    <row r="934" ht="15.75" customHeight="1">
      <c r="A934" s="39"/>
    </row>
    <row r="935" ht="15.75" customHeight="1">
      <c r="A935" s="39"/>
    </row>
    <row r="936" ht="15.75" customHeight="1">
      <c r="A936" s="39"/>
    </row>
    <row r="937" ht="15.75" customHeight="1">
      <c r="A937" s="39"/>
    </row>
    <row r="938" ht="15.75" customHeight="1">
      <c r="A938" s="39"/>
    </row>
    <row r="939" ht="15.75" customHeight="1">
      <c r="A939" s="39"/>
    </row>
    <row r="940" ht="15.75" customHeight="1">
      <c r="A940" s="39"/>
    </row>
    <row r="941" ht="15.75" customHeight="1">
      <c r="A941" s="39"/>
    </row>
    <row r="942" ht="15.75" customHeight="1">
      <c r="A942" s="39"/>
    </row>
    <row r="943" ht="15.75" customHeight="1">
      <c r="A943" s="39"/>
    </row>
    <row r="944" ht="15.75" customHeight="1">
      <c r="A944" s="39"/>
    </row>
    <row r="945" ht="15.75" customHeight="1">
      <c r="A945" s="39"/>
    </row>
    <row r="946" ht="15.75" customHeight="1">
      <c r="A946" s="39"/>
    </row>
    <row r="947" ht="15.75" customHeight="1">
      <c r="A947" s="39"/>
    </row>
    <row r="948" ht="15.75" customHeight="1">
      <c r="A948" s="39"/>
    </row>
    <row r="949" ht="15.75" customHeight="1">
      <c r="A949" s="39"/>
    </row>
    <row r="950" ht="15.75" customHeight="1">
      <c r="A950" s="39"/>
    </row>
    <row r="951" ht="15.75" customHeight="1">
      <c r="A951" s="39"/>
    </row>
    <row r="952" ht="15.75" customHeight="1">
      <c r="A952" s="39"/>
    </row>
    <row r="953" ht="15.75" customHeight="1">
      <c r="A953" s="39"/>
    </row>
    <row r="954" ht="15.75" customHeight="1">
      <c r="A954" s="39"/>
    </row>
    <row r="955" ht="15.75" customHeight="1">
      <c r="A955" s="39"/>
    </row>
    <row r="956" ht="15.75" customHeight="1">
      <c r="A956" s="39"/>
    </row>
    <row r="957" ht="15.75" customHeight="1">
      <c r="A957" s="39"/>
    </row>
    <row r="958" ht="15.75" customHeight="1">
      <c r="A958" s="39"/>
    </row>
    <row r="959" ht="15.75" customHeight="1">
      <c r="A959" s="39"/>
    </row>
    <row r="960" ht="15.75" customHeight="1">
      <c r="A960" s="39"/>
    </row>
    <row r="961" ht="15.75" customHeight="1">
      <c r="A961" s="39"/>
    </row>
    <row r="962" ht="15.75" customHeight="1">
      <c r="A962" s="39"/>
    </row>
    <row r="963" ht="15.75" customHeight="1">
      <c r="A963" s="39"/>
    </row>
    <row r="964" ht="15.75" customHeight="1">
      <c r="A964" s="39"/>
    </row>
    <row r="965" ht="15.75" customHeight="1">
      <c r="A965" s="39"/>
    </row>
    <row r="966" ht="15.75" customHeight="1">
      <c r="A966" s="39"/>
    </row>
    <row r="967" ht="15.75" customHeight="1">
      <c r="A967" s="39"/>
    </row>
    <row r="968" ht="15.75" customHeight="1">
      <c r="A968" s="39"/>
    </row>
    <row r="969" ht="15.75" customHeight="1">
      <c r="A969" s="39"/>
    </row>
    <row r="970" ht="15.75" customHeight="1">
      <c r="A970" s="39"/>
    </row>
    <row r="971" ht="15.75" customHeight="1">
      <c r="A971" s="39"/>
    </row>
    <row r="972" ht="15.75" customHeight="1">
      <c r="A972" s="39"/>
    </row>
    <row r="973" ht="15.75" customHeight="1">
      <c r="A973" s="39"/>
    </row>
    <row r="974" ht="15.75" customHeight="1">
      <c r="A974" s="39"/>
    </row>
    <row r="975" ht="15.75" customHeight="1">
      <c r="A975" s="39"/>
    </row>
    <row r="976" ht="15.75" customHeight="1">
      <c r="A976" s="39"/>
    </row>
    <row r="977" ht="15.75" customHeight="1">
      <c r="A977" s="39"/>
    </row>
    <row r="978" ht="15.75" customHeight="1">
      <c r="A978" s="39"/>
    </row>
    <row r="979" ht="15.75" customHeight="1">
      <c r="A979" s="39"/>
    </row>
    <row r="980" ht="15.75" customHeight="1">
      <c r="A980" s="39"/>
    </row>
    <row r="981" ht="15.75" customHeight="1">
      <c r="A981" s="39"/>
    </row>
    <row r="982" ht="15.75" customHeight="1">
      <c r="A982" s="39"/>
    </row>
    <row r="983" ht="15.75" customHeight="1">
      <c r="A983" s="39"/>
    </row>
    <row r="984" ht="15.75" customHeight="1">
      <c r="A984" s="39"/>
    </row>
    <row r="985" ht="15.75" customHeight="1">
      <c r="A985" s="39"/>
    </row>
    <row r="986" ht="15.75" customHeight="1">
      <c r="A986" s="39"/>
    </row>
    <row r="987" ht="15.75" customHeight="1">
      <c r="A987" s="39"/>
    </row>
    <row r="988" ht="15.75" customHeight="1">
      <c r="A988" s="39"/>
    </row>
    <row r="989" ht="15.75" customHeight="1">
      <c r="A989" s="39"/>
    </row>
    <row r="990" ht="15.75" customHeight="1">
      <c r="A990" s="39"/>
    </row>
    <row r="991" ht="15.75" customHeight="1">
      <c r="A991" s="39"/>
    </row>
    <row r="992" ht="15.75" customHeight="1">
      <c r="A992" s="39"/>
    </row>
    <row r="993" ht="15.75" customHeight="1">
      <c r="A993" s="39"/>
    </row>
    <row r="994" ht="15.75" customHeight="1">
      <c r="A994" s="39"/>
    </row>
    <row r="995" ht="15.75" customHeight="1">
      <c r="A995" s="39"/>
    </row>
    <row r="996" ht="15.75" customHeight="1">
      <c r="A996" s="39"/>
    </row>
    <row r="997" ht="15.75" customHeight="1">
      <c r="A997" s="39"/>
    </row>
    <row r="998" ht="15.75" customHeight="1">
      <c r="A998" s="39"/>
    </row>
    <row r="999" ht="15.75" customHeight="1">
      <c r="A999" s="39"/>
    </row>
    <row r="1000" ht="15.75" customHeight="1">
      <c r="A1000" s="39"/>
    </row>
  </sheetData>
  <mergeCells count="3">
    <mergeCell ref="E2:F2"/>
    <mergeCell ref="G2:I2"/>
    <mergeCell ref="J2:N2"/>
  </mergeCells>
  <printOptions/>
  <pageMargins bottom="0.75" footer="0.0" header="0.0" left="0.699305555555556" right="0.699305555555556"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4.63"/>
    <col customWidth="1" min="2" max="4" width="9.88"/>
    <col customWidth="1" min="5" max="5" width="14.38"/>
    <col customWidth="1" min="6" max="6" width="23.75"/>
    <col customWidth="1" min="7" max="7" width="8.38"/>
    <col customWidth="1" min="8" max="8" width="7.75"/>
    <col customWidth="1" min="9" max="9" width="7.88"/>
    <col customWidth="1" min="10" max="11" width="8.75"/>
    <col customWidth="1" min="12" max="12" width="11.63"/>
    <col customWidth="1" min="13" max="13" width="10.13"/>
    <col customWidth="1" min="14" max="14" width="13.25"/>
    <col customWidth="1" min="15" max="15" width="76.38"/>
    <col customWidth="1" min="16" max="16" width="14.38"/>
  </cols>
  <sheetData>
    <row r="1" ht="15.75" customHeight="1">
      <c r="A1" s="39"/>
      <c r="B1" s="40"/>
      <c r="C1" s="40"/>
      <c r="D1" s="40"/>
      <c r="H1" s="40"/>
      <c r="I1" s="41"/>
      <c r="J1" s="41"/>
      <c r="K1" s="41"/>
      <c r="L1" s="41"/>
      <c r="M1" s="41"/>
      <c r="N1" s="41"/>
      <c r="O1" s="42"/>
      <c r="P1" s="41"/>
    </row>
    <row r="2" ht="15.75" customHeight="1">
      <c r="A2" s="43"/>
      <c r="B2" s="44" t="s">
        <v>0</v>
      </c>
      <c r="C2" s="44" t="s">
        <v>1</v>
      </c>
      <c r="D2" s="45" t="s">
        <v>2</v>
      </c>
      <c r="E2" s="46" t="s">
        <v>3</v>
      </c>
      <c r="F2" s="47"/>
      <c r="G2" s="46" t="s">
        <v>4</v>
      </c>
      <c r="H2" s="48"/>
      <c r="I2" s="47"/>
      <c r="J2" s="46" t="s">
        <v>5</v>
      </c>
      <c r="K2" s="48"/>
      <c r="L2" s="48"/>
      <c r="M2" s="48"/>
      <c r="N2" s="47"/>
      <c r="O2" s="49"/>
      <c r="P2" s="41"/>
    </row>
    <row r="3" ht="36.75" customHeight="1">
      <c r="A3" s="50" t="s">
        <v>6</v>
      </c>
      <c r="B3" s="51"/>
      <c r="C3" s="51"/>
      <c r="D3" s="52"/>
      <c r="E3" s="53" t="s">
        <v>7</v>
      </c>
      <c r="F3" s="51" t="s">
        <v>8</v>
      </c>
      <c r="G3" s="53" t="s">
        <v>7</v>
      </c>
      <c r="H3" s="51" t="s">
        <v>8</v>
      </c>
      <c r="I3" s="52" t="s">
        <v>9</v>
      </c>
      <c r="J3" s="51" t="s">
        <v>340</v>
      </c>
      <c r="K3" s="51" t="s">
        <v>341</v>
      </c>
      <c r="L3" s="51" t="s">
        <v>342</v>
      </c>
      <c r="M3" s="51" t="s">
        <v>343</v>
      </c>
      <c r="N3" s="52" t="s">
        <v>344</v>
      </c>
      <c r="O3" s="52" t="s">
        <v>16</v>
      </c>
      <c r="P3" s="71" t="s">
        <v>766</v>
      </c>
    </row>
    <row r="4" ht="15.75" customHeight="1">
      <c r="A4" s="54">
        <v>34.0</v>
      </c>
      <c r="B4" s="55" t="s">
        <v>442</v>
      </c>
      <c r="C4" s="55" t="s">
        <v>800</v>
      </c>
      <c r="D4" s="55">
        <v>0.004</v>
      </c>
      <c r="E4" s="55" t="s">
        <v>21</v>
      </c>
      <c r="F4" s="55" t="s">
        <v>20</v>
      </c>
      <c r="G4" s="56" t="s">
        <v>22</v>
      </c>
      <c r="H4" s="57"/>
      <c r="I4" s="58"/>
      <c r="J4" s="57"/>
      <c r="K4" s="57"/>
      <c r="L4" s="57"/>
      <c r="M4" s="57"/>
      <c r="N4" s="58" t="s">
        <v>22</v>
      </c>
      <c r="O4" s="59"/>
      <c r="P4" s="78">
        <f>random_key!A34</f>
        <v>0.00126792185</v>
      </c>
    </row>
    <row r="5" ht="15.75" customHeight="1">
      <c r="A5" s="54">
        <v>32.0</v>
      </c>
      <c r="B5" s="55" t="s">
        <v>436</v>
      </c>
      <c r="C5" s="55" t="s">
        <v>797</v>
      </c>
      <c r="D5" s="55">
        <v>0.002</v>
      </c>
      <c r="E5" s="55" t="s">
        <v>21</v>
      </c>
      <c r="F5" s="55" t="s">
        <v>20</v>
      </c>
      <c r="G5" s="56" t="s">
        <v>22</v>
      </c>
      <c r="H5" s="57"/>
      <c r="I5" s="58"/>
      <c r="J5" s="57" t="s">
        <v>22</v>
      </c>
      <c r="K5" s="57"/>
      <c r="L5" s="57"/>
      <c r="M5" s="57"/>
      <c r="N5" s="58"/>
      <c r="O5" s="59"/>
      <c r="P5" s="78">
        <f>random_key!A32</f>
        <v>0.014775109</v>
      </c>
    </row>
    <row r="6" ht="15.75" customHeight="1">
      <c r="A6" s="54">
        <v>78.0</v>
      </c>
      <c r="B6" s="55" t="s">
        <v>584</v>
      </c>
      <c r="C6" s="55" t="s">
        <v>834</v>
      </c>
      <c r="D6" s="55">
        <v>0.948</v>
      </c>
      <c r="E6" s="55" t="s">
        <v>351</v>
      </c>
      <c r="F6" s="55" t="s">
        <v>21</v>
      </c>
      <c r="G6" s="56"/>
      <c r="H6" s="57"/>
      <c r="I6" s="58" t="s">
        <v>22</v>
      </c>
      <c r="J6" s="57"/>
      <c r="K6" s="57"/>
      <c r="L6" s="57"/>
      <c r="M6" s="57"/>
      <c r="N6" s="58"/>
      <c r="O6" s="59" t="s">
        <v>835</v>
      </c>
      <c r="P6" s="78">
        <f>random_key!A78</f>
        <v>0.02361814938</v>
      </c>
    </row>
    <row r="7" ht="15.75" customHeight="1">
      <c r="A7" s="54">
        <v>24.0</v>
      </c>
      <c r="B7" s="55" t="s">
        <v>411</v>
      </c>
      <c r="C7" s="55" t="s">
        <v>789</v>
      </c>
      <c r="D7" s="55">
        <v>0.537</v>
      </c>
      <c r="E7" s="55" t="s">
        <v>351</v>
      </c>
      <c r="F7" s="55" t="s">
        <v>21</v>
      </c>
      <c r="G7" s="56" t="s">
        <v>22</v>
      </c>
      <c r="H7" s="57"/>
      <c r="I7" s="58"/>
      <c r="J7" s="57"/>
      <c r="K7" s="57"/>
      <c r="L7" s="57"/>
      <c r="M7" s="57" t="s">
        <v>22</v>
      </c>
      <c r="N7" s="58"/>
      <c r="O7" s="59"/>
      <c r="P7" s="78">
        <f>random_key!A24</f>
        <v>0.0411164938</v>
      </c>
    </row>
    <row r="8" ht="15.75" customHeight="1">
      <c r="A8" s="54">
        <v>60.0</v>
      </c>
      <c r="B8" s="55" t="s">
        <v>529</v>
      </c>
      <c r="C8" s="55" t="s">
        <v>820</v>
      </c>
      <c r="D8" s="55">
        <v>0.794</v>
      </c>
      <c r="E8" s="55" t="s">
        <v>351</v>
      </c>
      <c r="F8" s="55" t="s">
        <v>21</v>
      </c>
      <c r="G8" s="56"/>
      <c r="H8" s="57" t="s">
        <v>22</v>
      </c>
      <c r="I8" s="58"/>
      <c r="J8" s="57"/>
      <c r="K8" s="57"/>
      <c r="L8" s="57" t="s">
        <v>22</v>
      </c>
      <c r="M8" s="57"/>
      <c r="N8" s="58"/>
      <c r="O8" s="59"/>
      <c r="P8" s="78">
        <f>random_key!A60</f>
        <v>0.04241728525</v>
      </c>
    </row>
    <row r="9" ht="15.75" customHeight="1">
      <c r="A9" s="54">
        <v>31.0</v>
      </c>
      <c r="B9" s="55" t="s">
        <v>433</v>
      </c>
      <c r="C9" s="55" t="s">
        <v>796</v>
      </c>
      <c r="D9" s="55">
        <v>0.969</v>
      </c>
      <c r="E9" s="55" t="s">
        <v>351</v>
      </c>
      <c r="F9" s="55" t="s">
        <v>21</v>
      </c>
      <c r="G9" s="56"/>
      <c r="H9" s="57" t="s">
        <v>22</v>
      </c>
      <c r="I9" s="58"/>
      <c r="J9" s="57"/>
      <c r="K9" s="57"/>
      <c r="L9" s="57"/>
      <c r="M9" s="57" t="s">
        <v>22</v>
      </c>
      <c r="N9" s="58"/>
      <c r="O9" s="59"/>
      <c r="P9" s="78">
        <f>random_key!A31</f>
        <v>0.04729217204</v>
      </c>
    </row>
    <row r="10" ht="15.75" customHeight="1">
      <c r="A10" s="54">
        <v>56.0</v>
      </c>
      <c r="B10" s="55" t="s">
        <v>517</v>
      </c>
      <c r="C10" s="55" t="s">
        <v>818</v>
      </c>
      <c r="D10" s="55">
        <v>0.945</v>
      </c>
      <c r="E10" s="55" t="s">
        <v>351</v>
      </c>
      <c r="F10" s="55" t="s">
        <v>21</v>
      </c>
      <c r="G10" s="56"/>
      <c r="H10" s="57" t="s">
        <v>22</v>
      </c>
      <c r="I10" s="58"/>
      <c r="J10" s="57"/>
      <c r="K10" s="57"/>
      <c r="L10" s="57" t="s">
        <v>22</v>
      </c>
      <c r="M10" s="57"/>
      <c r="N10" s="58"/>
      <c r="O10" s="59"/>
      <c r="P10" s="78">
        <f>random_key!A56</f>
        <v>0.07656247635</v>
      </c>
    </row>
    <row r="11" ht="15.75" customHeight="1">
      <c r="A11" s="54">
        <v>15.0</v>
      </c>
      <c r="B11" s="55" t="s">
        <v>384</v>
      </c>
      <c r="C11" s="55" t="s">
        <v>779</v>
      </c>
      <c r="D11" s="55">
        <v>0.001</v>
      </c>
      <c r="E11" s="55" t="s">
        <v>21</v>
      </c>
      <c r="F11" s="55" t="s">
        <v>20</v>
      </c>
      <c r="G11" s="56"/>
      <c r="H11" s="57" t="s">
        <v>22</v>
      </c>
      <c r="I11" s="58"/>
      <c r="J11" s="57"/>
      <c r="K11" s="57"/>
      <c r="L11" s="57"/>
      <c r="M11" s="57" t="s">
        <v>22</v>
      </c>
      <c r="N11" s="58"/>
      <c r="O11" s="59"/>
      <c r="P11" s="78">
        <f>random_key!A15</f>
        <v>0.0980610577</v>
      </c>
    </row>
    <row r="12" ht="15.75" customHeight="1">
      <c r="A12" s="54">
        <v>52.0</v>
      </c>
      <c r="B12" s="55" t="s">
        <v>505</v>
      </c>
      <c r="C12" s="55" t="s">
        <v>788</v>
      </c>
      <c r="D12" s="55">
        <v>0.018</v>
      </c>
      <c r="E12" s="55" t="s">
        <v>21</v>
      </c>
      <c r="F12" s="55" t="s">
        <v>31</v>
      </c>
      <c r="G12" s="56"/>
      <c r="H12" s="57" t="s">
        <v>22</v>
      </c>
      <c r="I12" s="58"/>
      <c r="J12" s="57"/>
      <c r="K12" s="57"/>
      <c r="L12" s="57"/>
      <c r="M12" s="57" t="s">
        <v>22</v>
      </c>
      <c r="N12" s="58"/>
      <c r="O12" s="59"/>
      <c r="P12" s="78">
        <f>random_key!A52</f>
        <v>0.1163449744</v>
      </c>
    </row>
    <row r="13" ht="15.75" customHeight="1">
      <c r="A13" s="54">
        <v>92.0</v>
      </c>
      <c r="B13" s="55" t="s">
        <v>636</v>
      </c>
      <c r="C13" s="55" t="s">
        <v>771</v>
      </c>
      <c r="D13" s="55">
        <v>0.977</v>
      </c>
      <c r="E13" s="55" t="s">
        <v>351</v>
      </c>
      <c r="F13" s="55" t="s">
        <v>21</v>
      </c>
      <c r="G13" s="56"/>
      <c r="H13" s="57" t="s">
        <v>22</v>
      </c>
      <c r="I13" s="58"/>
      <c r="J13" s="57"/>
      <c r="K13" s="57"/>
      <c r="L13" s="57" t="s">
        <v>22</v>
      </c>
      <c r="M13" s="57"/>
      <c r="N13" s="58"/>
      <c r="O13" s="59"/>
      <c r="P13" s="78">
        <f>random_key!A92</f>
        <v>0.1176876676</v>
      </c>
    </row>
    <row r="14" ht="15.75" customHeight="1">
      <c r="A14" s="54">
        <v>36.0</v>
      </c>
      <c r="B14" s="55" t="s">
        <v>448</v>
      </c>
      <c r="C14" s="55" t="s">
        <v>802</v>
      </c>
      <c r="D14" s="55">
        <v>0.408</v>
      </c>
      <c r="E14" s="55" t="s">
        <v>21</v>
      </c>
      <c r="F14" s="55" t="s">
        <v>20</v>
      </c>
      <c r="G14" s="56" t="s">
        <v>22</v>
      </c>
      <c r="H14" s="57"/>
      <c r="I14" s="58"/>
      <c r="J14" s="57" t="s">
        <v>22</v>
      </c>
      <c r="K14" s="57"/>
      <c r="L14" s="57"/>
      <c r="M14" s="57"/>
      <c r="N14" s="58"/>
      <c r="O14" s="59"/>
      <c r="P14" s="78">
        <f>random_key!A36</f>
        <v>0.1197756392</v>
      </c>
    </row>
    <row r="15" ht="15.75" customHeight="1">
      <c r="A15" s="54">
        <v>87.0</v>
      </c>
      <c r="B15" s="55" t="s">
        <v>617</v>
      </c>
      <c r="C15" s="55" t="s">
        <v>841</v>
      </c>
      <c r="D15" s="55">
        <v>0.572</v>
      </c>
      <c r="E15" s="55" t="s">
        <v>351</v>
      </c>
      <c r="F15" s="55" t="s">
        <v>21</v>
      </c>
      <c r="G15" s="56" t="s">
        <v>22</v>
      </c>
      <c r="H15" s="57"/>
      <c r="I15" s="58"/>
      <c r="J15" s="57"/>
      <c r="K15" s="57"/>
      <c r="L15" s="57"/>
      <c r="M15" s="57" t="s">
        <v>22</v>
      </c>
      <c r="N15" s="58"/>
      <c r="O15" s="59"/>
      <c r="P15" s="78">
        <f>random_key!A87</f>
        <v>0.1801476423</v>
      </c>
    </row>
    <row r="16" ht="15.75" customHeight="1">
      <c r="A16" s="54">
        <v>9.0</v>
      </c>
      <c r="B16" s="55" t="s">
        <v>368</v>
      </c>
      <c r="C16" s="55" t="s">
        <v>774</v>
      </c>
      <c r="D16" s="55">
        <v>0.524</v>
      </c>
      <c r="E16" s="55" t="s">
        <v>351</v>
      </c>
      <c r="F16" s="55" t="s">
        <v>21</v>
      </c>
      <c r="G16" s="56" t="s">
        <v>22</v>
      </c>
      <c r="H16" s="57"/>
      <c r="I16" s="58"/>
      <c r="J16" s="57"/>
      <c r="K16" s="57"/>
      <c r="L16" s="57"/>
      <c r="M16" s="57" t="s">
        <v>22</v>
      </c>
      <c r="N16" s="58"/>
      <c r="O16" s="59"/>
      <c r="P16" s="78">
        <f>random_key!A9</f>
        <v>0.1930796601</v>
      </c>
    </row>
    <row r="17" ht="15.75" customHeight="1">
      <c r="A17" s="54">
        <v>7.0</v>
      </c>
      <c r="B17" s="55" t="s">
        <v>363</v>
      </c>
      <c r="C17" s="55" t="s">
        <v>767</v>
      </c>
      <c r="D17" s="55">
        <v>0.099</v>
      </c>
      <c r="E17" s="55" t="s">
        <v>21</v>
      </c>
      <c r="F17" s="55" t="s">
        <v>31</v>
      </c>
      <c r="G17" s="56" t="s">
        <v>22</v>
      </c>
      <c r="H17" s="57"/>
      <c r="I17" s="58"/>
      <c r="J17" s="57" t="s">
        <v>22</v>
      </c>
      <c r="K17" s="57"/>
      <c r="L17" s="57"/>
      <c r="M17" s="57"/>
      <c r="N17" s="58"/>
      <c r="O17" s="59"/>
      <c r="P17" s="78">
        <f>random_key!A7</f>
        <v>0.2005901691</v>
      </c>
    </row>
    <row r="18" ht="15.75" customHeight="1">
      <c r="A18" s="54">
        <v>14.0</v>
      </c>
      <c r="B18" s="55" t="s">
        <v>381</v>
      </c>
      <c r="C18" s="55" t="s">
        <v>778</v>
      </c>
      <c r="D18" s="55">
        <v>0.626</v>
      </c>
      <c r="E18" s="55" t="s">
        <v>351</v>
      </c>
      <c r="F18" s="55" t="s">
        <v>21</v>
      </c>
      <c r="G18" s="56" t="s">
        <v>22</v>
      </c>
      <c r="H18" s="57"/>
      <c r="I18" s="58"/>
      <c r="J18" s="57"/>
      <c r="K18" s="57"/>
      <c r="L18" s="57"/>
      <c r="M18" s="57" t="s">
        <v>22</v>
      </c>
      <c r="N18" s="58"/>
      <c r="O18" s="59"/>
      <c r="P18" s="78">
        <f>random_key!A14</f>
        <v>0.2045792564</v>
      </c>
    </row>
    <row r="19" ht="15.75" customHeight="1">
      <c r="A19" s="54">
        <v>49.0</v>
      </c>
      <c r="B19" s="55" t="s">
        <v>493</v>
      </c>
      <c r="C19" s="55" t="s">
        <v>813</v>
      </c>
      <c r="D19" s="55">
        <v>0.718</v>
      </c>
      <c r="E19" s="55" t="s">
        <v>351</v>
      </c>
      <c r="F19" s="55" t="s">
        <v>21</v>
      </c>
      <c r="G19" s="56" t="s">
        <v>22</v>
      </c>
      <c r="H19" s="57"/>
      <c r="I19" s="58"/>
      <c r="J19" s="57"/>
      <c r="K19" s="57"/>
      <c r="L19" s="57"/>
      <c r="M19" s="57" t="s">
        <v>22</v>
      </c>
      <c r="N19" s="58"/>
      <c r="O19" s="59"/>
      <c r="P19" s="78">
        <f>random_key!A49</f>
        <v>0.2046791854</v>
      </c>
    </row>
    <row r="20" ht="15.75" customHeight="1">
      <c r="A20" s="54">
        <v>73.0</v>
      </c>
      <c r="B20" s="55" t="s">
        <v>568</v>
      </c>
      <c r="C20" s="55" t="s">
        <v>829</v>
      </c>
      <c r="D20" s="55">
        <v>0.637</v>
      </c>
      <c r="E20" s="55" t="s">
        <v>351</v>
      </c>
      <c r="F20" s="55" t="s">
        <v>21</v>
      </c>
      <c r="G20" s="56"/>
      <c r="H20" s="57" t="s">
        <v>22</v>
      </c>
      <c r="I20" s="58"/>
      <c r="J20" s="57"/>
      <c r="K20" s="57"/>
      <c r="L20" s="57" t="s">
        <v>22</v>
      </c>
      <c r="M20" s="57"/>
      <c r="N20" s="58"/>
      <c r="O20" s="59"/>
      <c r="P20" s="78">
        <f>random_key!A73</f>
        <v>0.2060904439</v>
      </c>
    </row>
    <row r="21" ht="15.75" customHeight="1">
      <c r="A21" s="54">
        <v>91.0</v>
      </c>
      <c r="B21" s="55" t="s">
        <v>633</v>
      </c>
      <c r="C21" s="55" t="s">
        <v>843</v>
      </c>
      <c r="D21" s="55">
        <v>0.957</v>
      </c>
      <c r="E21" s="55" t="s">
        <v>351</v>
      </c>
      <c r="F21" s="55" t="s">
        <v>21</v>
      </c>
      <c r="G21" s="56" t="s">
        <v>22</v>
      </c>
      <c r="H21" s="57"/>
      <c r="I21" s="58"/>
      <c r="J21" s="57" t="s">
        <v>22</v>
      </c>
      <c r="K21" s="57"/>
      <c r="L21" s="57"/>
      <c r="M21" s="57"/>
      <c r="N21" s="58"/>
      <c r="O21" s="59"/>
      <c r="P21" s="78">
        <f>random_key!A91</f>
        <v>0.208460173</v>
      </c>
    </row>
    <row r="22" ht="15.75" customHeight="1">
      <c r="A22" s="54">
        <v>47.0</v>
      </c>
      <c r="B22" s="55" t="s">
        <v>488</v>
      </c>
      <c r="C22" s="55" t="s">
        <v>773</v>
      </c>
      <c r="D22" s="55">
        <v>0.885</v>
      </c>
      <c r="E22" s="55" t="s">
        <v>351</v>
      </c>
      <c r="F22" s="55" t="s">
        <v>21</v>
      </c>
      <c r="G22" s="56"/>
      <c r="H22" s="74" t="s">
        <v>22</v>
      </c>
      <c r="I22" s="58"/>
      <c r="J22" s="57"/>
      <c r="K22" s="57"/>
      <c r="L22" s="57" t="s">
        <v>22</v>
      </c>
      <c r="M22" s="57"/>
      <c r="N22" s="58"/>
      <c r="O22" s="59"/>
      <c r="P22" s="78">
        <f>random_key!A47</f>
        <v>0.2140410334</v>
      </c>
    </row>
    <row r="23" ht="15.75" customHeight="1">
      <c r="A23" s="54">
        <v>82.0</v>
      </c>
      <c r="B23" s="55" t="s">
        <v>598</v>
      </c>
      <c r="C23" s="55" t="s">
        <v>836</v>
      </c>
      <c r="D23" s="55">
        <v>0.227</v>
      </c>
      <c r="E23" s="55" t="s">
        <v>21</v>
      </c>
      <c r="F23" s="55" t="s">
        <v>20</v>
      </c>
      <c r="G23" s="56"/>
      <c r="H23" s="57"/>
      <c r="I23" s="58" t="s">
        <v>22</v>
      </c>
      <c r="J23" s="57"/>
      <c r="K23" s="57"/>
      <c r="L23" s="57"/>
      <c r="M23" s="57"/>
      <c r="N23" s="58"/>
      <c r="O23" s="59" t="s">
        <v>837</v>
      </c>
      <c r="P23" s="78">
        <f>random_key!A82</f>
        <v>0.2217316316</v>
      </c>
    </row>
    <row r="24" ht="15.75" customHeight="1">
      <c r="A24" s="54">
        <v>19.0</v>
      </c>
      <c r="B24" s="55" t="s">
        <v>398</v>
      </c>
      <c r="C24" s="55" t="s">
        <v>784</v>
      </c>
      <c r="D24" s="55">
        <v>0.164</v>
      </c>
      <c r="E24" s="55" t="s">
        <v>21</v>
      </c>
      <c r="F24" s="55" t="s">
        <v>20</v>
      </c>
      <c r="G24" s="56" t="s">
        <v>22</v>
      </c>
      <c r="H24" s="57"/>
      <c r="I24" s="58"/>
      <c r="J24" s="57"/>
      <c r="K24" s="57"/>
      <c r="L24" s="57"/>
      <c r="M24" s="57"/>
      <c r="N24" s="58" t="s">
        <v>22</v>
      </c>
      <c r="O24" s="59"/>
      <c r="P24" s="78">
        <f>random_key!A19</f>
        <v>0.2255976227</v>
      </c>
    </row>
    <row r="25" ht="15.75" customHeight="1">
      <c r="A25" s="54">
        <v>17.0</v>
      </c>
      <c r="B25" s="55" t="s">
        <v>390</v>
      </c>
      <c r="C25" s="55" t="s">
        <v>781</v>
      </c>
      <c r="D25" s="55">
        <v>0.855</v>
      </c>
      <c r="E25" s="55" t="s">
        <v>351</v>
      </c>
      <c r="F25" s="55" t="s">
        <v>21</v>
      </c>
      <c r="G25" s="56"/>
      <c r="H25" s="57"/>
      <c r="I25" s="58" t="s">
        <v>22</v>
      </c>
      <c r="J25" s="57"/>
      <c r="K25" s="57"/>
      <c r="L25" s="57" t="s">
        <v>22</v>
      </c>
      <c r="M25" s="57"/>
      <c r="N25" s="58"/>
      <c r="O25" s="59" t="s">
        <v>782</v>
      </c>
      <c r="P25" s="78">
        <f>random_key!A17</f>
        <v>0.2359531103</v>
      </c>
    </row>
    <row r="26" ht="15.75" customHeight="1">
      <c r="A26" s="54">
        <v>29.0</v>
      </c>
      <c r="B26" s="55" t="s">
        <v>428</v>
      </c>
      <c r="C26" s="55" t="s">
        <v>794</v>
      </c>
      <c r="D26" s="55">
        <v>0.906</v>
      </c>
      <c r="E26" s="55" t="s">
        <v>351</v>
      </c>
      <c r="F26" s="55" t="s">
        <v>21</v>
      </c>
      <c r="G26" s="56" t="s">
        <v>22</v>
      </c>
      <c r="H26" s="57"/>
      <c r="I26" s="58"/>
      <c r="J26" s="57"/>
      <c r="K26" s="57"/>
      <c r="L26" s="57"/>
      <c r="M26" s="57" t="s">
        <v>22</v>
      </c>
      <c r="N26" s="58"/>
      <c r="O26" s="59"/>
      <c r="P26" s="78">
        <f>random_key!A29</f>
        <v>0.2367282546</v>
      </c>
    </row>
    <row r="27" ht="15.75" customHeight="1">
      <c r="A27" s="54">
        <v>44.0</v>
      </c>
      <c r="B27" s="55" t="s">
        <v>477</v>
      </c>
      <c r="C27" s="55" t="s">
        <v>810</v>
      </c>
      <c r="D27" s="55">
        <v>0.543</v>
      </c>
      <c r="E27" s="55" t="s">
        <v>351</v>
      </c>
      <c r="F27" s="55" t="s">
        <v>21</v>
      </c>
      <c r="G27" s="56" t="s">
        <v>22</v>
      </c>
      <c r="H27" s="57"/>
      <c r="I27" s="58"/>
      <c r="J27" s="57"/>
      <c r="K27" s="57"/>
      <c r="L27" s="57"/>
      <c r="M27" s="57" t="s">
        <v>22</v>
      </c>
      <c r="N27" s="58"/>
      <c r="O27" s="59"/>
      <c r="P27" s="78">
        <f>random_key!A44</f>
        <v>0.2390760191</v>
      </c>
    </row>
    <row r="28" ht="15.75" customHeight="1">
      <c r="A28" s="54">
        <v>41.0</v>
      </c>
      <c r="B28" s="55" t="s">
        <v>467</v>
      </c>
      <c r="C28" s="55" t="s">
        <v>807</v>
      </c>
      <c r="D28" s="55">
        <v>0.793</v>
      </c>
      <c r="E28" s="55" t="s">
        <v>351</v>
      </c>
      <c r="F28" s="55" t="s">
        <v>21</v>
      </c>
      <c r="G28" s="56"/>
      <c r="H28" s="57" t="s">
        <v>22</v>
      </c>
      <c r="I28" s="58"/>
      <c r="J28" s="57"/>
      <c r="K28" s="57"/>
      <c r="L28" s="57" t="s">
        <v>22</v>
      </c>
      <c r="M28" s="57"/>
      <c r="N28" s="58"/>
      <c r="O28" s="59"/>
      <c r="P28" s="78">
        <f>random_key!A41</f>
        <v>0.2504741674</v>
      </c>
    </row>
    <row r="29" ht="15.75" customHeight="1">
      <c r="A29" s="54">
        <v>20.0</v>
      </c>
      <c r="B29" s="55" t="s">
        <v>402</v>
      </c>
      <c r="C29" s="55" t="s">
        <v>773</v>
      </c>
      <c r="D29" s="55">
        <v>0.81</v>
      </c>
      <c r="E29" s="55" t="s">
        <v>351</v>
      </c>
      <c r="F29" s="55" t="s">
        <v>21</v>
      </c>
      <c r="G29" s="56"/>
      <c r="H29" s="57" t="s">
        <v>22</v>
      </c>
      <c r="I29" s="58"/>
      <c r="J29" s="57"/>
      <c r="K29" s="57"/>
      <c r="L29" s="57" t="s">
        <v>22</v>
      </c>
      <c r="M29" s="57"/>
      <c r="N29" s="58"/>
      <c r="O29" s="59"/>
      <c r="P29" s="78">
        <f>random_key!A20</f>
        <v>0.2628754448</v>
      </c>
    </row>
    <row r="30" ht="15.75" customHeight="1">
      <c r="A30" s="54">
        <v>85.0</v>
      </c>
      <c r="B30" s="55" t="s">
        <v>609</v>
      </c>
      <c r="C30" s="55" t="s">
        <v>839</v>
      </c>
      <c r="D30" s="55">
        <v>0.841</v>
      </c>
      <c r="E30" s="55" t="s">
        <v>351</v>
      </c>
      <c r="F30" s="55" t="s">
        <v>21</v>
      </c>
      <c r="G30" s="56"/>
      <c r="H30" s="57" t="s">
        <v>22</v>
      </c>
      <c r="I30" s="58"/>
      <c r="J30" s="57"/>
      <c r="K30" s="57"/>
      <c r="L30" s="57" t="s">
        <v>22</v>
      </c>
      <c r="M30" s="57"/>
      <c r="N30" s="58"/>
      <c r="O30" s="59"/>
      <c r="P30" s="78">
        <f>random_key!A85</f>
        <v>0.2733204148</v>
      </c>
    </row>
    <row r="31" ht="15.75" customHeight="1">
      <c r="A31" s="54">
        <v>71.0</v>
      </c>
      <c r="B31" s="55" t="s">
        <v>562</v>
      </c>
      <c r="C31" s="55" t="s">
        <v>827</v>
      </c>
      <c r="D31" s="55">
        <v>0.928</v>
      </c>
      <c r="E31" s="55" t="s">
        <v>351</v>
      </c>
      <c r="F31" s="55" t="s">
        <v>21</v>
      </c>
      <c r="G31" s="56"/>
      <c r="H31" s="57" t="s">
        <v>22</v>
      </c>
      <c r="I31" s="58"/>
      <c r="J31" s="57"/>
      <c r="K31" s="57"/>
      <c r="L31" s="57" t="s">
        <v>22</v>
      </c>
      <c r="M31" s="57"/>
      <c r="N31" s="58"/>
      <c r="O31" s="59"/>
      <c r="P31" s="78">
        <f>random_key!A71</f>
        <v>0.278433439</v>
      </c>
    </row>
    <row r="32" ht="15.75" customHeight="1">
      <c r="A32" s="54">
        <v>88.0</v>
      </c>
      <c r="B32" s="55" t="s">
        <v>621</v>
      </c>
      <c r="C32" s="55" t="s">
        <v>842</v>
      </c>
      <c r="D32" s="55">
        <v>0.986</v>
      </c>
      <c r="E32" s="55" t="s">
        <v>351</v>
      </c>
      <c r="F32" s="55" t="s">
        <v>21</v>
      </c>
      <c r="G32" s="56"/>
      <c r="H32" s="57" t="s">
        <v>22</v>
      </c>
      <c r="I32" s="58"/>
      <c r="J32" s="57"/>
      <c r="K32" s="57"/>
      <c r="L32" s="57" t="s">
        <v>22</v>
      </c>
      <c r="M32" s="57"/>
      <c r="N32" s="58"/>
      <c r="O32" s="59"/>
      <c r="P32" s="78">
        <f>random_key!A88</f>
        <v>0.2798860334</v>
      </c>
    </row>
    <row r="33" ht="15.75" customHeight="1">
      <c r="A33" s="54">
        <v>37.0</v>
      </c>
      <c r="B33" s="55" t="s">
        <v>452</v>
      </c>
      <c r="C33" s="55" t="s">
        <v>769</v>
      </c>
      <c r="D33" s="55">
        <v>0.276</v>
      </c>
      <c r="E33" s="55" t="s">
        <v>21</v>
      </c>
      <c r="F33" s="55" t="s">
        <v>20</v>
      </c>
      <c r="G33" s="56" t="s">
        <v>22</v>
      </c>
      <c r="H33" s="57"/>
      <c r="I33" s="58"/>
      <c r="J33" s="57" t="s">
        <v>22</v>
      </c>
      <c r="K33" s="57"/>
      <c r="L33" s="57"/>
      <c r="M33" s="57"/>
      <c r="N33" s="58"/>
      <c r="O33" s="59"/>
      <c r="P33" s="78">
        <f>random_key!A37</f>
        <v>0.2853436585</v>
      </c>
    </row>
    <row r="34" ht="15.75" customHeight="1">
      <c r="A34" s="54">
        <v>2.0</v>
      </c>
      <c r="B34" s="55" t="s">
        <v>348</v>
      </c>
      <c r="C34" s="55" t="s">
        <v>768</v>
      </c>
      <c r="D34" s="55">
        <v>0.838</v>
      </c>
      <c r="E34" s="55" t="s">
        <v>351</v>
      </c>
      <c r="F34" s="55" t="s">
        <v>21</v>
      </c>
      <c r="G34" s="56"/>
      <c r="H34" s="57" t="s">
        <v>22</v>
      </c>
      <c r="I34" s="58"/>
      <c r="J34" s="57"/>
      <c r="K34" s="57"/>
      <c r="L34" s="57" t="s">
        <v>22</v>
      </c>
      <c r="M34" s="57"/>
      <c r="N34" s="58"/>
      <c r="O34" s="59"/>
      <c r="P34" s="78">
        <f>random_key!A2</f>
        <v>0.3018055165</v>
      </c>
    </row>
    <row r="35" ht="15.75" customHeight="1">
      <c r="A35" s="54">
        <v>98.0</v>
      </c>
      <c r="B35" s="55" t="s">
        <v>653</v>
      </c>
      <c r="C35" s="55" t="s">
        <v>822</v>
      </c>
      <c r="D35" s="55">
        <v>0.481</v>
      </c>
      <c r="E35" s="55" t="s">
        <v>21</v>
      </c>
      <c r="F35" s="55" t="s">
        <v>20</v>
      </c>
      <c r="G35" s="56"/>
      <c r="H35" s="57"/>
      <c r="I35" s="58" t="s">
        <v>22</v>
      </c>
      <c r="J35" s="57"/>
      <c r="K35" s="57"/>
      <c r="L35" s="57" t="s">
        <v>22</v>
      </c>
      <c r="M35" s="57" t="s">
        <v>22</v>
      </c>
      <c r="N35" s="58"/>
      <c r="O35" s="75" t="s">
        <v>850</v>
      </c>
      <c r="P35" s="78">
        <f>random_key!A98</f>
        <v>0.340759892</v>
      </c>
    </row>
    <row r="36" ht="15.75" customHeight="1">
      <c r="A36" s="54">
        <v>25.0</v>
      </c>
      <c r="B36" s="55" t="s">
        <v>414</v>
      </c>
      <c r="C36" s="55" t="s">
        <v>790</v>
      </c>
      <c r="D36" s="55">
        <v>0.114</v>
      </c>
      <c r="E36" s="55" t="s">
        <v>21</v>
      </c>
      <c r="F36" s="55" t="s">
        <v>20</v>
      </c>
      <c r="G36" s="56" t="s">
        <v>22</v>
      </c>
      <c r="H36" s="57"/>
      <c r="I36" s="58"/>
      <c r="J36" s="57" t="s">
        <v>22</v>
      </c>
      <c r="K36" s="57"/>
      <c r="L36" s="57"/>
      <c r="M36" s="57"/>
      <c r="N36" s="58"/>
      <c r="O36" s="59"/>
      <c r="P36" s="78">
        <f>random_key!A25</f>
        <v>0.3472535053</v>
      </c>
    </row>
    <row r="37" ht="15.75" customHeight="1">
      <c r="A37" s="54">
        <v>45.0</v>
      </c>
      <c r="B37" s="55" t="s">
        <v>481</v>
      </c>
      <c r="C37" s="55" t="s">
        <v>811</v>
      </c>
      <c r="D37" s="55">
        <v>0.934</v>
      </c>
      <c r="E37" s="55" t="s">
        <v>351</v>
      </c>
      <c r="F37" s="55" t="s">
        <v>21</v>
      </c>
      <c r="G37" s="56"/>
      <c r="H37" s="57" t="s">
        <v>22</v>
      </c>
      <c r="I37" s="58"/>
      <c r="J37" s="57"/>
      <c r="K37" s="57"/>
      <c r="L37" s="57" t="s">
        <v>22</v>
      </c>
      <c r="M37" s="57"/>
      <c r="N37" s="58"/>
      <c r="O37" s="59"/>
      <c r="P37" s="78">
        <f>random_key!A45</f>
        <v>0.3495666817</v>
      </c>
    </row>
    <row r="38" ht="15.75" customHeight="1">
      <c r="A38" s="54">
        <v>6.0</v>
      </c>
      <c r="B38" s="55" t="s">
        <v>361</v>
      </c>
      <c r="C38" s="55" t="s">
        <v>772</v>
      </c>
      <c r="D38" s="55">
        <v>0.125</v>
      </c>
      <c r="E38" s="55" t="s">
        <v>21</v>
      </c>
      <c r="F38" s="55" t="s">
        <v>20</v>
      </c>
      <c r="G38" s="56"/>
      <c r="H38" s="57" t="s">
        <v>22</v>
      </c>
      <c r="I38" s="58"/>
      <c r="J38" s="57"/>
      <c r="K38" s="57"/>
      <c r="L38" s="57"/>
      <c r="M38" s="57" t="s">
        <v>22</v>
      </c>
      <c r="N38" s="58"/>
      <c r="O38" s="59"/>
      <c r="P38" s="78">
        <f>random_key!A6</f>
        <v>0.3538941995</v>
      </c>
    </row>
    <row r="39" ht="15.75" customHeight="1">
      <c r="A39" s="54">
        <v>79.0</v>
      </c>
      <c r="B39" s="55" t="s">
        <v>588</v>
      </c>
      <c r="C39" s="55" t="s">
        <v>802</v>
      </c>
      <c r="D39" s="55">
        <v>0.425</v>
      </c>
      <c r="E39" s="55" t="s">
        <v>21</v>
      </c>
      <c r="F39" s="55" t="s">
        <v>20</v>
      </c>
      <c r="G39" s="56" t="s">
        <v>22</v>
      </c>
      <c r="H39" s="57"/>
      <c r="I39" s="58"/>
      <c r="J39" s="57" t="s">
        <v>22</v>
      </c>
      <c r="K39" s="57"/>
      <c r="L39" s="57"/>
      <c r="M39" s="57"/>
      <c r="N39" s="58"/>
      <c r="O39" s="59"/>
      <c r="P39" s="78">
        <f>random_key!A79</f>
        <v>0.4195941883</v>
      </c>
    </row>
    <row r="40" ht="15.75" customHeight="1">
      <c r="A40" s="54">
        <v>5.0</v>
      </c>
      <c r="B40" s="55" t="s">
        <v>359</v>
      </c>
      <c r="C40" s="55" t="s">
        <v>771</v>
      </c>
      <c r="D40" s="55">
        <v>0.973</v>
      </c>
      <c r="E40" s="55" t="s">
        <v>351</v>
      </c>
      <c r="F40" s="55" t="s">
        <v>21</v>
      </c>
      <c r="G40" s="56"/>
      <c r="H40" s="57" t="s">
        <v>22</v>
      </c>
      <c r="I40" s="58"/>
      <c r="J40" s="57"/>
      <c r="K40" s="57"/>
      <c r="L40" s="57"/>
      <c r="M40" s="57"/>
      <c r="N40" s="58" t="s">
        <v>22</v>
      </c>
      <c r="O40" s="59"/>
      <c r="P40" s="78">
        <f>random_key!A5</f>
        <v>0.4200862284</v>
      </c>
    </row>
    <row r="41" ht="15.75" customHeight="1">
      <c r="A41" s="54">
        <v>81.0</v>
      </c>
      <c r="B41" s="55" t="s">
        <v>595</v>
      </c>
      <c r="C41" s="55" t="s">
        <v>795</v>
      </c>
      <c r="D41" s="55">
        <v>0.915</v>
      </c>
      <c r="E41" s="55" t="s">
        <v>351</v>
      </c>
      <c r="F41" s="55" t="s">
        <v>21</v>
      </c>
      <c r="G41" s="56"/>
      <c r="H41" s="57" t="s">
        <v>22</v>
      </c>
      <c r="I41" s="58"/>
      <c r="J41" s="57"/>
      <c r="K41" s="57"/>
      <c r="L41" s="57" t="s">
        <v>22</v>
      </c>
      <c r="M41" s="57"/>
      <c r="N41" s="58"/>
      <c r="O41" s="59"/>
      <c r="P41" s="78">
        <f>random_key!A81</f>
        <v>0.4456763806</v>
      </c>
    </row>
    <row r="42" ht="15.75" customHeight="1">
      <c r="A42" s="54">
        <v>76.0</v>
      </c>
      <c r="B42" s="55" t="s">
        <v>579</v>
      </c>
      <c r="C42" s="55" t="s">
        <v>832</v>
      </c>
      <c r="D42" s="55">
        <v>0.006</v>
      </c>
      <c r="E42" s="55" t="s">
        <v>21</v>
      </c>
      <c r="F42" s="55" t="s">
        <v>20</v>
      </c>
      <c r="G42" s="56"/>
      <c r="H42" s="57" t="s">
        <v>22</v>
      </c>
      <c r="I42" s="58"/>
      <c r="J42" s="57"/>
      <c r="K42" s="57"/>
      <c r="L42" s="57"/>
      <c r="M42" s="57" t="s">
        <v>22</v>
      </c>
      <c r="N42" s="58"/>
      <c r="O42" s="59"/>
      <c r="P42" s="78">
        <f>random_key!A76</f>
        <v>0.4472647815</v>
      </c>
    </row>
    <row r="43" ht="15.75" customHeight="1">
      <c r="A43" s="54">
        <v>21.0</v>
      </c>
      <c r="B43" s="55" t="s">
        <v>404</v>
      </c>
      <c r="C43" s="55" t="s">
        <v>785</v>
      </c>
      <c r="D43" s="55">
        <v>0.004</v>
      </c>
      <c r="E43" s="55" t="s">
        <v>21</v>
      </c>
      <c r="F43" s="55" t="s">
        <v>26</v>
      </c>
      <c r="G43" s="56"/>
      <c r="H43" s="57" t="s">
        <v>22</v>
      </c>
      <c r="I43" s="58"/>
      <c r="J43" s="57"/>
      <c r="K43" s="57"/>
      <c r="L43" s="57"/>
      <c r="M43" s="57" t="s">
        <v>22</v>
      </c>
      <c r="N43" s="58"/>
      <c r="O43" s="59"/>
      <c r="P43" s="78">
        <f>random_key!A21</f>
        <v>0.4672776255</v>
      </c>
    </row>
    <row r="44" ht="15.75" customHeight="1">
      <c r="A44" s="54">
        <v>33.0</v>
      </c>
      <c r="B44" s="55" t="s">
        <v>439</v>
      </c>
      <c r="C44" s="55" t="s">
        <v>798</v>
      </c>
      <c r="D44" s="55">
        <v>0.047</v>
      </c>
      <c r="E44" s="55" t="s">
        <v>21</v>
      </c>
      <c r="F44" s="55" t="s">
        <v>20</v>
      </c>
      <c r="G44" s="56"/>
      <c r="H44" s="57"/>
      <c r="I44" s="58" t="s">
        <v>22</v>
      </c>
      <c r="J44" s="57"/>
      <c r="K44" s="57"/>
      <c r="L44" s="57"/>
      <c r="M44" s="57"/>
      <c r="N44" s="58"/>
      <c r="O44" s="59" t="s">
        <v>799</v>
      </c>
      <c r="P44" s="78">
        <f>random_key!A33</f>
        <v>0.48600759</v>
      </c>
    </row>
    <row r="45" ht="15.75" customHeight="1">
      <c r="A45" s="54">
        <v>59.0</v>
      </c>
      <c r="B45" s="55" t="s">
        <v>526</v>
      </c>
      <c r="C45" s="55" t="s">
        <v>808</v>
      </c>
      <c r="D45" s="55">
        <v>0.946</v>
      </c>
      <c r="E45" s="55" t="s">
        <v>351</v>
      </c>
      <c r="F45" s="55" t="s">
        <v>21</v>
      </c>
      <c r="G45" s="56" t="s">
        <v>22</v>
      </c>
      <c r="H45" s="57"/>
      <c r="I45" s="58"/>
      <c r="J45" s="57"/>
      <c r="K45" s="57"/>
      <c r="L45" s="57"/>
      <c r="M45" s="57" t="s">
        <v>22</v>
      </c>
      <c r="N45" s="58"/>
      <c r="O45" s="59"/>
      <c r="P45" s="78">
        <f>random_key!A59</f>
        <v>0.4909575479</v>
      </c>
    </row>
    <row r="46" ht="15.75" customHeight="1">
      <c r="A46" s="54">
        <v>42.0</v>
      </c>
      <c r="B46" s="55" t="s">
        <v>470</v>
      </c>
      <c r="C46" s="55" t="s">
        <v>808</v>
      </c>
      <c r="D46" s="55">
        <v>0.97</v>
      </c>
      <c r="E46" s="55" t="s">
        <v>351</v>
      </c>
      <c r="F46" s="55" t="s">
        <v>21</v>
      </c>
      <c r="G46" s="56"/>
      <c r="H46" s="57" t="s">
        <v>22</v>
      </c>
      <c r="I46" s="58"/>
      <c r="J46" s="57"/>
      <c r="K46" s="57"/>
      <c r="L46" s="57" t="s">
        <v>22</v>
      </c>
      <c r="M46" s="57"/>
      <c r="N46" s="58"/>
      <c r="O46" s="59"/>
      <c r="P46" s="78">
        <f>random_key!A42</f>
        <v>0.5062348543</v>
      </c>
    </row>
    <row r="47" ht="15.75" customHeight="1">
      <c r="A47" s="54">
        <v>38.0</v>
      </c>
      <c r="B47" s="55" t="s">
        <v>456</v>
      </c>
      <c r="C47" s="55" t="s">
        <v>803</v>
      </c>
      <c r="D47" s="55">
        <v>0.456</v>
      </c>
      <c r="E47" s="55" t="s">
        <v>21</v>
      </c>
      <c r="F47" s="55" t="s">
        <v>20</v>
      </c>
      <c r="G47" s="56"/>
      <c r="H47" s="57"/>
      <c r="I47" s="58" t="s">
        <v>22</v>
      </c>
      <c r="J47" s="57"/>
      <c r="K47" s="57"/>
      <c r="L47" s="57"/>
      <c r="M47" s="57"/>
      <c r="N47" s="58"/>
      <c r="O47" s="59" t="s">
        <v>804</v>
      </c>
      <c r="P47" s="78">
        <f>random_key!A38</f>
        <v>0.5320225834</v>
      </c>
    </row>
    <row r="48" ht="15.75" customHeight="1">
      <c r="A48" s="54">
        <v>57.0</v>
      </c>
      <c r="B48" s="55" t="s">
        <v>521</v>
      </c>
      <c r="C48" s="55" t="s">
        <v>819</v>
      </c>
      <c r="D48" s="55">
        <v>0.448</v>
      </c>
      <c r="E48" s="55" t="s">
        <v>351</v>
      </c>
      <c r="F48" s="55" t="s">
        <v>21</v>
      </c>
      <c r="G48" s="56" t="s">
        <v>22</v>
      </c>
      <c r="H48" s="57"/>
      <c r="I48" s="58"/>
      <c r="J48" s="57"/>
      <c r="K48" s="57"/>
      <c r="L48" s="57"/>
      <c r="M48" s="57" t="s">
        <v>22</v>
      </c>
      <c r="N48" s="58"/>
      <c r="O48" s="59"/>
      <c r="P48" s="78">
        <f>random_key!A57</f>
        <v>0.5392406636</v>
      </c>
    </row>
    <row r="49" ht="15.75" customHeight="1">
      <c r="A49" s="54">
        <v>95.0</v>
      </c>
      <c r="B49" s="55" t="s">
        <v>645</v>
      </c>
      <c r="C49" s="55" t="s">
        <v>848</v>
      </c>
      <c r="D49" s="55">
        <v>0.173</v>
      </c>
      <c r="E49" s="55" t="s">
        <v>21</v>
      </c>
      <c r="F49" s="55" t="s">
        <v>31</v>
      </c>
      <c r="G49" s="56" t="s">
        <v>22</v>
      </c>
      <c r="H49" s="57"/>
      <c r="I49" s="58"/>
      <c r="J49" s="57" t="s">
        <v>22</v>
      </c>
      <c r="K49" s="57"/>
      <c r="L49" s="57"/>
      <c r="M49" s="57"/>
      <c r="N49" s="58"/>
      <c r="O49" s="59"/>
      <c r="P49" s="78">
        <f>random_key!A95</f>
        <v>0.5528709074</v>
      </c>
    </row>
    <row r="50" ht="15.75" customHeight="1">
      <c r="A50" s="54">
        <v>8.0</v>
      </c>
      <c r="B50" s="55" t="s">
        <v>365</v>
      </c>
      <c r="C50" s="55" t="s">
        <v>773</v>
      </c>
      <c r="D50" s="55">
        <v>0.751</v>
      </c>
      <c r="E50" s="55" t="s">
        <v>351</v>
      </c>
      <c r="F50" s="55" t="s">
        <v>21</v>
      </c>
      <c r="G50" s="56"/>
      <c r="H50" s="57" t="s">
        <v>22</v>
      </c>
      <c r="I50" s="58"/>
      <c r="J50" s="57"/>
      <c r="K50" s="57"/>
      <c r="L50" s="57"/>
      <c r="M50" s="57"/>
      <c r="N50" s="58" t="s">
        <v>22</v>
      </c>
      <c r="O50" s="59"/>
      <c r="P50" s="78">
        <f>random_key!A8</f>
        <v>0.554984421</v>
      </c>
    </row>
    <row r="51" ht="15.75" customHeight="1">
      <c r="A51" s="54">
        <v>11.0</v>
      </c>
      <c r="B51" s="55" t="s">
        <v>374</v>
      </c>
      <c r="C51" s="55" t="s">
        <v>776</v>
      </c>
      <c r="D51" s="55">
        <v>0.053</v>
      </c>
      <c r="E51" s="55" t="s">
        <v>21</v>
      </c>
      <c r="F51" s="55" t="s">
        <v>26</v>
      </c>
      <c r="G51" s="56"/>
      <c r="H51" s="57" t="s">
        <v>22</v>
      </c>
      <c r="I51" s="58"/>
      <c r="J51" s="57"/>
      <c r="K51" s="57"/>
      <c r="L51" s="57"/>
      <c r="M51" s="57" t="s">
        <v>22</v>
      </c>
      <c r="N51" s="58"/>
      <c r="O51" s="59"/>
      <c r="P51" s="78">
        <f>random_key!A11</f>
        <v>0.5740921633</v>
      </c>
    </row>
    <row r="52" ht="15.75" customHeight="1">
      <c r="A52" s="54">
        <v>16.0</v>
      </c>
      <c r="B52" s="55" t="s">
        <v>387</v>
      </c>
      <c r="C52" s="55" t="s">
        <v>780</v>
      </c>
      <c r="D52" s="55">
        <v>0.007</v>
      </c>
      <c r="E52" s="55" t="s">
        <v>21</v>
      </c>
      <c r="F52" s="55" t="s">
        <v>20</v>
      </c>
      <c r="G52" s="56" t="s">
        <v>22</v>
      </c>
      <c r="H52" s="57"/>
      <c r="I52" s="58"/>
      <c r="J52" s="57" t="s">
        <v>22</v>
      </c>
      <c r="K52" s="57"/>
      <c r="L52" s="57"/>
      <c r="M52" s="57"/>
      <c r="N52" s="58"/>
      <c r="O52" s="59"/>
      <c r="P52" s="78">
        <f>random_key!A16</f>
        <v>0.5758198613</v>
      </c>
    </row>
    <row r="53" ht="15.75" customHeight="1">
      <c r="A53" s="54">
        <v>13.0</v>
      </c>
      <c r="B53" s="55" t="s">
        <v>377</v>
      </c>
      <c r="C53" s="55" t="s">
        <v>777</v>
      </c>
      <c r="D53" s="55">
        <v>0.964</v>
      </c>
      <c r="E53" s="55" t="s">
        <v>351</v>
      </c>
      <c r="F53" s="55" t="s">
        <v>21</v>
      </c>
      <c r="G53" s="56"/>
      <c r="H53" s="57" t="s">
        <v>22</v>
      </c>
      <c r="I53" s="58"/>
      <c r="J53" s="57"/>
      <c r="K53" s="57"/>
      <c r="L53" s="57" t="s">
        <v>22</v>
      </c>
      <c r="M53" s="57"/>
      <c r="N53" s="58"/>
      <c r="O53" s="59"/>
      <c r="P53" s="78">
        <f>random_key!A13</f>
        <v>0.5806079571</v>
      </c>
    </row>
    <row r="54" ht="15.75" customHeight="1">
      <c r="A54" s="54">
        <v>83.0</v>
      </c>
      <c r="B54" s="55" t="s">
        <v>602</v>
      </c>
      <c r="C54" s="55" t="s">
        <v>783</v>
      </c>
      <c r="D54" s="55">
        <v>0.167</v>
      </c>
      <c r="E54" s="55" t="s">
        <v>351</v>
      </c>
      <c r="F54" s="55" t="s">
        <v>20</v>
      </c>
      <c r="G54" s="56"/>
      <c r="H54" s="57"/>
      <c r="I54" s="58" t="s">
        <v>22</v>
      </c>
      <c r="J54" s="57"/>
      <c r="K54" s="57"/>
      <c r="L54" s="57"/>
      <c r="M54" s="57"/>
      <c r="N54" s="58" t="s">
        <v>22</v>
      </c>
      <c r="O54" s="59"/>
      <c r="P54" s="78">
        <f>random_key!A83</f>
        <v>0.5810969474</v>
      </c>
    </row>
    <row r="55" ht="15.75" customHeight="1">
      <c r="A55" s="54">
        <v>100.0</v>
      </c>
      <c r="B55" s="55" t="s">
        <v>660</v>
      </c>
      <c r="C55" s="55" t="s">
        <v>813</v>
      </c>
      <c r="D55" s="55">
        <v>0.714</v>
      </c>
      <c r="E55" s="55" t="s">
        <v>351</v>
      </c>
      <c r="F55" s="55" t="s">
        <v>21</v>
      </c>
      <c r="G55" s="56" t="s">
        <v>22</v>
      </c>
      <c r="H55" s="57"/>
      <c r="I55" s="58"/>
      <c r="J55" s="57"/>
      <c r="K55" s="57"/>
      <c r="L55" s="57"/>
      <c r="M55" s="57" t="s">
        <v>22</v>
      </c>
      <c r="N55" s="58"/>
      <c r="O55" s="59"/>
      <c r="P55" s="78">
        <f>random_key!A100</f>
        <v>0.5847508866</v>
      </c>
      <c r="Q55" s="72"/>
      <c r="R55" s="72"/>
      <c r="S55" s="72"/>
      <c r="T55" s="72"/>
      <c r="U55" s="72"/>
      <c r="V55" s="72"/>
      <c r="W55" s="72"/>
      <c r="X55" s="72"/>
      <c r="Y55" s="72"/>
    </row>
    <row r="56" ht="15.75" customHeight="1">
      <c r="A56" s="54">
        <v>18.0</v>
      </c>
      <c r="B56" s="55" t="s">
        <v>394</v>
      </c>
      <c r="C56" s="55" t="s">
        <v>783</v>
      </c>
      <c r="D56" s="55">
        <v>0.14</v>
      </c>
      <c r="E56" s="55" t="s">
        <v>21</v>
      </c>
      <c r="F56" s="55" t="s">
        <v>20</v>
      </c>
      <c r="G56" s="56" t="s">
        <v>22</v>
      </c>
      <c r="H56" s="57"/>
      <c r="I56" s="58"/>
      <c r="J56" s="57" t="s">
        <v>22</v>
      </c>
      <c r="K56" s="57"/>
      <c r="L56" s="57"/>
      <c r="M56" s="57"/>
      <c r="N56" s="58"/>
      <c r="O56" s="59"/>
      <c r="P56" s="78">
        <f>random_key!A18</f>
        <v>0.586809022</v>
      </c>
    </row>
    <row r="57" ht="15.75" customHeight="1">
      <c r="A57" s="54">
        <v>99.0</v>
      </c>
      <c r="B57" s="55" t="s">
        <v>656</v>
      </c>
      <c r="C57" s="55" t="s">
        <v>851</v>
      </c>
      <c r="D57" s="55">
        <v>0.161</v>
      </c>
      <c r="E57" s="55" t="s">
        <v>21</v>
      </c>
      <c r="F57" s="55" t="s">
        <v>20</v>
      </c>
      <c r="G57" s="56"/>
      <c r="H57" s="57" t="s">
        <v>22</v>
      </c>
      <c r="I57" s="58"/>
      <c r="J57" s="57"/>
      <c r="K57" s="57"/>
      <c r="L57" s="57"/>
      <c r="M57" s="57" t="s">
        <v>22</v>
      </c>
      <c r="N57" s="58"/>
      <c r="O57" s="59"/>
      <c r="P57" s="78">
        <f>random_key!A99</f>
        <v>0.5960798585</v>
      </c>
    </row>
    <row r="58" ht="15.75" customHeight="1">
      <c r="A58" s="54">
        <v>1.0</v>
      </c>
      <c r="B58" s="55" t="s">
        <v>345</v>
      </c>
      <c r="C58" s="55" t="s">
        <v>767</v>
      </c>
      <c r="D58" s="55">
        <v>0.125</v>
      </c>
      <c r="E58" s="55" t="s">
        <v>21</v>
      </c>
      <c r="F58" s="55" t="s">
        <v>31</v>
      </c>
      <c r="G58" s="56" t="s">
        <v>22</v>
      </c>
      <c r="H58" s="57"/>
      <c r="I58" s="58"/>
      <c r="J58" s="57" t="s">
        <v>22</v>
      </c>
      <c r="K58" s="57"/>
      <c r="L58" s="57"/>
      <c r="M58" s="57"/>
      <c r="N58" s="58"/>
      <c r="O58" s="59"/>
      <c r="P58" s="78">
        <f>random_key!A1</f>
        <v>0.6058113928</v>
      </c>
    </row>
    <row r="59" ht="15.75" customHeight="1">
      <c r="A59" s="54">
        <v>28.0</v>
      </c>
      <c r="B59" s="55" t="s">
        <v>424</v>
      </c>
      <c r="C59" s="55" t="s">
        <v>792</v>
      </c>
      <c r="D59" s="55">
        <v>0.229</v>
      </c>
      <c r="E59" s="55" t="s">
        <v>21</v>
      </c>
      <c r="F59" s="55" t="s">
        <v>31</v>
      </c>
      <c r="G59" s="56"/>
      <c r="H59" s="57"/>
      <c r="I59" s="58" t="s">
        <v>22</v>
      </c>
      <c r="J59" s="57"/>
      <c r="K59" s="57"/>
      <c r="L59" s="57"/>
      <c r="M59" s="57"/>
      <c r="N59" s="58"/>
      <c r="O59" s="59" t="s">
        <v>793</v>
      </c>
      <c r="P59" s="78">
        <f>random_key!A28</f>
        <v>0.6095717857</v>
      </c>
    </row>
    <row r="60" ht="15.75" customHeight="1">
      <c r="A60" s="54">
        <v>26.0</v>
      </c>
      <c r="B60" s="55" t="s">
        <v>417</v>
      </c>
      <c r="C60" s="55" t="s">
        <v>789</v>
      </c>
      <c r="D60" s="55">
        <v>0.07</v>
      </c>
      <c r="E60" s="55" t="s">
        <v>21</v>
      </c>
      <c r="F60" s="55" t="s">
        <v>20</v>
      </c>
      <c r="G60" s="56" t="s">
        <v>22</v>
      </c>
      <c r="H60" s="57"/>
      <c r="I60" s="58"/>
      <c r="J60" s="57" t="s">
        <v>22</v>
      </c>
      <c r="K60" s="57"/>
      <c r="L60" s="57"/>
      <c r="M60" s="57"/>
      <c r="N60" s="58"/>
      <c r="O60" s="59"/>
      <c r="P60" s="78">
        <f>random_key!A26</f>
        <v>0.6126845745</v>
      </c>
    </row>
    <row r="61" ht="15.75" customHeight="1">
      <c r="A61" s="54">
        <v>63.0</v>
      </c>
      <c r="B61" s="55" t="s">
        <v>539</v>
      </c>
      <c r="C61" s="55" t="s">
        <v>823</v>
      </c>
      <c r="D61" s="55">
        <v>0.413</v>
      </c>
      <c r="E61" s="55" t="s">
        <v>21</v>
      </c>
      <c r="F61" s="55" t="s">
        <v>31</v>
      </c>
      <c r="G61" s="56" t="s">
        <v>22</v>
      </c>
      <c r="H61" s="57"/>
      <c r="I61" s="58"/>
      <c r="J61" s="57" t="s">
        <v>22</v>
      </c>
      <c r="K61" s="57"/>
      <c r="L61" s="57"/>
      <c r="M61" s="57"/>
      <c r="N61" s="58"/>
      <c r="O61" s="59"/>
      <c r="P61" s="78">
        <f>random_key!A63</f>
        <v>0.6156882262</v>
      </c>
    </row>
    <row r="62" ht="15.75" customHeight="1">
      <c r="A62" s="54">
        <v>65.0</v>
      </c>
      <c r="B62" s="55" t="s">
        <v>545</v>
      </c>
      <c r="C62" s="55" t="s">
        <v>824</v>
      </c>
      <c r="D62" s="55">
        <v>0.003</v>
      </c>
      <c r="E62" s="55" t="s">
        <v>21</v>
      </c>
      <c r="F62" s="55" t="s">
        <v>26</v>
      </c>
      <c r="G62" s="56" t="s">
        <v>22</v>
      </c>
      <c r="H62" s="57"/>
      <c r="I62" s="58"/>
      <c r="J62" s="57"/>
      <c r="K62" s="57"/>
      <c r="L62" s="57"/>
      <c r="M62" s="57"/>
      <c r="N62" s="58" t="s">
        <v>22</v>
      </c>
      <c r="O62" s="59"/>
      <c r="P62" s="78">
        <f>random_key!A65</f>
        <v>0.6172641741</v>
      </c>
    </row>
    <row r="63" ht="15.75" customHeight="1">
      <c r="A63" s="54">
        <v>50.0</v>
      </c>
      <c r="B63" s="55" t="s">
        <v>497</v>
      </c>
      <c r="C63" s="55" t="s">
        <v>814</v>
      </c>
      <c r="D63" s="55">
        <v>0.317</v>
      </c>
      <c r="E63" s="55" t="s">
        <v>21</v>
      </c>
      <c r="F63" s="55" t="s">
        <v>20</v>
      </c>
      <c r="G63" s="56" t="s">
        <v>22</v>
      </c>
      <c r="H63" s="57"/>
      <c r="I63" s="58"/>
      <c r="J63" s="57"/>
      <c r="K63" s="57"/>
      <c r="L63" s="57"/>
      <c r="M63" s="57"/>
      <c r="N63" s="58" t="s">
        <v>22</v>
      </c>
      <c r="O63" s="59"/>
      <c r="P63" s="78">
        <f>random_key!A50</f>
        <v>0.6196514827</v>
      </c>
    </row>
    <row r="64" ht="15.75" customHeight="1">
      <c r="A64" s="54">
        <v>35.0</v>
      </c>
      <c r="B64" s="55" t="s">
        <v>445</v>
      </c>
      <c r="C64" s="55" t="s">
        <v>801</v>
      </c>
      <c r="D64" s="55">
        <v>0.068</v>
      </c>
      <c r="E64" s="55" t="s">
        <v>21</v>
      </c>
      <c r="F64" s="55" t="s">
        <v>20</v>
      </c>
      <c r="G64" s="56"/>
      <c r="H64" s="57" t="s">
        <v>22</v>
      </c>
      <c r="I64" s="58"/>
      <c r="J64" s="57"/>
      <c r="K64" s="57"/>
      <c r="L64" s="57"/>
      <c r="M64" s="57" t="s">
        <v>22</v>
      </c>
      <c r="N64" s="58"/>
      <c r="O64" s="59"/>
      <c r="P64" s="78">
        <f>random_key!A35</f>
        <v>0.6326865327</v>
      </c>
    </row>
    <row r="65" ht="15.75" customHeight="1">
      <c r="A65" s="54">
        <v>53.0</v>
      </c>
      <c r="B65" s="55" t="s">
        <v>508</v>
      </c>
      <c r="C65" s="55" t="s">
        <v>816</v>
      </c>
      <c r="D65" s="55">
        <v>0.013</v>
      </c>
      <c r="E65" s="55" t="s">
        <v>21</v>
      </c>
      <c r="F65" s="55" t="s">
        <v>20</v>
      </c>
      <c r="G65" s="56" t="s">
        <v>22</v>
      </c>
      <c r="H65" s="57"/>
      <c r="I65" s="58"/>
      <c r="J65" s="57" t="s">
        <v>22</v>
      </c>
      <c r="K65" s="57"/>
      <c r="L65" s="57"/>
      <c r="M65" s="57"/>
      <c r="N65" s="58"/>
      <c r="O65" s="59"/>
      <c r="P65" s="78">
        <f>random_key!A53</f>
        <v>0.6338566744</v>
      </c>
    </row>
    <row r="66" ht="15.75" customHeight="1">
      <c r="A66" s="54">
        <v>66.0</v>
      </c>
      <c r="B66" s="55" t="s">
        <v>547</v>
      </c>
      <c r="C66" s="55" t="s">
        <v>790</v>
      </c>
      <c r="D66" s="55">
        <v>0.271</v>
      </c>
      <c r="E66" s="55" t="s">
        <v>21</v>
      </c>
      <c r="F66" s="55" t="s">
        <v>20</v>
      </c>
      <c r="G66" s="56" t="s">
        <v>22</v>
      </c>
      <c r="H66" s="57"/>
      <c r="I66" s="58"/>
      <c r="J66" s="57" t="s">
        <v>22</v>
      </c>
      <c r="K66" s="57"/>
      <c r="L66" s="57"/>
      <c r="M66" s="57"/>
      <c r="N66" s="58"/>
      <c r="O66" s="59"/>
      <c r="P66" s="78">
        <f>random_key!A66</f>
        <v>0.6338980481</v>
      </c>
    </row>
    <row r="67" ht="15.75" customHeight="1">
      <c r="A67" s="54">
        <v>69.0</v>
      </c>
      <c r="B67" s="55" t="s">
        <v>557</v>
      </c>
      <c r="C67" s="55" t="s">
        <v>814</v>
      </c>
      <c r="D67" s="55">
        <v>0.468</v>
      </c>
      <c r="E67" s="55" t="s">
        <v>21</v>
      </c>
      <c r="F67" s="55" t="s">
        <v>31</v>
      </c>
      <c r="G67" s="56" t="s">
        <v>22</v>
      </c>
      <c r="H67" s="57"/>
      <c r="I67" s="58"/>
      <c r="J67" s="57"/>
      <c r="K67" s="57"/>
      <c r="L67" s="57"/>
      <c r="M67" s="57"/>
      <c r="N67" s="58" t="s">
        <v>22</v>
      </c>
      <c r="O67" s="59"/>
      <c r="P67" s="78">
        <f>random_key!A69</f>
        <v>0.6380938099</v>
      </c>
    </row>
    <row r="68" ht="15.75" customHeight="1">
      <c r="A68" s="54">
        <v>75.0</v>
      </c>
      <c r="B68" s="55" t="s">
        <v>575</v>
      </c>
      <c r="C68" s="55" t="s">
        <v>831</v>
      </c>
      <c r="D68" s="55">
        <v>0.825</v>
      </c>
      <c r="E68" s="55" t="s">
        <v>351</v>
      </c>
      <c r="F68" s="55" t="s">
        <v>21</v>
      </c>
      <c r="G68" s="56"/>
      <c r="H68" s="57" t="s">
        <v>22</v>
      </c>
      <c r="I68" s="58"/>
      <c r="J68" s="57"/>
      <c r="K68" s="57"/>
      <c r="L68" s="57" t="s">
        <v>22</v>
      </c>
      <c r="M68" s="57"/>
      <c r="N68" s="58"/>
      <c r="O68" s="59"/>
      <c r="P68" s="78">
        <f>random_key!A75</f>
        <v>0.647923742</v>
      </c>
    </row>
    <row r="69" ht="15.75" customHeight="1">
      <c r="A69" s="54">
        <v>58.0</v>
      </c>
      <c r="B69" s="55" t="s">
        <v>525</v>
      </c>
      <c r="C69" s="55" t="s">
        <v>776</v>
      </c>
      <c r="D69" s="55">
        <v>0.524</v>
      </c>
      <c r="E69" s="55" t="s">
        <v>351</v>
      </c>
      <c r="F69" s="55" t="s">
        <v>21</v>
      </c>
      <c r="G69" s="56" t="s">
        <v>22</v>
      </c>
      <c r="H69" s="57"/>
      <c r="I69" s="58"/>
      <c r="J69" s="57"/>
      <c r="K69" s="57"/>
      <c r="L69" s="57"/>
      <c r="M69" s="57" t="s">
        <v>22</v>
      </c>
      <c r="N69" s="58"/>
      <c r="O69" s="59"/>
      <c r="P69" s="78">
        <f>random_key!A58</f>
        <v>0.6700016504</v>
      </c>
    </row>
    <row r="70" ht="15.75" customHeight="1">
      <c r="A70" s="54">
        <v>12.0</v>
      </c>
      <c r="B70" s="55" t="s">
        <v>368</v>
      </c>
      <c r="C70" s="55" t="s">
        <v>774</v>
      </c>
      <c r="D70" s="55">
        <v>0.524</v>
      </c>
      <c r="E70" s="55" t="s">
        <v>351</v>
      </c>
      <c r="F70" s="55" t="s">
        <v>21</v>
      </c>
      <c r="G70" s="56"/>
      <c r="H70" s="57" t="s">
        <v>22</v>
      </c>
      <c r="I70" s="58"/>
      <c r="J70" s="57"/>
      <c r="K70" s="57"/>
      <c r="L70" s="57" t="s">
        <v>22</v>
      </c>
      <c r="M70" s="57"/>
      <c r="N70" s="58"/>
      <c r="O70" s="59"/>
      <c r="P70" s="78">
        <f>random_key!A12</f>
        <v>0.6836740545</v>
      </c>
    </row>
    <row r="71" ht="15.75" customHeight="1">
      <c r="A71" s="54">
        <v>10.0</v>
      </c>
      <c r="B71" s="55" t="s">
        <v>371</v>
      </c>
      <c r="C71" s="55" t="s">
        <v>775</v>
      </c>
      <c r="D71" s="55">
        <v>0.961</v>
      </c>
      <c r="E71" s="55" t="s">
        <v>351</v>
      </c>
      <c r="F71" s="55" t="s">
        <v>21</v>
      </c>
      <c r="G71" s="56"/>
      <c r="H71" s="57" t="s">
        <v>22</v>
      </c>
      <c r="I71" s="58"/>
      <c r="J71" s="57"/>
      <c r="K71" s="57"/>
      <c r="L71" s="57"/>
      <c r="M71" s="57"/>
      <c r="N71" s="58" t="s">
        <v>22</v>
      </c>
      <c r="O71" s="59"/>
      <c r="P71" s="78">
        <f>random_key!A10</f>
        <v>0.6919815096</v>
      </c>
    </row>
    <row r="72" ht="15.75" customHeight="1">
      <c r="A72" s="54">
        <v>39.0</v>
      </c>
      <c r="B72" s="55" t="s">
        <v>460</v>
      </c>
      <c r="C72" s="55" t="s">
        <v>805</v>
      </c>
      <c r="D72" s="55">
        <v>0.529</v>
      </c>
      <c r="E72" s="55" t="s">
        <v>351</v>
      </c>
      <c r="F72" s="55" t="s">
        <v>21</v>
      </c>
      <c r="G72" s="56" t="s">
        <v>22</v>
      </c>
      <c r="H72" s="57"/>
      <c r="I72" s="58"/>
      <c r="J72" s="57"/>
      <c r="K72" s="57"/>
      <c r="L72" s="57"/>
      <c r="M72" s="57" t="s">
        <v>22</v>
      </c>
      <c r="N72" s="58"/>
      <c r="O72" s="59"/>
      <c r="P72" s="78">
        <f>random_key!A39</f>
        <v>0.695756292</v>
      </c>
    </row>
    <row r="73" ht="15.75" customHeight="1">
      <c r="A73" s="54">
        <v>70.0</v>
      </c>
      <c r="B73" s="55" t="s">
        <v>560</v>
      </c>
      <c r="C73" s="55" t="s">
        <v>786</v>
      </c>
      <c r="D73" s="55">
        <v>0.222</v>
      </c>
      <c r="E73" s="55" t="s">
        <v>21</v>
      </c>
      <c r="F73" s="55" t="s">
        <v>31</v>
      </c>
      <c r="G73" s="56" t="s">
        <v>22</v>
      </c>
      <c r="H73" s="57"/>
      <c r="I73" s="58"/>
      <c r="J73" s="57" t="s">
        <v>22</v>
      </c>
      <c r="K73" s="57"/>
      <c r="L73" s="57"/>
      <c r="M73" s="57"/>
      <c r="N73" s="58"/>
      <c r="O73" s="59"/>
      <c r="P73" s="78">
        <f>random_key!A70</f>
        <v>0.7004230169</v>
      </c>
    </row>
    <row r="74" ht="15.75" customHeight="1">
      <c r="A74" s="54">
        <v>30.0</v>
      </c>
      <c r="B74" s="55" t="s">
        <v>431</v>
      </c>
      <c r="C74" s="55" t="s">
        <v>795</v>
      </c>
      <c r="D74" s="55">
        <v>0.002</v>
      </c>
      <c r="E74" s="55" t="s">
        <v>21</v>
      </c>
      <c r="F74" s="55" t="s">
        <v>20</v>
      </c>
      <c r="G74" s="56"/>
      <c r="H74" s="57" t="s">
        <v>22</v>
      </c>
      <c r="I74" s="58"/>
      <c r="J74" s="57"/>
      <c r="K74" s="57"/>
      <c r="L74" s="57"/>
      <c r="M74" s="57" t="s">
        <v>22</v>
      </c>
      <c r="N74" s="58"/>
      <c r="O74" s="59"/>
      <c r="P74" s="78">
        <f>random_key!A30</f>
        <v>0.723421083</v>
      </c>
    </row>
    <row r="75" ht="15.75" customHeight="1">
      <c r="A75" s="54">
        <v>90.0</v>
      </c>
      <c r="B75" s="55" t="s">
        <v>629</v>
      </c>
      <c r="C75" s="55" t="s">
        <v>844</v>
      </c>
      <c r="D75" s="55">
        <v>0.73</v>
      </c>
      <c r="E75" s="55" t="s">
        <v>351</v>
      </c>
      <c r="F75" s="55" t="s">
        <v>21</v>
      </c>
      <c r="G75" s="56"/>
      <c r="H75" s="57" t="s">
        <v>22</v>
      </c>
      <c r="I75" s="58"/>
      <c r="J75" s="57"/>
      <c r="K75" s="57"/>
      <c r="L75" s="57" t="s">
        <v>22</v>
      </c>
      <c r="M75" s="57"/>
      <c r="N75" s="58"/>
      <c r="O75" s="59"/>
      <c r="P75" s="78">
        <f>random_key!A90</f>
        <v>0.727142934</v>
      </c>
    </row>
    <row r="76" ht="15.75" customHeight="1">
      <c r="A76" s="54">
        <v>74.0</v>
      </c>
      <c r="B76" s="55" t="s">
        <v>571</v>
      </c>
      <c r="C76" s="55" t="s">
        <v>830</v>
      </c>
      <c r="D76" s="55">
        <v>0.553</v>
      </c>
      <c r="E76" s="55" t="s">
        <v>351</v>
      </c>
      <c r="F76" s="55" t="s">
        <v>21</v>
      </c>
      <c r="G76" s="56" t="s">
        <v>22</v>
      </c>
      <c r="H76" s="57"/>
      <c r="I76" s="58"/>
      <c r="J76" s="57"/>
      <c r="K76" s="57"/>
      <c r="L76" s="57"/>
      <c r="M76" s="57" t="s">
        <v>22</v>
      </c>
      <c r="N76" s="58"/>
      <c r="O76" s="59"/>
      <c r="P76" s="78">
        <f>random_key!A74</f>
        <v>0.7435089948</v>
      </c>
    </row>
    <row r="77" ht="15.75" customHeight="1">
      <c r="A77" s="54">
        <v>62.0</v>
      </c>
      <c r="B77" s="55" t="s">
        <v>536</v>
      </c>
      <c r="C77" s="55" t="s">
        <v>822</v>
      </c>
      <c r="D77" s="55">
        <v>0.921</v>
      </c>
      <c r="E77" s="55" t="s">
        <v>351</v>
      </c>
      <c r="F77" s="55" t="s">
        <v>21</v>
      </c>
      <c r="G77" s="56"/>
      <c r="H77" s="57" t="s">
        <v>22</v>
      </c>
      <c r="I77" s="58"/>
      <c r="J77" s="57"/>
      <c r="K77" s="57"/>
      <c r="L77" s="57" t="s">
        <v>22</v>
      </c>
      <c r="M77" s="57"/>
      <c r="N77" s="58"/>
      <c r="O77" s="59"/>
      <c r="P77" s="78">
        <f>random_key!A62</f>
        <v>0.7471633311</v>
      </c>
    </row>
    <row r="78" ht="15.75" customHeight="1">
      <c r="A78" s="54">
        <v>23.0</v>
      </c>
      <c r="B78" s="55" t="s">
        <v>408</v>
      </c>
      <c r="C78" s="55" t="s">
        <v>788</v>
      </c>
      <c r="D78" s="55">
        <v>0.417</v>
      </c>
      <c r="E78" s="55" t="s">
        <v>21</v>
      </c>
      <c r="F78" s="55" t="s">
        <v>31</v>
      </c>
      <c r="G78" s="56" t="s">
        <v>22</v>
      </c>
      <c r="H78" s="57"/>
      <c r="I78" s="58"/>
      <c r="J78" s="57" t="s">
        <v>22</v>
      </c>
      <c r="K78" s="57"/>
      <c r="L78" s="57" t="s">
        <v>22</v>
      </c>
      <c r="M78" s="57"/>
      <c r="N78" s="58"/>
      <c r="O78" s="59"/>
      <c r="P78" s="78">
        <f>random_key!A23</f>
        <v>0.7541920884</v>
      </c>
    </row>
    <row r="79" ht="15.75" customHeight="1">
      <c r="A79" s="54">
        <v>55.0</v>
      </c>
      <c r="B79" s="55" t="s">
        <v>513</v>
      </c>
      <c r="C79" s="55" t="s">
        <v>789</v>
      </c>
      <c r="D79" s="55">
        <v>0.692</v>
      </c>
      <c r="E79" s="55" t="s">
        <v>351</v>
      </c>
      <c r="F79" s="55" t="s">
        <v>21</v>
      </c>
      <c r="G79" s="56"/>
      <c r="H79" s="57" t="s">
        <v>22</v>
      </c>
      <c r="I79" s="58"/>
      <c r="J79" s="57"/>
      <c r="K79" s="57"/>
      <c r="L79" s="57" t="s">
        <v>22</v>
      </c>
      <c r="M79" s="57"/>
      <c r="N79" s="58"/>
      <c r="O79" s="59"/>
      <c r="P79" s="78">
        <f>random_key!A55</f>
        <v>0.7605468318</v>
      </c>
    </row>
    <row r="80" ht="15.75" customHeight="1">
      <c r="A80" s="54">
        <v>4.0</v>
      </c>
      <c r="B80" s="55" t="s">
        <v>356</v>
      </c>
      <c r="C80" s="55" t="s">
        <v>770</v>
      </c>
      <c r="D80" s="55">
        <v>0.5</v>
      </c>
      <c r="E80" s="55" t="s">
        <v>351</v>
      </c>
      <c r="F80" s="55" t="s">
        <v>21</v>
      </c>
      <c r="G80" s="56"/>
      <c r="H80" s="57" t="s">
        <v>22</v>
      </c>
      <c r="I80" s="58"/>
      <c r="J80" s="57"/>
      <c r="K80" s="57"/>
      <c r="L80" s="57"/>
      <c r="M80" s="57"/>
      <c r="N80" s="58" t="s">
        <v>22</v>
      </c>
      <c r="O80" s="59"/>
      <c r="P80" s="78">
        <f>random_key!A4</f>
        <v>0.7622668932</v>
      </c>
    </row>
    <row r="81" ht="15.75" customHeight="1">
      <c r="A81" s="54">
        <v>22.0</v>
      </c>
      <c r="B81" s="55" t="s">
        <v>406</v>
      </c>
      <c r="C81" s="55" t="s">
        <v>786</v>
      </c>
      <c r="D81" s="55">
        <v>0.122</v>
      </c>
      <c r="E81" s="55" t="s">
        <v>21</v>
      </c>
      <c r="F81" s="55" t="s">
        <v>31</v>
      </c>
      <c r="G81" s="56"/>
      <c r="H81" s="57"/>
      <c r="I81" s="58" t="s">
        <v>22</v>
      </c>
      <c r="J81" s="57"/>
      <c r="K81" s="57"/>
      <c r="L81" s="57"/>
      <c r="M81" s="57"/>
      <c r="N81" s="58"/>
      <c r="O81" s="59" t="s">
        <v>787</v>
      </c>
      <c r="P81" s="78">
        <f>random_key!A22</f>
        <v>0.7884075586</v>
      </c>
    </row>
    <row r="82" ht="15.75" customHeight="1">
      <c r="A82" s="54">
        <v>84.0</v>
      </c>
      <c r="B82" s="55" t="s">
        <v>605</v>
      </c>
      <c r="C82" s="55" t="s">
        <v>838</v>
      </c>
      <c r="D82" s="55">
        <v>0.911</v>
      </c>
      <c r="E82" s="55" t="s">
        <v>351</v>
      </c>
      <c r="F82" s="55" t="s">
        <v>21</v>
      </c>
      <c r="G82" s="56"/>
      <c r="H82" s="57" t="s">
        <v>22</v>
      </c>
      <c r="I82" s="58"/>
      <c r="J82" s="57"/>
      <c r="K82" s="57"/>
      <c r="L82" s="57" t="s">
        <v>22</v>
      </c>
      <c r="M82" s="57"/>
      <c r="N82" s="58"/>
      <c r="O82" s="59"/>
      <c r="P82" s="78">
        <f>random_key!A84</f>
        <v>0.7958894172</v>
      </c>
    </row>
    <row r="83" ht="15.75" customHeight="1">
      <c r="A83" s="54">
        <v>51.0</v>
      </c>
      <c r="B83" s="55" t="s">
        <v>501</v>
      </c>
      <c r="C83" s="55" t="s">
        <v>815</v>
      </c>
      <c r="D83" s="55">
        <v>0.166</v>
      </c>
      <c r="E83" s="55" t="s">
        <v>21</v>
      </c>
      <c r="F83" s="55" t="s">
        <v>31</v>
      </c>
      <c r="G83" s="56" t="s">
        <v>22</v>
      </c>
      <c r="H83" s="57"/>
      <c r="I83" s="58"/>
      <c r="J83" s="57"/>
      <c r="K83" s="57"/>
      <c r="L83" s="57"/>
      <c r="M83" s="57"/>
      <c r="N83" s="58" t="s">
        <v>22</v>
      </c>
      <c r="O83" s="59"/>
      <c r="P83" s="78">
        <f>random_key!A51</f>
        <v>0.799996192</v>
      </c>
    </row>
    <row r="84" ht="15.75" customHeight="1">
      <c r="A84" s="54">
        <v>68.0</v>
      </c>
      <c r="B84" s="55" t="s">
        <v>554</v>
      </c>
      <c r="C84" s="55" t="s">
        <v>826</v>
      </c>
      <c r="D84" s="55">
        <v>0.91</v>
      </c>
      <c r="E84" s="55" t="s">
        <v>351</v>
      </c>
      <c r="F84" s="55" t="s">
        <v>21</v>
      </c>
      <c r="G84" s="56"/>
      <c r="H84" s="57" t="s">
        <v>22</v>
      </c>
      <c r="I84" s="58"/>
      <c r="J84" s="57"/>
      <c r="K84" s="57"/>
      <c r="L84" s="57"/>
      <c r="M84" s="57"/>
      <c r="N84" s="58" t="s">
        <v>22</v>
      </c>
      <c r="O84" s="59"/>
      <c r="P84" s="78">
        <f>random_key!A68</f>
        <v>0.8182745013</v>
      </c>
    </row>
    <row r="85" ht="15.75" customHeight="1">
      <c r="A85" s="54">
        <v>43.0</v>
      </c>
      <c r="B85" s="55" t="s">
        <v>473</v>
      </c>
      <c r="C85" s="55" t="s">
        <v>809</v>
      </c>
      <c r="D85" s="55">
        <v>0.107</v>
      </c>
      <c r="E85" s="55" t="s">
        <v>21</v>
      </c>
      <c r="F85" s="55" t="s">
        <v>20</v>
      </c>
      <c r="G85" s="56"/>
      <c r="H85" s="57" t="s">
        <v>22</v>
      </c>
      <c r="I85" s="58"/>
      <c r="J85" s="57"/>
      <c r="K85" s="57"/>
      <c r="L85" s="57"/>
      <c r="M85" s="57" t="s">
        <v>22</v>
      </c>
      <c r="N85" s="58"/>
      <c r="O85" s="59"/>
      <c r="P85" s="78">
        <f>random_key!A43</f>
        <v>0.8376744095</v>
      </c>
    </row>
    <row r="86" ht="15.75" customHeight="1">
      <c r="A86" s="54">
        <v>89.0</v>
      </c>
      <c r="B86" s="55" t="s">
        <v>625</v>
      </c>
      <c r="C86" s="55" t="s">
        <v>843</v>
      </c>
      <c r="D86" s="55">
        <v>0.559</v>
      </c>
      <c r="E86" s="55" t="s">
        <v>351</v>
      </c>
      <c r="F86" s="55" t="s">
        <v>21</v>
      </c>
      <c r="G86" s="56" t="s">
        <v>22</v>
      </c>
      <c r="H86" s="57"/>
      <c r="I86" s="58"/>
      <c r="J86" s="57"/>
      <c r="K86" s="57"/>
      <c r="L86" s="57"/>
      <c r="M86" s="57" t="s">
        <v>22</v>
      </c>
      <c r="N86" s="58"/>
      <c r="O86" s="59"/>
      <c r="P86" s="78">
        <f>random_key!A89</f>
        <v>0.8543904858</v>
      </c>
    </row>
    <row r="87" ht="15.75" customHeight="1">
      <c r="A87" s="54">
        <v>40.0</v>
      </c>
      <c r="B87" s="55" t="s">
        <v>464</v>
      </c>
      <c r="C87" s="55" t="s">
        <v>806</v>
      </c>
      <c r="D87" s="55">
        <v>0.459</v>
      </c>
      <c r="E87" s="55" t="s">
        <v>21</v>
      </c>
      <c r="F87" s="55" t="s">
        <v>31</v>
      </c>
      <c r="G87" s="56" t="s">
        <v>22</v>
      </c>
      <c r="H87" s="57"/>
      <c r="I87" s="58"/>
      <c r="J87" s="57"/>
      <c r="K87" s="57" t="s">
        <v>22</v>
      </c>
      <c r="L87" s="57"/>
      <c r="M87" s="57"/>
      <c r="N87" s="58"/>
      <c r="O87" s="59"/>
      <c r="P87" s="78">
        <f>random_key!A40</f>
        <v>0.8587903714</v>
      </c>
    </row>
    <row r="88" ht="15.75" customHeight="1">
      <c r="A88" s="54">
        <v>67.0</v>
      </c>
      <c r="B88" s="55" t="s">
        <v>550</v>
      </c>
      <c r="C88" s="55" t="s">
        <v>825</v>
      </c>
      <c r="D88" s="55">
        <v>0.908</v>
      </c>
      <c r="E88" s="55" t="s">
        <v>351</v>
      </c>
      <c r="F88" s="55" t="s">
        <v>21</v>
      </c>
      <c r="G88" s="56"/>
      <c r="H88" s="57" t="s">
        <v>22</v>
      </c>
      <c r="I88" s="58"/>
      <c r="J88" s="57"/>
      <c r="K88" s="57"/>
      <c r="L88" s="57" t="s">
        <v>22</v>
      </c>
      <c r="M88" s="57"/>
      <c r="N88" s="58"/>
      <c r="O88" s="59"/>
      <c r="P88" s="78">
        <f>random_key!A67</f>
        <v>0.8642436393</v>
      </c>
    </row>
    <row r="89" ht="15.75" customHeight="1">
      <c r="A89" s="54">
        <v>86.0</v>
      </c>
      <c r="B89" s="55" t="s">
        <v>613</v>
      </c>
      <c r="C89" s="55" t="s">
        <v>840</v>
      </c>
      <c r="D89" s="55">
        <v>0.579</v>
      </c>
      <c r="E89" s="55" t="s">
        <v>351</v>
      </c>
      <c r="F89" s="55" t="s">
        <v>21</v>
      </c>
      <c r="G89" s="56" t="s">
        <v>22</v>
      </c>
      <c r="H89" s="57"/>
      <c r="I89" s="58"/>
      <c r="J89" s="57"/>
      <c r="K89" s="57"/>
      <c r="L89" s="57"/>
      <c r="M89" s="57" t="s">
        <v>22</v>
      </c>
      <c r="N89" s="58"/>
      <c r="O89" s="59"/>
      <c r="P89" s="78">
        <f>random_key!A86</f>
        <v>0.8755905375</v>
      </c>
    </row>
    <row r="90" ht="15.75" customHeight="1">
      <c r="A90" s="54">
        <v>72.0</v>
      </c>
      <c r="B90" s="55" t="s">
        <v>565</v>
      </c>
      <c r="C90" s="55" t="s">
        <v>828</v>
      </c>
      <c r="D90" s="55">
        <v>0.012</v>
      </c>
      <c r="E90" s="55" t="s">
        <v>21</v>
      </c>
      <c r="F90" s="55" t="s">
        <v>31</v>
      </c>
      <c r="G90" s="56" t="s">
        <v>22</v>
      </c>
      <c r="H90" s="57"/>
      <c r="I90" s="58"/>
      <c r="J90" s="57"/>
      <c r="K90" s="57"/>
      <c r="L90" s="57"/>
      <c r="M90" s="57"/>
      <c r="N90" s="58" t="s">
        <v>22</v>
      </c>
      <c r="O90" s="59"/>
      <c r="P90" s="78">
        <f>random_key!A72</f>
        <v>0.8871378581</v>
      </c>
    </row>
    <row r="91" ht="15.75" customHeight="1">
      <c r="A91" s="54">
        <v>80.0</v>
      </c>
      <c r="B91" s="55" t="s">
        <v>592</v>
      </c>
      <c r="C91" s="55" t="s">
        <v>819</v>
      </c>
      <c r="D91" s="55">
        <v>0.982</v>
      </c>
      <c r="E91" s="55" t="s">
        <v>351</v>
      </c>
      <c r="F91" s="55" t="s">
        <v>21</v>
      </c>
      <c r="G91" s="56"/>
      <c r="H91" s="57" t="s">
        <v>22</v>
      </c>
      <c r="I91" s="58"/>
      <c r="J91" s="57"/>
      <c r="K91" s="57"/>
      <c r="L91" s="57"/>
      <c r="M91" s="57"/>
      <c r="N91" s="58" t="s">
        <v>22</v>
      </c>
      <c r="O91" s="59"/>
      <c r="P91" s="78">
        <f>random_key!A80</f>
        <v>0.89023684</v>
      </c>
    </row>
    <row r="92" ht="15.75" customHeight="1">
      <c r="A92" s="54">
        <v>61.0</v>
      </c>
      <c r="B92" s="55" t="s">
        <v>532</v>
      </c>
      <c r="C92" s="55" t="s">
        <v>821</v>
      </c>
      <c r="D92" s="55">
        <v>0.307</v>
      </c>
      <c r="E92" s="55" t="s">
        <v>21</v>
      </c>
      <c r="F92" s="55" t="s">
        <v>26</v>
      </c>
      <c r="G92" s="56"/>
      <c r="H92" s="57" t="s">
        <v>22</v>
      </c>
      <c r="I92" s="58"/>
      <c r="J92" s="57"/>
      <c r="K92" s="57"/>
      <c r="L92" s="57"/>
      <c r="M92" s="57" t="s">
        <v>22</v>
      </c>
      <c r="N92" s="58"/>
      <c r="O92" s="59"/>
      <c r="P92" s="78">
        <f>random_key!A61</f>
        <v>0.8920769635</v>
      </c>
    </row>
    <row r="93" ht="15.75" customHeight="1">
      <c r="A93" s="54">
        <v>48.0</v>
      </c>
      <c r="B93" s="55" t="s">
        <v>491</v>
      </c>
      <c r="C93" s="55" t="s">
        <v>767</v>
      </c>
      <c r="D93" s="55">
        <v>0.8</v>
      </c>
      <c r="E93" s="55" t="s">
        <v>351</v>
      </c>
      <c r="F93" s="55" t="s">
        <v>21</v>
      </c>
      <c r="G93" s="56"/>
      <c r="H93" s="57" t="s">
        <v>22</v>
      </c>
      <c r="I93" s="58"/>
      <c r="J93" s="57"/>
      <c r="K93" s="57"/>
      <c r="L93" s="57"/>
      <c r="M93" s="57"/>
      <c r="N93" s="58" t="s">
        <v>22</v>
      </c>
      <c r="O93" s="59"/>
      <c r="P93" s="78">
        <f>random_key!A48</f>
        <v>0.9080452284</v>
      </c>
    </row>
    <row r="94" ht="15.75" customHeight="1">
      <c r="A94" s="54">
        <v>77.0</v>
      </c>
      <c r="B94" s="55" t="s">
        <v>581</v>
      </c>
      <c r="C94" s="55" t="s">
        <v>772</v>
      </c>
      <c r="D94" s="55">
        <v>0.475</v>
      </c>
      <c r="E94" s="55" t="s">
        <v>21</v>
      </c>
      <c r="F94" s="55" t="s">
        <v>20</v>
      </c>
      <c r="G94" s="56"/>
      <c r="H94" s="57"/>
      <c r="I94" s="58" t="s">
        <v>22</v>
      </c>
      <c r="J94" s="57"/>
      <c r="K94" s="57"/>
      <c r="L94" s="57"/>
      <c r="M94" s="57"/>
      <c r="N94" s="58"/>
      <c r="O94" s="59" t="s">
        <v>833</v>
      </c>
      <c r="P94" s="78">
        <f>random_key!A77</f>
        <v>0.9113679883</v>
      </c>
    </row>
    <row r="95" ht="15.75" customHeight="1">
      <c r="A95" s="54">
        <v>64.0</v>
      </c>
      <c r="B95" s="55" t="s">
        <v>542</v>
      </c>
      <c r="C95" s="55" t="s">
        <v>781</v>
      </c>
      <c r="D95" s="55">
        <v>0.824</v>
      </c>
      <c r="E95" s="55" t="s">
        <v>351</v>
      </c>
      <c r="F95" s="55" t="s">
        <v>21</v>
      </c>
      <c r="G95" s="56" t="s">
        <v>22</v>
      </c>
      <c r="H95" s="57"/>
      <c r="I95" s="58"/>
      <c r="J95" s="57"/>
      <c r="K95" s="57"/>
      <c r="L95" s="57"/>
      <c r="M95" s="57"/>
      <c r="N95" s="58" t="s">
        <v>22</v>
      </c>
      <c r="O95" s="59"/>
      <c r="P95" s="78">
        <f>random_key!A64</f>
        <v>0.9147453114</v>
      </c>
    </row>
    <row r="96" ht="15.75" customHeight="1">
      <c r="A96" s="54">
        <v>97.0</v>
      </c>
      <c r="B96" s="55" t="s">
        <v>650</v>
      </c>
      <c r="C96" s="55" t="s">
        <v>849</v>
      </c>
      <c r="D96" s="55">
        <v>0.978</v>
      </c>
      <c r="E96" s="55" t="s">
        <v>351</v>
      </c>
      <c r="F96" s="55" t="s">
        <v>21</v>
      </c>
      <c r="G96" s="56"/>
      <c r="H96" s="57" t="s">
        <v>22</v>
      </c>
      <c r="I96" s="58"/>
      <c r="J96" s="57"/>
      <c r="K96" s="57"/>
      <c r="L96" s="57" t="s">
        <v>22</v>
      </c>
      <c r="M96" s="57"/>
      <c r="N96" s="58"/>
      <c r="O96" s="59"/>
      <c r="P96" s="78">
        <f>random_key!A97</f>
        <v>0.9230041158</v>
      </c>
    </row>
    <row r="97" ht="15.75" customHeight="1">
      <c r="A97" s="54">
        <v>96.0</v>
      </c>
      <c r="B97" s="55" t="s">
        <v>649</v>
      </c>
      <c r="C97" s="55" t="s">
        <v>783</v>
      </c>
      <c r="D97" s="55">
        <v>0.137</v>
      </c>
      <c r="E97" s="55" t="s">
        <v>21</v>
      </c>
      <c r="F97" s="55" t="s">
        <v>20</v>
      </c>
      <c r="G97" s="56"/>
      <c r="H97" s="57"/>
      <c r="I97" s="58"/>
      <c r="J97" s="57"/>
      <c r="K97" s="57"/>
      <c r="L97" s="57"/>
      <c r="M97" s="57"/>
      <c r="N97" s="58"/>
      <c r="O97" s="59"/>
      <c r="P97" s="78">
        <f>random_key!A96</f>
        <v>0.92778417</v>
      </c>
    </row>
    <row r="98" ht="15.75" customHeight="1">
      <c r="A98" s="54">
        <v>94.0</v>
      </c>
      <c r="B98" s="55" t="s">
        <v>641</v>
      </c>
      <c r="C98" s="55" t="s">
        <v>846</v>
      </c>
      <c r="D98" s="55">
        <v>0.331</v>
      </c>
      <c r="E98" s="55" t="s">
        <v>21</v>
      </c>
      <c r="F98" s="55" t="s">
        <v>20</v>
      </c>
      <c r="G98" s="56"/>
      <c r="H98" s="57"/>
      <c r="I98" s="58" t="s">
        <v>22</v>
      </c>
      <c r="J98" s="57"/>
      <c r="K98" s="57"/>
      <c r="L98" s="57"/>
      <c r="M98" s="57" t="s">
        <v>22</v>
      </c>
      <c r="N98" s="58"/>
      <c r="O98" s="59" t="s">
        <v>847</v>
      </c>
      <c r="P98" s="78">
        <f>random_key!A94</f>
        <v>0.9413106865</v>
      </c>
    </row>
    <row r="99" ht="15.75" customHeight="1">
      <c r="A99" s="54">
        <v>93.0</v>
      </c>
      <c r="B99" s="55" t="s">
        <v>638</v>
      </c>
      <c r="C99" s="55" t="s">
        <v>845</v>
      </c>
      <c r="D99" s="55">
        <v>0.955</v>
      </c>
      <c r="E99" s="55" t="s">
        <v>351</v>
      </c>
      <c r="F99" s="55" t="s">
        <v>21</v>
      </c>
      <c r="G99" s="56"/>
      <c r="H99" s="57" t="s">
        <v>22</v>
      </c>
      <c r="I99" s="58"/>
      <c r="J99" s="57"/>
      <c r="K99" s="57"/>
      <c r="L99" s="57"/>
      <c r="M99" s="57" t="s">
        <v>22</v>
      </c>
      <c r="N99" s="58"/>
      <c r="O99" s="59"/>
      <c r="P99" s="78">
        <f>random_key!A93</f>
        <v>0.9602527706</v>
      </c>
    </row>
    <row r="100" ht="15.75" customHeight="1">
      <c r="A100" s="54">
        <v>46.0</v>
      </c>
      <c r="B100" s="55" t="s">
        <v>485</v>
      </c>
      <c r="C100" s="55" t="s">
        <v>772</v>
      </c>
      <c r="D100" s="55">
        <v>0.414</v>
      </c>
      <c r="E100" s="55" t="s">
        <v>21</v>
      </c>
      <c r="F100" s="55" t="s">
        <v>20</v>
      </c>
      <c r="G100" s="56"/>
      <c r="H100" s="57"/>
      <c r="I100" s="58" t="s">
        <v>22</v>
      </c>
      <c r="J100" s="57"/>
      <c r="K100" s="57"/>
      <c r="L100" s="57"/>
      <c r="M100" s="57"/>
      <c r="N100" s="58"/>
      <c r="O100" s="59" t="s">
        <v>812</v>
      </c>
      <c r="P100" s="78">
        <f>random_key!A46</f>
        <v>0.9629101769</v>
      </c>
    </row>
    <row r="101" ht="15.75" customHeight="1">
      <c r="A101" s="54">
        <v>27.0</v>
      </c>
      <c r="B101" s="55"/>
      <c r="C101" s="55" t="s">
        <v>791</v>
      </c>
      <c r="D101" s="55">
        <v>0.599</v>
      </c>
      <c r="E101" s="55" t="s">
        <v>351</v>
      </c>
      <c r="F101" s="55" t="s">
        <v>21</v>
      </c>
      <c r="G101" s="56" t="s">
        <v>22</v>
      </c>
      <c r="H101" s="57"/>
      <c r="I101" s="58"/>
      <c r="J101" s="57"/>
      <c r="K101" s="57"/>
      <c r="L101" s="57"/>
      <c r="M101" s="57" t="s">
        <v>22</v>
      </c>
      <c r="N101" s="58"/>
      <c r="O101" s="59"/>
      <c r="P101" s="78">
        <f>random_key!A27</f>
        <v>0.9854616735</v>
      </c>
    </row>
    <row r="102" ht="15.75" customHeight="1">
      <c r="A102" s="54">
        <v>3.0</v>
      </c>
      <c r="B102" s="55" t="s">
        <v>352</v>
      </c>
      <c r="C102" s="55" t="s">
        <v>769</v>
      </c>
      <c r="D102" s="55">
        <v>0.769</v>
      </c>
      <c r="E102" s="55" t="s">
        <v>351</v>
      </c>
      <c r="F102" s="55" t="s">
        <v>21</v>
      </c>
      <c r="G102" s="56" t="s">
        <v>22</v>
      </c>
      <c r="H102" s="57"/>
      <c r="I102" s="58"/>
      <c r="J102" s="57" t="s">
        <v>22</v>
      </c>
      <c r="K102" s="57"/>
      <c r="L102" s="57"/>
      <c r="M102" s="57"/>
      <c r="N102" s="58"/>
      <c r="O102" s="59"/>
      <c r="P102" s="78">
        <f>random_key!A3</f>
        <v>0.9970902728</v>
      </c>
    </row>
    <row r="103" ht="15.75" customHeight="1">
      <c r="A103" s="76">
        <v>54.0</v>
      </c>
      <c r="B103" s="63" t="s">
        <v>511</v>
      </c>
      <c r="C103" s="63" t="s">
        <v>817</v>
      </c>
      <c r="D103" s="63">
        <v>0.977</v>
      </c>
      <c r="E103" s="63" t="s">
        <v>351</v>
      </c>
      <c r="F103" s="63" t="s">
        <v>21</v>
      </c>
      <c r="G103" s="64"/>
      <c r="H103" s="65" t="s">
        <v>22</v>
      </c>
      <c r="I103" s="66"/>
      <c r="J103" s="65"/>
      <c r="K103" s="65"/>
      <c r="L103" s="65" t="s">
        <v>22</v>
      </c>
      <c r="M103" s="65"/>
      <c r="N103" s="66"/>
      <c r="O103" s="67"/>
      <c r="P103" s="78">
        <f>random_key!A54</f>
        <v>0.9973993648</v>
      </c>
      <c r="Q103" s="73"/>
      <c r="R103" s="73"/>
      <c r="S103" s="73"/>
      <c r="T103" s="73"/>
      <c r="U103" s="73"/>
      <c r="V103" s="73"/>
      <c r="W103" s="73"/>
      <c r="X103" s="73"/>
      <c r="Y103" s="73"/>
    </row>
    <row r="104" ht="15.75" customHeight="1">
      <c r="A104" s="39"/>
      <c r="B104" s="41"/>
      <c r="C104" s="41"/>
      <c r="D104" s="41"/>
      <c r="E104" s="41"/>
      <c r="F104" s="41"/>
      <c r="G104" s="70">
        <f t="shared" ref="G104:N104" si="1">COUNTIF(G4:G103,"x")</f>
        <v>43</v>
      </c>
      <c r="H104" s="41">
        <f t="shared" si="1"/>
        <v>44</v>
      </c>
      <c r="I104" s="41">
        <f t="shared" si="1"/>
        <v>12</v>
      </c>
      <c r="J104" s="41">
        <f t="shared" si="1"/>
        <v>18</v>
      </c>
      <c r="K104" s="41">
        <f t="shared" si="1"/>
        <v>1</v>
      </c>
      <c r="L104" s="41">
        <f t="shared" si="1"/>
        <v>27</v>
      </c>
      <c r="M104" s="41">
        <f t="shared" si="1"/>
        <v>31</v>
      </c>
      <c r="N104" s="41">
        <f t="shared" si="1"/>
        <v>16</v>
      </c>
      <c r="O104" s="42"/>
      <c r="P104" s="41"/>
    </row>
    <row r="105" ht="15.75" customHeight="1">
      <c r="A105" s="39"/>
      <c r="B105" s="41"/>
      <c r="C105" s="41"/>
      <c r="D105" s="41"/>
      <c r="E105" s="41"/>
      <c r="F105" s="41"/>
      <c r="G105" s="41"/>
      <c r="H105" s="41"/>
      <c r="I105" s="41"/>
      <c r="J105" s="41"/>
      <c r="K105" s="41"/>
      <c r="L105" s="41"/>
      <c r="M105" s="41"/>
      <c r="N105" s="41"/>
      <c r="O105" s="42"/>
      <c r="P105" s="41"/>
    </row>
    <row r="106" ht="15.75" customHeight="1">
      <c r="A106" s="39"/>
      <c r="B106" s="41"/>
      <c r="C106" s="41"/>
      <c r="D106" s="41"/>
      <c r="E106" s="41"/>
      <c r="F106" s="41"/>
      <c r="G106" s="41"/>
      <c r="H106" s="41"/>
      <c r="I106" s="41"/>
      <c r="J106" s="41"/>
      <c r="K106" s="41"/>
      <c r="L106" s="41"/>
      <c r="M106" s="41"/>
      <c r="N106" s="41"/>
      <c r="O106" s="42"/>
      <c r="P106" s="41"/>
    </row>
    <row r="107" ht="15.75" customHeight="1">
      <c r="A107" s="39"/>
      <c r="B107" s="41"/>
      <c r="C107" s="41"/>
      <c r="D107" s="41"/>
      <c r="E107" s="41"/>
      <c r="F107" s="41"/>
      <c r="G107" s="41"/>
      <c r="H107" s="41"/>
      <c r="I107" s="41"/>
      <c r="J107" s="41"/>
      <c r="K107" s="41"/>
      <c r="L107" s="41"/>
      <c r="M107" s="41"/>
      <c r="N107" s="41"/>
      <c r="O107" s="42"/>
      <c r="P107" s="41"/>
    </row>
    <row r="108" ht="15.75" customHeight="1">
      <c r="A108" s="39"/>
      <c r="B108" s="41"/>
      <c r="C108" s="41"/>
      <c r="D108" s="41"/>
      <c r="E108" s="41"/>
      <c r="F108" s="41"/>
      <c r="G108" s="41"/>
      <c r="H108" s="41"/>
      <c r="I108" s="41"/>
      <c r="J108" s="41"/>
      <c r="K108" s="41"/>
      <c r="L108" s="41"/>
      <c r="M108" s="41"/>
      <c r="N108" s="41"/>
      <c r="O108" s="42"/>
      <c r="P108" s="41"/>
    </row>
    <row r="109" ht="15.75" customHeight="1">
      <c r="A109" s="39"/>
      <c r="B109" s="41"/>
      <c r="C109" s="41"/>
      <c r="D109" s="41"/>
      <c r="E109" s="41"/>
      <c r="F109" s="41"/>
      <c r="G109" s="41"/>
      <c r="H109" s="41"/>
      <c r="I109" s="41"/>
      <c r="J109" s="41"/>
      <c r="K109" s="41"/>
      <c r="L109" s="41"/>
      <c r="M109" s="41"/>
      <c r="N109" s="41"/>
      <c r="O109" s="42"/>
      <c r="P109" s="41"/>
    </row>
    <row r="110" ht="15.75" customHeight="1">
      <c r="A110" s="39"/>
      <c r="B110" s="41"/>
      <c r="C110" s="41"/>
      <c r="D110" s="41"/>
      <c r="E110" s="41"/>
      <c r="F110" s="41"/>
      <c r="G110" s="41"/>
      <c r="H110" s="41"/>
      <c r="I110" s="41"/>
      <c r="J110" s="41"/>
      <c r="K110" s="41"/>
      <c r="L110" s="41"/>
      <c r="M110" s="41"/>
      <c r="N110" s="41"/>
      <c r="O110" s="42"/>
      <c r="P110" s="41"/>
    </row>
    <row r="111" ht="15.75" customHeight="1">
      <c r="A111" s="39"/>
      <c r="B111" s="41"/>
      <c r="C111" s="41"/>
      <c r="D111" s="41"/>
      <c r="E111" s="41"/>
      <c r="F111" s="41"/>
      <c r="G111" s="41"/>
      <c r="H111" s="41"/>
      <c r="I111" s="41"/>
      <c r="J111" s="41"/>
      <c r="K111" s="41"/>
      <c r="L111" s="41"/>
      <c r="M111" s="41"/>
      <c r="N111" s="41"/>
      <c r="O111" s="42"/>
      <c r="P111" s="41"/>
    </row>
    <row r="112" ht="15.75" customHeight="1">
      <c r="A112" s="39"/>
      <c r="B112" s="41"/>
      <c r="C112" s="41"/>
      <c r="D112" s="41"/>
      <c r="E112" s="41"/>
      <c r="F112" s="41"/>
      <c r="G112" s="41"/>
      <c r="H112" s="41"/>
      <c r="I112" s="41"/>
      <c r="J112" s="41"/>
      <c r="K112" s="41"/>
      <c r="L112" s="41"/>
      <c r="M112" s="41"/>
      <c r="N112" s="41"/>
      <c r="O112" s="42"/>
      <c r="P112" s="41"/>
    </row>
    <row r="113" ht="15.75" customHeight="1">
      <c r="A113" s="39"/>
      <c r="B113" s="41"/>
      <c r="C113" s="41"/>
      <c r="D113" s="41"/>
      <c r="E113" s="41"/>
      <c r="F113" s="41"/>
      <c r="G113" s="41"/>
      <c r="H113" s="41"/>
      <c r="I113" s="41"/>
      <c r="J113" s="41"/>
      <c r="K113" s="41"/>
      <c r="L113" s="41"/>
      <c r="M113" s="41"/>
      <c r="N113" s="41"/>
      <c r="O113" s="42"/>
      <c r="P113" s="41"/>
    </row>
    <row r="114" ht="15.75" customHeight="1">
      <c r="A114" s="39"/>
      <c r="B114" s="41"/>
      <c r="C114" s="41"/>
      <c r="D114" s="41"/>
      <c r="E114" s="41"/>
      <c r="F114" s="41"/>
      <c r="G114" s="41"/>
      <c r="H114" s="41"/>
      <c r="I114" s="41"/>
      <c r="J114" s="41"/>
      <c r="K114" s="41"/>
      <c r="L114" s="41"/>
      <c r="M114" s="41"/>
      <c r="N114" s="41"/>
      <c r="O114" s="42"/>
      <c r="P114" s="41"/>
    </row>
    <row r="115" ht="15.75" customHeight="1">
      <c r="A115" s="39"/>
      <c r="B115" s="41"/>
      <c r="C115" s="41"/>
      <c r="D115" s="41"/>
      <c r="E115" s="41"/>
      <c r="F115" s="41"/>
      <c r="G115" s="41"/>
      <c r="H115" s="41"/>
      <c r="I115" s="41"/>
      <c r="J115" s="41"/>
      <c r="K115" s="41"/>
      <c r="L115" s="41"/>
      <c r="M115" s="41"/>
      <c r="N115" s="41"/>
      <c r="O115" s="42"/>
      <c r="P115" s="41"/>
    </row>
    <row r="116" ht="15.75" customHeight="1">
      <c r="A116" s="39"/>
      <c r="B116" s="41"/>
      <c r="C116" s="41"/>
      <c r="D116" s="41"/>
      <c r="E116" s="41"/>
      <c r="F116" s="41"/>
      <c r="G116" s="41"/>
      <c r="H116" s="41"/>
      <c r="I116" s="41"/>
      <c r="J116" s="41"/>
      <c r="K116" s="41"/>
      <c r="L116" s="41"/>
      <c r="M116" s="41"/>
      <c r="N116" s="41"/>
      <c r="O116" s="42"/>
      <c r="P116" s="41"/>
    </row>
    <row r="117" ht="15.75" customHeight="1">
      <c r="A117" s="39"/>
      <c r="B117" s="41"/>
      <c r="C117" s="41"/>
      <c r="D117" s="41"/>
      <c r="E117" s="41"/>
      <c r="F117" s="41"/>
      <c r="G117" s="41"/>
      <c r="H117" s="41"/>
      <c r="I117" s="41"/>
      <c r="J117" s="41"/>
      <c r="K117" s="41"/>
      <c r="L117" s="41"/>
      <c r="M117" s="41"/>
      <c r="N117" s="41"/>
      <c r="O117" s="42"/>
      <c r="P117" s="41"/>
    </row>
    <row r="118" ht="15.75" customHeight="1">
      <c r="A118" s="39"/>
      <c r="B118" s="41"/>
      <c r="C118" s="41"/>
      <c r="D118" s="41"/>
      <c r="E118" s="41"/>
      <c r="F118" s="41"/>
      <c r="G118" s="41"/>
      <c r="H118" s="41"/>
      <c r="I118" s="41"/>
      <c r="J118" s="41"/>
      <c r="K118" s="41"/>
      <c r="L118" s="41"/>
      <c r="M118" s="41"/>
      <c r="N118" s="41"/>
      <c r="O118" s="42"/>
      <c r="P118" s="41"/>
    </row>
    <row r="119" ht="15.75" customHeight="1">
      <c r="A119" s="39"/>
      <c r="B119" s="41"/>
      <c r="C119" s="41"/>
      <c r="D119" s="41"/>
      <c r="E119" s="41"/>
      <c r="F119" s="41"/>
      <c r="G119" s="41"/>
      <c r="H119" s="41"/>
      <c r="I119" s="41"/>
      <c r="J119" s="41"/>
      <c r="K119" s="41"/>
      <c r="L119" s="41"/>
      <c r="M119" s="41"/>
      <c r="N119" s="41"/>
      <c r="O119" s="42"/>
      <c r="P119" s="41"/>
    </row>
    <row r="120" ht="15.75" customHeight="1">
      <c r="A120" s="39"/>
      <c r="B120" s="41"/>
      <c r="C120" s="41"/>
      <c r="D120" s="41"/>
      <c r="E120" s="41"/>
      <c r="F120" s="41"/>
      <c r="G120" s="41"/>
      <c r="H120" s="41"/>
      <c r="I120" s="41"/>
      <c r="J120" s="41"/>
      <c r="K120" s="41"/>
      <c r="L120" s="41"/>
      <c r="M120" s="41"/>
      <c r="N120" s="41"/>
      <c r="O120" s="42"/>
      <c r="P120" s="41"/>
    </row>
    <row r="121" ht="15.75" customHeight="1">
      <c r="A121" s="39"/>
      <c r="B121" s="41"/>
      <c r="C121" s="41"/>
      <c r="D121" s="41"/>
      <c r="E121" s="41"/>
      <c r="F121" s="41"/>
      <c r="G121" s="41"/>
      <c r="H121" s="41"/>
      <c r="I121" s="41"/>
      <c r="J121" s="41"/>
      <c r="K121" s="41"/>
      <c r="L121" s="41"/>
      <c r="M121" s="41"/>
      <c r="N121" s="41"/>
      <c r="O121" s="42"/>
      <c r="P121" s="41"/>
    </row>
    <row r="122" ht="15.75" customHeight="1">
      <c r="A122" s="39"/>
      <c r="B122" s="41"/>
      <c r="C122" s="41"/>
      <c r="D122" s="41"/>
      <c r="E122" s="41"/>
      <c r="F122" s="41"/>
      <c r="G122" s="41"/>
      <c r="H122" s="41"/>
      <c r="I122" s="41"/>
      <c r="J122" s="41"/>
      <c r="K122" s="41"/>
      <c r="L122" s="41"/>
      <c r="M122" s="41"/>
      <c r="N122" s="41"/>
      <c r="O122" s="42"/>
      <c r="P122" s="41"/>
    </row>
    <row r="123" ht="15.75" customHeight="1">
      <c r="A123" s="39"/>
      <c r="B123" s="41"/>
      <c r="C123" s="41"/>
      <c r="D123" s="41"/>
      <c r="E123" s="41"/>
      <c r="F123" s="41"/>
      <c r="G123" s="41"/>
      <c r="H123" s="41"/>
      <c r="I123" s="41"/>
      <c r="J123" s="41"/>
      <c r="K123" s="41"/>
      <c r="L123" s="41"/>
      <c r="M123" s="41"/>
      <c r="N123" s="41"/>
      <c r="O123" s="42"/>
      <c r="P123" s="41"/>
    </row>
    <row r="124" ht="15.75" customHeight="1">
      <c r="A124" s="39"/>
      <c r="B124" s="41"/>
      <c r="C124" s="41"/>
      <c r="D124" s="41"/>
      <c r="E124" s="41"/>
      <c r="F124" s="41"/>
      <c r="G124" s="41"/>
      <c r="H124" s="41"/>
      <c r="I124" s="41"/>
      <c r="J124" s="41"/>
      <c r="K124" s="41"/>
      <c r="L124" s="41"/>
      <c r="M124" s="41"/>
      <c r="N124" s="41"/>
      <c r="O124" s="42"/>
      <c r="P124" s="41"/>
    </row>
    <row r="125" ht="15.75" customHeight="1">
      <c r="A125" s="39"/>
      <c r="B125" s="41"/>
      <c r="C125" s="41"/>
      <c r="D125" s="41"/>
      <c r="E125" s="41"/>
      <c r="F125" s="41"/>
      <c r="G125" s="41"/>
      <c r="H125" s="41"/>
      <c r="I125" s="41"/>
      <c r="J125" s="41"/>
      <c r="K125" s="41"/>
      <c r="L125" s="41"/>
      <c r="M125" s="41"/>
      <c r="N125" s="41"/>
      <c r="O125" s="42"/>
      <c r="P125" s="41"/>
    </row>
    <row r="126" ht="15.75" customHeight="1">
      <c r="A126" s="39"/>
      <c r="B126" s="41"/>
      <c r="C126" s="41"/>
      <c r="D126" s="41"/>
      <c r="E126" s="41"/>
      <c r="F126" s="41"/>
      <c r="G126" s="41"/>
      <c r="H126" s="41"/>
      <c r="I126" s="41"/>
      <c r="J126" s="41"/>
      <c r="K126" s="41"/>
      <c r="L126" s="41"/>
      <c r="M126" s="41"/>
      <c r="N126" s="41"/>
      <c r="O126" s="42"/>
      <c r="P126" s="41"/>
    </row>
    <row r="127" ht="15.75" customHeight="1">
      <c r="A127" s="39"/>
      <c r="B127" s="41"/>
      <c r="C127" s="41"/>
      <c r="D127" s="41"/>
      <c r="E127" s="41"/>
      <c r="F127" s="41"/>
      <c r="G127" s="41"/>
      <c r="H127" s="41"/>
      <c r="I127" s="41"/>
      <c r="J127" s="41"/>
      <c r="K127" s="41"/>
      <c r="L127" s="41"/>
      <c r="M127" s="41"/>
      <c r="N127" s="41"/>
      <c r="O127" s="42"/>
      <c r="P127" s="41"/>
    </row>
    <row r="128" ht="15.75" customHeight="1">
      <c r="A128" s="39"/>
      <c r="B128" s="41"/>
      <c r="C128" s="41"/>
      <c r="D128" s="41"/>
      <c r="E128" s="41"/>
      <c r="F128" s="41"/>
      <c r="G128" s="41"/>
      <c r="H128" s="41"/>
      <c r="I128" s="41"/>
      <c r="J128" s="41"/>
      <c r="K128" s="41"/>
      <c r="L128" s="41"/>
      <c r="M128" s="41"/>
      <c r="N128" s="41"/>
      <c r="O128" s="42"/>
      <c r="P128" s="41"/>
    </row>
    <row r="129" ht="15.75" customHeight="1">
      <c r="A129" s="39"/>
      <c r="B129" s="41"/>
      <c r="C129" s="41"/>
      <c r="D129" s="41"/>
      <c r="E129" s="41"/>
      <c r="F129" s="41"/>
      <c r="G129" s="41"/>
      <c r="H129" s="41"/>
      <c r="I129" s="41"/>
      <c r="J129" s="41"/>
      <c r="K129" s="41"/>
      <c r="L129" s="41"/>
      <c r="M129" s="41"/>
      <c r="N129" s="41"/>
      <c r="O129" s="42"/>
      <c r="P129" s="41"/>
    </row>
    <row r="130" ht="15.75" customHeight="1">
      <c r="A130" s="39"/>
      <c r="B130" s="41"/>
      <c r="C130" s="41"/>
      <c r="D130" s="41"/>
      <c r="E130" s="41"/>
      <c r="F130" s="41"/>
      <c r="G130" s="41"/>
      <c r="H130" s="41"/>
      <c r="I130" s="41"/>
      <c r="J130" s="41"/>
      <c r="K130" s="41"/>
      <c r="L130" s="41"/>
      <c r="M130" s="41"/>
      <c r="N130" s="41"/>
      <c r="O130" s="42"/>
      <c r="P130" s="41"/>
    </row>
    <row r="131" ht="15.75" customHeight="1">
      <c r="A131" s="39"/>
      <c r="B131" s="41"/>
      <c r="C131" s="41"/>
      <c r="D131" s="41"/>
      <c r="E131" s="41"/>
      <c r="F131" s="41"/>
      <c r="G131" s="41"/>
      <c r="H131" s="41"/>
      <c r="I131" s="41"/>
      <c r="J131" s="41"/>
      <c r="K131" s="41"/>
      <c r="L131" s="41"/>
      <c r="M131" s="41"/>
      <c r="N131" s="41"/>
      <c r="O131" s="42"/>
      <c r="P131" s="41"/>
    </row>
    <row r="132" ht="15.75" customHeight="1">
      <c r="A132" s="39"/>
      <c r="B132" s="41"/>
      <c r="C132" s="41"/>
      <c r="D132" s="41"/>
      <c r="E132" s="41"/>
      <c r="F132" s="41"/>
      <c r="G132" s="41"/>
      <c r="H132" s="41"/>
      <c r="I132" s="41"/>
      <c r="J132" s="41"/>
      <c r="K132" s="41"/>
      <c r="L132" s="41"/>
      <c r="M132" s="41"/>
      <c r="N132" s="41"/>
      <c r="O132" s="42"/>
      <c r="P132" s="41"/>
    </row>
    <row r="133" ht="15.75" customHeight="1">
      <c r="A133" s="39"/>
      <c r="B133" s="41"/>
      <c r="C133" s="41"/>
      <c r="D133" s="41"/>
      <c r="E133" s="41"/>
      <c r="F133" s="41"/>
      <c r="G133" s="41"/>
      <c r="H133" s="41"/>
      <c r="I133" s="41"/>
      <c r="J133" s="41"/>
      <c r="K133" s="41"/>
      <c r="L133" s="41"/>
      <c r="M133" s="41"/>
      <c r="N133" s="41"/>
      <c r="O133" s="42"/>
      <c r="P133" s="41"/>
    </row>
    <row r="134" ht="15.75" customHeight="1">
      <c r="A134" s="39"/>
      <c r="B134" s="41"/>
      <c r="C134" s="41"/>
      <c r="D134" s="41"/>
      <c r="E134" s="41"/>
      <c r="F134" s="41"/>
      <c r="G134" s="41"/>
      <c r="H134" s="41"/>
      <c r="I134" s="41"/>
      <c r="J134" s="41"/>
      <c r="K134" s="41"/>
      <c r="L134" s="41"/>
      <c r="M134" s="41"/>
      <c r="N134" s="41"/>
      <c r="O134" s="42"/>
      <c r="P134" s="41"/>
    </row>
    <row r="135" ht="15.75" customHeight="1">
      <c r="A135" s="39"/>
      <c r="B135" s="41"/>
      <c r="C135" s="41"/>
      <c r="D135" s="41"/>
      <c r="E135" s="41"/>
      <c r="F135" s="41"/>
      <c r="G135" s="41"/>
      <c r="H135" s="41"/>
      <c r="I135" s="41"/>
      <c r="J135" s="41"/>
      <c r="K135" s="41"/>
      <c r="L135" s="41"/>
      <c r="M135" s="41"/>
      <c r="N135" s="41"/>
      <c r="O135" s="42"/>
      <c r="P135" s="41"/>
    </row>
    <row r="136" ht="15.75" customHeight="1">
      <c r="A136" s="39"/>
      <c r="B136" s="41"/>
      <c r="C136" s="41"/>
      <c r="D136" s="41"/>
      <c r="E136" s="41"/>
      <c r="F136" s="41"/>
      <c r="G136" s="41"/>
      <c r="H136" s="41"/>
      <c r="I136" s="41"/>
      <c r="J136" s="41"/>
      <c r="K136" s="41"/>
      <c r="L136" s="41"/>
      <c r="M136" s="41"/>
      <c r="N136" s="41"/>
      <c r="O136" s="42"/>
      <c r="P136" s="41"/>
    </row>
    <row r="137" ht="15.75" customHeight="1">
      <c r="A137" s="39"/>
      <c r="B137" s="41"/>
      <c r="C137" s="41"/>
      <c r="D137" s="41"/>
      <c r="E137" s="41"/>
      <c r="F137" s="41"/>
      <c r="G137" s="41"/>
      <c r="H137" s="41"/>
      <c r="I137" s="41"/>
      <c r="J137" s="41"/>
      <c r="K137" s="41"/>
      <c r="L137" s="41"/>
      <c r="M137" s="41"/>
      <c r="N137" s="41"/>
      <c r="O137" s="42"/>
      <c r="P137" s="41"/>
    </row>
    <row r="138" ht="15.75" customHeight="1">
      <c r="A138" s="39"/>
      <c r="B138" s="41"/>
      <c r="C138" s="41"/>
      <c r="D138" s="41"/>
      <c r="E138" s="41"/>
      <c r="F138" s="41"/>
      <c r="G138" s="41"/>
      <c r="H138" s="41"/>
      <c r="I138" s="41"/>
      <c r="J138" s="41"/>
      <c r="K138" s="41"/>
      <c r="L138" s="41"/>
      <c r="M138" s="41"/>
      <c r="N138" s="41"/>
      <c r="O138" s="42"/>
      <c r="P138" s="41"/>
    </row>
    <row r="139" ht="15.75" customHeight="1">
      <c r="A139" s="39"/>
      <c r="B139" s="41"/>
      <c r="C139" s="41"/>
      <c r="D139" s="41"/>
      <c r="E139" s="41"/>
      <c r="F139" s="41"/>
      <c r="G139" s="41"/>
      <c r="H139" s="41"/>
      <c r="I139" s="41"/>
      <c r="J139" s="41"/>
      <c r="K139" s="41"/>
      <c r="L139" s="41"/>
      <c r="M139" s="41"/>
      <c r="N139" s="41"/>
      <c r="O139" s="42"/>
      <c r="P139" s="41"/>
    </row>
    <row r="140" ht="15.75" customHeight="1">
      <c r="A140" s="39"/>
      <c r="B140" s="41"/>
      <c r="C140" s="41"/>
      <c r="D140" s="41"/>
      <c r="E140" s="41"/>
      <c r="F140" s="41"/>
      <c r="G140" s="41"/>
      <c r="H140" s="41"/>
      <c r="I140" s="41"/>
      <c r="J140" s="41"/>
      <c r="K140" s="41"/>
      <c r="L140" s="41"/>
      <c r="M140" s="41"/>
      <c r="N140" s="41"/>
      <c r="O140" s="42"/>
      <c r="P140" s="41"/>
    </row>
    <row r="141" ht="15.75" customHeight="1">
      <c r="A141" s="39"/>
      <c r="B141" s="41"/>
      <c r="C141" s="41"/>
      <c r="D141" s="41"/>
      <c r="E141" s="41"/>
      <c r="F141" s="41"/>
      <c r="G141" s="41"/>
      <c r="H141" s="41"/>
      <c r="I141" s="41"/>
      <c r="J141" s="41"/>
      <c r="K141" s="41"/>
      <c r="L141" s="41"/>
      <c r="M141" s="41"/>
      <c r="N141" s="41"/>
      <c r="O141" s="42"/>
      <c r="P141" s="41"/>
    </row>
    <row r="142" ht="15.75" customHeight="1">
      <c r="A142" s="39"/>
      <c r="B142" s="41"/>
      <c r="C142" s="41"/>
      <c r="D142" s="41"/>
      <c r="E142" s="41"/>
      <c r="F142" s="41"/>
      <c r="G142" s="41"/>
      <c r="H142" s="41"/>
      <c r="I142" s="41"/>
      <c r="J142" s="41"/>
      <c r="K142" s="41"/>
      <c r="L142" s="41"/>
      <c r="M142" s="41"/>
      <c r="N142" s="41"/>
      <c r="O142" s="42"/>
      <c r="P142" s="41"/>
    </row>
    <row r="143" ht="15.75" customHeight="1">
      <c r="A143" s="39"/>
      <c r="B143" s="41"/>
      <c r="C143" s="41"/>
      <c r="D143" s="41"/>
      <c r="E143" s="41"/>
      <c r="F143" s="41"/>
      <c r="G143" s="41"/>
      <c r="H143" s="41"/>
      <c r="I143" s="41"/>
      <c r="J143" s="41"/>
      <c r="K143" s="41"/>
      <c r="L143" s="41"/>
      <c r="M143" s="41"/>
      <c r="N143" s="41"/>
      <c r="O143" s="42"/>
      <c r="P143" s="41"/>
    </row>
    <row r="144" ht="15.75" customHeight="1">
      <c r="A144" s="39"/>
      <c r="B144" s="41"/>
      <c r="C144" s="41"/>
      <c r="D144" s="41"/>
      <c r="E144" s="41"/>
      <c r="F144" s="41"/>
      <c r="G144" s="41"/>
      <c r="H144" s="41"/>
      <c r="I144" s="41"/>
      <c r="J144" s="41"/>
      <c r="K144" s="41"/>
      <c r="L144" s="41"/>
      <c r="M144" s="41"/>
      <c r="N144" s="41"/>
      <c r="O144" s="42"/>
      <c r="P144" s="41"/>
    </row>
    <row r="145" ht="15.75" customHeight="1">
      <c r="A145" s="39"/>
      <c r="B145" s="41"/>
      <c r="C145" s="41"/>
      <c r="D145" s="41"/>
      <c r="E145" s="41"/>
      <c r="F145" s="41"/>
      <c r="G145" s="41"/>
      <c r="H145" s="41"/>
      <c r="I145" s="41"/>
      <c r="J145" s="41"/>
      <c r="K145" s="41"/>
      <c r="L145" s="41"/>
      <c r="M145" s="41"/>
      <c r="N145" s="41"/>
      <c r="O145" s="42"/>
      <c r="P145" s="41"/>
    </row>
    <row r="146" ht="15.75" customHeight="1">
      <c r="A146" s="39"/>
      <c r="B146" s="41"/>
      <c r="C146" s="41"/>
      <c r="D146" s="41"/>
      <c r="E146" s="41"/>
      <c r="F146" s="41"/>
      <c r="G146" s="41"/>
      <c r="H146" s="41"/>
      <c r="I146" s="41"/>
      <c r="J146" s="41"/>
      <c r="K146" s="41"/>
      <c r="L146" s="41"/>
      <c r="M146" s="41"/>
      <c r="N146" s="41"/>
      <c r="O146" s="42"/>
      <c r="P146" s="41"/>
    </row>
    <row r="147" ht="15.75" customHeight="1">
      <c r="A147" s="39"/>
      <c r="B147" s="41"/>
      <c r="C147" s="41"/>
      <c r="D147" s="41"/>
      <c r="E147" s="41"/>
      <c r="F147" s="41"/>
      <c r="G147" s="41"/>
      <c r="H147" s="41"/>
      <c r="I147" s="41"/>
      <c r="J147" s="41"/>
      <c r="K147" s="41"/>
      <c r="L147" s="41"/>
      <c r="M147" s="41"/>
      <c r="N147" s="41"/>
      <c r="O147" s="42"/>
      <c r="P147" s="41"/>
    </row>
    <row r="148" ht="15.75" customHeight="1">
      <c r="A148" s="39"/>
      <c r="B148" s="41"/>
      <c r="C148" s="41"/>
      <c r="D148" s="41"/>
      <c r="E148" s="41"/>
      <c r="F148" s="41"/>
      <c r="G148" s="41"/>
      <c r="H148" s="41"/>
      <c r="I148" s="41"/>
      <c r="J148" s="41"/>
      <c r="K148" s="41"/>
      <c r="L148" s="41"/>
      <c r="M148" s="41"/>
      <c r="N148" s="41"/>
      <c r="O148" s="42"/>
      <c r="P148" s="41"/>
    </row>
    <row r="149" ht="15.75" customHeight="1">
      <c r="A149" s="39"/>
      <c r="B149" s="41"/>
      <c r="C149" s="41"/>
      <c r="D149" s="41"/>
      <c r="E149" s="41"/>
      <c r="F149" s="41"/>
      <c r="G149" s="41"/>
      <c r="H149" s="41"/>
      <c r="I149" s="41"/>
      <c r="J149" s="41"/>
      <c r="K149" s="41"/>
      <c r="L149" s="41"/>
      <c r="M149" s="41"/>
      <c r="N149" s="41"/>
      <c r="O149" s="42"/>
      <c r="P149" s="41"/>
    </row>
    <row r="150" ht="15.75" customHeight="1">
      <c r="A150" s="39"/>
      <c r="B150" s="41"/>
      <c r="C150" s="41"/>
      <c r="D150" s="41"/>
      <c r="E150" s="41"/>
      <c r="F150" s="41"/>
      <c r="G150" s="41"/>
      <c r="H150" s="41"/>
      <c r="I150" s="41"/>
      <c r="J150" s="41"/>
      <c r="K150" s="41"/>
      <c r="L150" s="41"/>
      <c r="M150" s="41"/>
      <c r="N150" s="41"/>
      <c r="O150" s="42"/>
      <c r="P150" s="41"/>
    </row>
    <row r="151" ht="15.75" customHeight="1">
      <c r="A151" s="39"/>
      <c r="B151" s="41"/>
      <c r="C151" s="41"/>
      <c r="D151" s="41"/>
      <c r="E151" s="41"/>
      <c r="F151" s="41"/>
      <c r="G151" s="41"/>
      <c r="H151" s="41"/>
      <c r="I151" s="41"/>
      <c r="J151" s="41"/>
      <c r="K151" s="41"/>
      <c r="L151" s="41"/>
      <c r="M151" s="41"/>
      <c r="N151" s="41"/>
      <c r="O151" s="42"/>
      <c r="P151" s="41"/>
    </row>
    <row r="152" ht="15.75" customHeight="1">
      <c r="A152" s="39"/>
      <c r="B152" s="41"/>
      <c r="C152" s="41"/>
      <c r="D152" s="41"/>
      <c r="E152" s="41"/>
      <c r="F152" s="41"/>
      <c r="G152" s="41"/>
      <c r="H152" s="41"/>
      <c r="I152" s="41"/>
      <c r="J152" s="41"/>
      <c r="K152" s="41"/>
      <c r="L152" s="41"/>
      <c r="M152" s="41"/>
      <c r="N152" s="41"/>
      <c r="O152" s="42"/>
      <c r="P152" s="41"/>
    </row>
    <row r="153" ht="15.75" customHeight="1">
      <c r="A153" s="39"/>
      <c r="B153" s="41"/>
      <c r="C153" s="41"/>
      <c r="D153" s="41"/>
      <c r="E153" s="41"/>
      <c r="F153" s="41"/>
      <c r="G153" s="41"/>
      <c r="H153" s="41"/>
      <c r="I153" s="41"/>
      <c r="J153" s="41"/>
      <c r="K153" s="41"/>
      <c r="L153" s="41"/>
      <c r="M153" s="41"/>
      <c r="N153" s="41"/>
      <c r="O153" s="42"/>
      <c r="P153" s="41"/>
    </row>
    <row r="154" ht="15.75" customHeight="1">
      <c r="A154" s="39"/>
      <c r="B154" s="41"/>
      <c r="C154" s="41"/>
      <c r="D154" s="41"/>
      <c r="E154" s="41"/>
      <c r="F154" s="41"/>
      <c r="G154" s="41"/>
      <c r="H154" s="41"/>
      <c r="I154" s="41"/>
      <c r="J154" s="41"/>
      <c r="K154" s="41"/>
      <c r="L154" s="41"/>
      <c r="M154" s="41"/>
      <c r="N154" s="41"/>
      <c r="O154" s="42"/>
      <c r="P154" s="41"/>
    </row>
    <row r="155" ht="15.75" customHeight="1">
      <c r="A155" s="39"/>
      <c r="B155" s="41"/>
      <c r="C155" s="41"/>
      <c r="D155" s="41"/>
      <c r="E155" s="41"/>
      <c r="F155" s="41"/>
      <c r="G155" s="41"/>
      <c r="H155" s="41"/>
      <c r="I155" s="41"/>
      <c r="J155" s="41"/>
      <c r="K155" s="41"/>
      <c r="L155" s="41"/>
      <c r="M155" s="41"/>
      <c r="N155" s="41"/>
      <c r="O155" s="42"/>
      <c r="P155" s="41"/>
    </row>
    <row r="156" ht="15.75" customHeight="1">
      <c r="A156" s="39"/>
      <c r="B156" s="41"/>
      <c r="C156" s="41"/>
      <c r="D156" s="41"/>
      <c r="E156" s="41"/>
      <c r="F156" s="41"/>
      <c r="G156" s="41"/>
      <c r="H156" s="41"/>
      <c r="I156" s="41"/>
      <c r="J156" s="41"/>
      <c r="K156" s="41"/>
      <c r="L156" s="41"/>
      <c r="M156" s="41"/>
      <c r="N156" s="41"/>
      <c r="O156" s="42"/>
      <c r="P156" s="41"/>
    </row>
    <row r="157" ht="15.75" customHeight="1">
      <c r="A157" s="39"/>
      <c r="B157" s="41"/>
      <c r="C157" s="41"/>
      <c r="D157" s="41"/>
      <c r="E157" s="41"/>
      <c r="F157" s="41"/>
      <c r="G157" s="41"/>
      <c r="H157" s="41"/>
      <c r="I157" s="41"/>
      <c r="J157" s="41"/>
      <c r="K157" s="41"/>
      <c r="L157" s="41"/>
      <c r="M157" s="41"/>
      <c r="N157" s="41"/>
      <c r="O157" s="42"/>
      <c r="P157" s="41"/>
    </row>
    <row r="158" ht="15.75" customHeight="1">
      <c r="A158" s="39"/>
      <c r="B158" s="41"/>
      <c r="C158" s="41"/>
      <c r="D158" s="41"/>
      <c r="E158" s="41"/>
      <c r="F158" s="41"/>
      <c r="G158" s="41"/>
      <c r="H158" s="41"/>
      <c r="I158" s="41"/>
      <c r="J158" s="41"/>
      <c r="K158" s="41"/>
      <c r="L158" s="41"/>
      <c r="M158" s="41"/>
      <c r="N158" s="41"/>
      <c r="O158" s="42"/>
      <c r="P158" s="41"/>
    </row>
    <row r="159" ht="15.75" customHeight="1">
      <c r="A159" s="39"/>
      <c r="B159" s="41"/>
      <c r="C159" s="41"/>
      <c r="D159" s="41"/>
      <c r="E159" s="41"/>
      <c r="F159" s="41"/>
      <c r="G159" s="41"/>
      <c r="H159" s="41"/>
      <c r="I159" s="41"/>
      <c r="J159" s="41"/>
      <c r="K159" s="41"/>
      <c r="L159" s="41"/>
      <c r="M159" s="41"/>
      <c r="N159" s="41"/>
      <c r="O159" s="42"/>
      <c r="P159" s="41"/>
    </row>
    <row r="160" ht="15.75" customHeight="1">
      <c r="A160" s="39"/>
      <c r="B160" s="41"/>
      <c r="C160" s="41"/>
      <c r="D160" s="41"/>
      <c r="E160" s="41"/>
      <c r="F160" s="41"/>
      <c r="G160" s="41"/>
      <c r="H160" s="41"/>
      <c r="I160" s="41"/>
      <c r="J160" s="41"/>
      <c r="K160" s="41"/>
      <c r="L160" s="41"/>
      <c r="M160" s="41"/>
      <c r="N160" s="41"/>
      <c r="O160" s="42"/>
      <c r="P160" s="41"/>
    </row>
    <row r="161" ht="15.75" customHeight="1">
      <c r="A161" s="39"/>
      <c r="B161" s="41"/>
      <c r="C161" s="41"/>
      <c r="D161" s="41"/>
      <c r="E161" s="41"/>
      <c r="F161" s="41"/>
      <c r="G161" s="41"/>
      <c r="H161" s="41"/>
      <c r="I161" s="41"/>
      <c r="J161" s="41"/>
      <c r="K161" s="41"/>
      <c r="L161" s="41"/>
      <c r="M161" s="41"/>
      <c r="N161" s="41"/>
      <c r="O161" s="42"/>
      <c r="P161" s="41"/>
    </row>
    <row r="162" ht="15.75" customHeight="1">
      <c r="A162" s="39"/>
      <c r="B162" s="41"/>
      <c r="C162" s="41"/>
      <c r="D162" s="41"/>
      <c r="E162" s="41"/>
      <c r="F162" s="41"/>
      <c r="G162" s="41"/>
      <c r="H162" s="41"/>
      <c r="I162" s="41"/>
      <c r="J162" s="41"/>
      <c r="K162" s="41"/>
      <c r="L162" s="41"/>
      <c r="M162" s="41"/>
      <c r="N162" s="41"/>
      <c r="O162" s="42"/>
      <c r="P162" s="41"/>
    </row>
    <row r="163" ht="15.75" customHeight="1">
      <c r="A163" s="39"/>
      <c r="B163" s="41"/>
      <c r="C163" s="41"/>
      <c r="D163" s="41"/>
      <c r="E163" s="41"/>
      <c r="F163" s="41"/>
      <c r="G163" s="41"/>
      <c r="H163" s="41"/>
      <c r="I163" s="41"/>
      <c r="J163" s="41"/>
      <c r="K163" s="41"/>
      <c r="L163" s="41"/>
      <c r="M163" s="41"/>
      <c r="N163" s="41"/>
      <c r="O163" s="42"/>
      <c r="P163" s="41"/>
    </row>
    <row r="164" ht="15.75" customHeight="1">
      <c r="A164" s="39"/>
      <c r="B164" s="41"/>
      <c r="C164" s="41"/>
      <c r="D164" s="41"/>
      <c r="E164" s="41"/>
      <c r="F164" s="41"/>
      <c r="G164" s="41"/>
      <c r="H164" s="41"/>
      <c r="I164" s="41"/>
      <c r="J164" s="41"/>
      <c r="K164" s="41"/>
      <c r="L164" s="41"/>
      <c r="M164" s="41"/>
      <c r="N164" s="41"/>
      <c r="O164" s="42"/>
      <c r="P164" s="41"/>
    </row>
    <row r="165" ht="15.75" customHeight="1">
      <c r="A165" s="39"/>
      <c r="B165" s="41"/>
      <c r="C165" s="41"/>
      <c r="D165" s="41"/>
      <c r="E165" s="41"/>
      <c r="F165" s="41"/>
      <c r="G165" s="41"/>
      <c r="H165" s="41"/>
      <c r="I165" s="41"/>
      <c r="J165" s="41"/>
      <c r="K165" s="41"/>
      <c r="L165" s="41"/>
      <c r="M165" s="41"/>
      <c r="N165" s="41"/>
      <c r="O165" s="42"/>
      <c r="P165" s="41"/>
    </row>
    <row r="166" ht="15.75" customHeight="1">
      <c r="A166" s="39"/>
      <c r="B166" s="41"/>
      <c r="C166" s="41"/>
      <c r="D166" s="41"/>
      <c r="E166" s="41"/>
      <c r="F166" s="41"/>
      <c r="G166" s="41"/>
      <c r="H166" s="41"/>
      <c r="I166" s="41"/>
      <c r="J166" s="41"/>
      <c r="K166" s="41"/>
      <c r="L166" s="41"/>
      <c r="M166" s="41"/>
      <c r="N166" s="41"/>
      <c r="O166" s="42"/>
      <c r="P166" s="41"/>
    </row>
    <row r="167" ht="15.75" customHeight="1">
      <c r="A167" s="39"/>
      <c r="B167" s="41"/>
      <c r="C167" s="41"/>
      <c r="D167" s="41"/>
      <c r="E167" s="41"/>
      <c r="F167" s="41"/>
      <c r="G167" s="41"/>
      <c r="H167" s="41"/>
      <c r="I167" s="41"/>
      <c r="J167" s="41"/>
      <c r="K167" s="41"/>
      <c r="L167" s="41"/>
      <c r="M167" s="41"/>
      <c r="N167" s="41"/>
      <c r="O167" s="42"/>
      <c r="P167" s="41"/>
    </row>
    <row r="168" ht="15.75" customHeight="1">
      <c r="A168" s="39"/>
      <c r="B168" s="41"/>
      <c r="C168" s="41"/>
      <c r="D168" s="41"/>
      <c r="E168" s="41"/>
      <c r="F168" s="41"/>
      <c r="G168" s="41"/>
      <c r="H168" s="41"/>
      <c r="I168" s="41"/>
      <c r="J168" s="41"/>
      <c r="K168" s="41"/>
      <c r="L168" s="41"/>
      <c r="M168" s="41"/>
      <c r="N168" s="41"/>
      <c r="O168" s="42"/>
      <c r="P168" s="41"/>
    </row>
    <row r="169" ht="15.75" customHeight="1">
      <c r="A169" s="39"/>
      <c r="B169" s="41"/>
      <c r="C169" s="41"/>
      <c r="D169" s="41"/>
      <c r="E169" s="41"/>
      <c r="F169" s="41"/>
      <c r="G169" s="41"/>
      <c r="H169" s="41"/>
      <c r="I169" s="41"/>
      <c r="J169" s="41"/>
      <c r="K169" s="41"/>
      <c r="L169" s="41"/>
      <c r="M169" s="41"/>
      <c r="N169" s="41"/>
      <c r="O169" s="42"/>
      <c r="P169" s="41"/>
    </row>
    <row r="170" ht="15.75" customHeight="1">
      <c r="A170" s="39"/>
      <c r="B170" s="41"/>
      <c r="C170" s="41"/>
      <c r="D170" s="41"/>
      <c r="E170" s="41"/>
      <c r="F170" s="41"/>
      <c r="G170" s="41"/>
      <c r="H170" s="41"/>
      <c r="I170" s="41"/>
      <c r="J170" s="41"/>
      <c r="K170" s="41"/>
      <c r="L170" s="41"/>
      <c r="M170" s="41"/>
      <c r="N170" s="41"/>
      <c r="O170" s="42"/>
      <c r="P170" s="41"/>
    </row>
    <row r="171" ht="15.75" customHeight="1">
      <c r="A171" s="39"/>
      <c r="B171" s="41"/>
      <c r="C171" s="41"/>
      <c r="D171" s="41"/>
      <c r="E171" s="41"/>
      <c r="F171" s="41"/>
      <c r="G171" s="41"/>
      <c r="H171" s="41"/>
      <c r="I171" s="41"/>
      <c r="J171" s="41"/>
      <c r="K171" s="41"/>
      <c r="L171" s="41"/>
      <c r="M171" s="41"/>
      <c r="N171" s="41"/>
      <c r="O171" s="42"/>
      <c r="P171" s="41"/>
    </row>
    <row r="172" ht="15.75" customHeight="1">
      <c r="A172" s="39"/>
      <c r="B172" s="41"/>
      <c r="C172" s="41"/>
      <c r="D172" s="41"/>
      <c r="E172" s="41"/>
      <c r="F172" s="41"/>
      <c r="G172" s="41"/>
      <c r="H172" s="41"/>
      <c r="I172" s="41"/>
      <c r="J172" s="41"/>
      <c r="K172" s="41"/>
      <c r="L172" s="41"/>
      <c r="M172" s="41"/>
      <c r="N172" s="41"/>
      <c r="O172" s="42"/>
      <c r="P172" s="41"/>
    </row>
    <row r="173" ht="15.75" customHeight="1">
      <c r="A173" s="39"/>
      <c r="B173" s="41"/>
      <c r="C173" s="41"/>
      <c r="D173" s="41"/>
      <c r="E173" s="41"/>
      <c r="F173" s="41"/>
      <c r="G173" s="41"/>
      <c r="H173" s="41"/>
      <c r="I173" s="41"/>
      <c r="J173" s="41"/>
      <c r="K173" s="41"/>
      <c r="L173" s="41"/>
      <c r="M173" s="41"/>
      <c r="N173" s="41"/>
      <c r="O173" s="42"/>
      <c r="P173" s="41"/>
    </row>
    <row r="174" ht="15.75" customHeight="1">
      <c r="A174" s="39"/>
      <c r="B174" s="41"/>
      <c r="C174" s="41"/>
      <c r="D174" s="41"/>
      <c r="E174" s="41"/>
      <c r="F174" s="41"/>
      <c r="G174" s="41"/>
      <c r="H174" s="41"/>
      <c r="I174" s="41"/>
      <c r="J174" s="41"/>
      <c r="K174" s="41"/>
      <c r="L174" s="41"/>
      <c r="M174" s="41"/>
      <c r="N174" s="41"/>
      <c r="O174" s="42"/>
      <c r="P174" s="41"/>
    </row>
    <row r="175" ht="15.75" customHeight="1">
      <c r="A175" s="39"/>
      <c r="B175" s="41"/>
      <c r="C175" s="41"/>
      <c r="D175" s="41"/>
      <c r="E175" s="41"/>
      <c r="F175" s="41"/>
      <c r="G175" s="41"/>
      <c r="H175" s="41"/>
      <c r="I175" s="41"/>
      <c r="J175" s="41"/>
      <c r="K175" s="41"/>
      <c r="L175" s="41"/>
      <c r="M175" s="41"/>
      <c r="N175" s="41"/>
      <c r="O175" s="42"/>
      <c r="P175" s="41"/>
    </row>
    <row r="176" ht="15.75" customHeight="1">
      <c r="A176" s="39"/>
      <c r="B176" s="41"/>
      <c r="C176" s="41"/>
      <c r="D176" s="41"/>
      <c r="E176" s="41"/>
      <c r="F176" s="41"/>
      <c r="G176" s="41"/>
      <c r="H176" s="41"/>
      <c r="I176" s="41"/>
      <c r="J176" s="41"/>
      <c r="K176" s="41"/>
      <c r="L176" s="41"/>
      <c r="M176" s="41"/>
      <c r="N176" s="41"/>
      <c r="O176" s="42"/>
      <c r="P176" s="41"/>
    </row>
    <row r="177" ht="15.75" customHeight="1">
      <c r="A177" s="39"/>
      <c r="B177" s="41"/>
      <c r="C177" s="41"/>
      <c r="D177" s="41"/>
      <c r="E177" s="41"/>
      <c r="F177" s="41"/>
      <c r="G177" s="41"/>
      <c r="H177" s="41"/>
      <c r="I177" s="41"/>
      <c r="J177" s="41"/>
      <c r="K177" s="41"/>
      <c r="L177" s="41"/>
      <c r="M177" s="41"/>
      <c r="N177" s="41"/>
      <c r="O177" s="42"/>
      <c r="P177" s="41"/>
    </row>
    <row r="178" ht="15.75" customHeight="1">
      <c r="A178" s="39"/>
      <c r="B178" s="41"/>
      <c r="C178" s="41"/>
      <c r="D178" s="41"/>
      <c r="E178" s="41"/>
      <c r="F178" s="41"/>
      <c r="G178" s="41"/>
      <c r="H178" s="41"/>
      <c r="I178" s="41"/>
      <c r="J178" s="41"/>
      <c r="K178" s="41"/>
      <c r="L178" s="41"/>
      <c r="M178" s="41"/>
      <c r="N178" s="41"/>
      <c r="O178" s="42"/>
      <c r="P178" s="41"/>
    </row>
    <row r="179" ht="15.75" customHeight="1">
      <c r="A179" s="39"/>
      <c r="B179" s="41"/>
      <c r="C179" s="41"/>
      <c r="D179" s="41"/>
      <c r="E179" s="41"/>
      <c r="F179" s="41"/>
      <c r="G179" s="41"/>
      <c r="H179" s="41"/>
      <c r="I179" s="41"/>
      <c r="J179" s="41"/>
      <c r="K179" s="41"/>
      <c r="L179" s="41"/>
      <c r="M179" s="41"/>
      <c r="N179" s="41"/>
      <c r="O179" s="42"/>
      <c r="P179" s="41"/>
    </row>
    <row r="180" ht="15.75" customHeight="1">
      <c r="A180" s="39"/>
      <c r="B180" s="41"/>
      <c r="C180" s="41"/>
      <c r="D180" s="41"/>
      <c r="E180" s="41"/>
      <c r="F180" s="41"/>
      <c r="G180" s="41"/>
      <c r="H180" s="41"/>
      <c r="I180" s="41"/>
      <c r="J180" s="41"/>
      <c r="K180" s="41"/>
      <c r="L180" s="41"/>
      <c r="M180" s="41"/>
      <c r="N180" s="41"/>
      <c r="O180" s="42"/>
      <c r="P180" s="41"/>
    </row>
    <row r="181" ht="15.75" customHeight="1">
      <c r="A181" s="39"/>
      <c r="B181" s="41"/>
      <c r="C181" s="41"/>
      <c r="D181" s="41"/>
      <c r="E181" s="41"/>
      <c r="F181" s="41"/>
      <c r="G181" s="41"/>
      <c r="H181" s="41"/>
      <c r="I181" s="41"/>
      <c r="J181" s="41"/>
      <c r="K181" s="41"/>
      <c r="L181" s="41"/>
      <c r="M181" s="41"/>
      <c r="N181" s="41"/>
      <c r="O181" s="42"/>
      <c r="P181" s="41"/>
    </row>
    <row r="182" ht="15.75" customHeight="1">
      <c r="A182" s="39"/>
      <c r="B182" s="41"/>
      <c r="C182" s="41"/>
      <c r="D182" s="41"/>
      <c r="E182" s="41"/>
      <c r="F182" s="41"/>
      <c r="G182" s="41"/>
      <c r="H182" s="41"/>
      <c r="I182" s="41"/>
      <c r="J182" s="41"/>
      <c r="K182" s="41"/>
      <c r="L182" s="41"/>
      <c r="M182" s="41"/>
      <c r="N182" s="41"/>
      <c r="O182" s="42"/>
      <c r="P182" s="41"/>
    </row>
    <row r="183" ht="15.75" customHeight="1">
      <c r="A183" s="39"/>
      <c r="B183" s="41"/>
      <c r="C183" s="41"/>
      <c r="D183" s="41"/>
      <c r="E183" s="41"/>
      <c r="F183" s="41"/>
      <c r="G183" s="41"/>
      <c r="H183" s="41"/>
      <c r="I183" s="41"/>
      <c r="J183" s="41"/>
      <c r="K183" s="41"/>
      <c r="L183" s="41"/>
      <c r="M183" s="41"/>
      <c r="N183" s="41"/>
      <c r="O183" s="42"/>
      <c r="P183" s="41"/>
    </row>
    <row r="184" ht="15.75" customHeight="1">
      <c r="A184" s="39"/>
      <c r="B184" s="41"/>
      <c r="C184" s="41"/>
      <c r="D184" s="41"/>
      <c r="E184" s="41"/>
      <c r="F184" s="41"/>
      <c r="G184" s="41"/>
      <c r="H184" s="41"/>
      <c r="I184" s="41"/>
      <c r="J184" s="41"/>
      <c r="K184" s="41"/>
      <c r="L184" s="41"/>
      <c r="M184" s="41"/>
      <c r="N184" s="41"/>
      <c r="O184" s="42"/>
      <c r="P184" s="41"/>
    </row>
    <row r="185" ht="15.75" customHeight="1">
      <c r="A185" s="39"/>
      <c r="B185" s="41"/>
      <c r="C185" s="41"/>
      <c r="D185" s="41"/>
      <c r="E185" s="41"/>
      <c r="F185" s="41"/>
      <c r="G185" s="41"/>
      <c r="H185" s="41"/>
      <c r="I185" s="41"/>
      <c r="J185" s="41"/>
      <c r="K185" s="41"/>
      <c r="L185" s="41"/>
      <c r="M185" s="41"/>
      <c r="N185" s="41"/>
      <c r="O185" s="42"/>
      <c r="P185" s="41"/>
    </row>
    <row r="186" ht="15.75" customHeight="1">
      <c r="A186" s="39"/>
      <c r="B186" s="41"/>
      <c r="C186" s="41"/>
      <c r="D186" s="41"/>
      <c r="E186" s="41"/>
      <c r="F186" s="41"/>
      <c r="G186" s="41"/>
      <c r="H186" s="41"/>
      <c r="I186" s="41"/>
      <c r="J186" s="41"/>
      <c r="K186" s="41"/>
      <c r="L186" s="41"/>
      <c r="M186" s="41"/>
      <c r="N186" s="41"/>
      <c r="O186" s="42"/>
      <c r="P186" s="41"/>
    </row>
    <row r="187" ht="15.75" customHeight="1">
      <c r="A187" s="39"/>
      <c r="B187" s="41"/>
      <c r="C187" s="41"/>
      <c r="D187" s="41"/>
      <c r="E187" s="41"/>
      <c r="F187" s="41"/>
      <c r="G187" s="41"/>
      <c r="H187" s="41"/>
      <c r="I187" s="41"/>
      <c r="J187" s="41"/>
      <c r="K187" s="41"/>
      <c r="L187" s="41"/>
      <c r="M187" s="41"/>
      <c r="N187" s="41"/>
      <c r="O187" s="42"/>
      <c r="P187" s="41"/>
    </row>
    <row r="188" ht="15.75" customHeight="1">
      <c r="A188" s="39"/>
      <c r="B188" s="41"/>
      <c r="C188" s="41"/>
      <c r="D188" s="41"/>
      <c r="E188" s="41"/>
      <c r="F188" s="41"/>
      <c r="G188" s="41"/>
      <c r="H188" s="41"/>
      <c r="I188" s="41"/>
      <c r="J188" s="41"/>
      <c r="K188" s="41"/>
      <c r="L188" s="41"/>
      <c r="M188" s="41"/>
      <c r="N188" s="41"/>
      <c r="O188" s="42"/>
      <c r="P188" s="41"/>
    </row>
    <row r="189" ht="15.75" customHeight="1">
      <c r="A189" s="39"/>
      <c r="B189" s="41"/>
      <c r="C189" s="41"/>
      <c r="D189" s="41"/>
      <c r="E189" s="41"/>
      <c r="F189" s="41"/>
      <c r="G189" s="41"/>
      <c r="H189" s="41"/>
      <c r="I189" s="41"/>
      <c r="J189" s="41"/>
      <c r="K189" s="41"/>
      <c r="L189" s="41"/>
      <c r="M189" s="41"/>
      <c r="N189" s="41"/>
      <c r="O189" s="42"/>
      <c r="P189" s="41"/>
    </row>
    <row r="190" ht="15.75" customHeight="1">
      <c r="A190" s="39"/>
      <c r="B190" s="41"/>
      <c r="C190" s="41"/>
      <c r="D190" s="41"/>
      <c r="E190" s="41"/>
      <c r="F190" s="41"/>
      <c r="G190" s="41"/>
      <c r="H190" s="41"/>
      <c r="I190" s="41"/>
      <c r="J190" s="41"/>
      <c r="K190" s="41"/>
      <c r="L190" s="41"/>
      <c r="M190" s="41"/>
      <c r="N190" s="41"/>
      <c r="O190" s="42"/>
      <c r="P190" s="41"/>
    </row>
    <row r="191" ht="15.75" customHeight="1">
      <c r="A191" s="39"/>
      <c r="B191" s="41"/>
      <c r="C191" s="41"/>
      <c r="D191" s="41"/>
      <c r="E191" s="41"/>
      <c r="F191" s="41"/>
      <c r="G191" s="41"/>
      <c r="H191" s="41"/>
      <c r="I191" s="41"/>
      <c r="J191" s="41"/>
      <c r="K191" s="41"/>
      <c r="L191" s="41"/>
      <c r="M191" s="41"/>
      <c r="N191" s="41"/>
      <c r="O191" s="42"/>
      <c r="P191" s="41"/>
    </row>
    <row r="192" ht="15.75" customHeight="1">
      <c r="A192" s="39"/>
      <c r="B192" s="41"/>
      <c r="C192" s="41"/>
      <c r="D192" s="41"/>
      <c r="E192" s="41"/>
      <c r="F192" s="41"/>
      <c r="G192" s="41"/>
      <c r="H192" s="41"/>
      <c r="I192" s="41"/>
      <c r="J192" s="41"/>
      <c r="K192" s="41"/>
      <c r="L192" s="41"/>
      <c r="M192" s="41"/>
      <c r="N192" s="41"/>
      <c r="O192" s="42"/>
      <c r="P192" s="41"/>
    </row>
    <row r="193" ht="15.75" customHeight="1">
      <c r="A193" s="39"/>
      <c r="B193" s="41"/>
      <c r="C193" s="41"/>
      <c r="D193" s="41"/>
      <c r="E193" s="41"/>
      <c r="F193" s="41"/>
      <c r="G193" s="41"/>
      <c r="H193" s="41"/>
      <c r="I193" s="41"/>
      <c r="J193" s="41"/>
      <c r="K193" s="41"/>
      <c r="L193" s="41"/>
      <c r="M193" s="41"/>
      <c r="N193" s="41"/>
      <c r="O193" s="42"/>
      <c r="P193" s="41"/>
    </row>
    <row r="194" ht="15.75" customHeight="1">
      <c r="A194" s="39"/>
      <c r="B194" s="41"/>
      <c r="C194" s="41"/>
      <c r="D194" s="41"/>
      <c r="E194" s="41"/>
      <c r="F194" s="41"/>
      <c r="G194" s="41"/>
      <c r="H194" s="41"/>
      <c r="I194" s="41"/>
      <c r="J194" s="41"/>
      <c r="K194" s="41"/>
      <c r="L194" s="41"/>
      <c r="M194" s="41"/>
      <c r="N194" s="41"/>
      <c r="O194" s="42"/>
      <c r="P194" s="41"/>
    </row>
    <row r="195" ht="15.75" customHeight="1">
      <c r="A195" s="39"/>
      <c r="B195" s="41"/>
      <c r="C195" s="41"/>
      <c r="D195" s="41"/>
      <c r="E195" s="41"/>
      <c r="F195" s="41"/>
      <c r="G195" s="41"/>
      <c r="H195" s="41"/>
      <c r="I195" s="41"/>
      <c r="J195" s="41"/>
      <c r="K195" s="41"/>
      <c r="L195" s="41"/>
      <c r="M195" s="41"/>
      <c r="N195" s="41"/>
      <c r="O195" s="42"/>
      <c r="P195" s="41"/>
    </row>
    <row r="196" ht="15.75" customHeight="1">
      <c r="A196" s="39"/>
      <c r="B196" s="41"/>
      <c r="C196" s="41"/>
      <c r="D196" s="41"/>
      <c r="E196" s="41"/>
      <c r="F196" s="41"/>
      <c r="G196" s="41"/>
      <c r="H196" s="41"/>
      <c r="I196" s="41"/>
      <c r="J196" s="41"/>
      <c r="K196" s="41"/>
      <c r="L196" s="41"/>
      <c r="M196" s="41"/>
      <c r="N196" s="41"/>
      <c r="O196" s="42"/>
      <c r="P196" s="41"/>
    </row>
    <row r="197" ht="15.75" customHeight="1">
      <c r="A197" s="39"/>
      <c r="B197" s="41"/>
      <c r="C197" s="41"/>
      <c r="D197" s="41"/>
      <c r="E197" s="41"/>
      <c r="F197" s="41"/>
      <c r="G197" s="41"/>
      <c r="H197" s="41"/>
      <c r="I197" s="41"/>
      <c r="J197" s="41"/>
      <c r="K197" s="41"/>
      <c r="L197" s="41"/>
      <c r="M197" s="41"/>
      <c r="N197" s="41"/>
      <c r="O197" s="42"/>
      <c r="P197" s="41"/>
    </row>
    <row r="198" ht="15.75" customHeight="1">
      <c r="A198" s="39"/>
      <c r="B198" s="41"/>
      <c r="C198" s="41"/>
      <c r="D198" s="41"/>
      <c r="E198" s="41"/>
      <c r="F198" s="41"/>
      <c r="G198" s="41"/>
      <c r="H198" s="41"/>
      <c r="I198" s="41"/>
      <c r="J198" s="41"/>
      <c r="K198" s="41"/>
      <c r="L198" s="41"/>
      <c r="M198" s="41"/>
      <c r="N198" s="41"/>
      <c r="O198" s="42"/>
      <c r="P198" s="41"/>
    </row>
    <row r="199" ht="15.75" customHeight="1">
      <c r="A199" s="39"/>
      <c r="B199" s="41"/>
      <c r="C199" s="41"/>
      <c r="D199" s="41"/>
      <c r="E199" s="41"/>
      <c r="F199" s="41"/>
      <c r="G199" s="41"/>
      <c r="H199" s="41"/>
      <c r="I199" s="41"/>
      <c r="J199" s="41"/>
      <c r="K199" s="41"/>
      <c r="L199" s="41"/>
      <c r="M199" s="41"/>
      <c r="N199" s="41"/>
      <c r="O199" s="42"/>
      <c r="P199" s="41"/>
    </row>
    <row r="200" ht="15.75" customHeight="1">
      <c r="A200" s="39"/>
      <c r="B200" s="41"/>
      <c r="C200" s="41"/>
      <c r="D200" s="41"/>
      <c r="E200" s="41"/>
      <c r="F200" s="41"/>
      <c r="G200" s="41"/>
      <c r="H200" s="41"/>
      <c r="I200" s="41"/>
      <c r="J200" s="41"/>
      <c r="K200" s="41"/>
      <c r="L200" s="41"/>
      <c r="M200" s="41"/>
      <c r="N200" s="41"/>
      <c r="O200" s="42"/>
      <c r="P200" s="41"/>
    </row>
    <row r="201" ht="15.75" customHeight="1">
      <c r="A201" s="39"/>
      <c r="B201" s="41"/>
      <c r="C201" s="41"/>
      <c r="D201" s="41"/>
      <c r="E201" s="41"/>
      <c r="F201" s="41"/>
      <c r="G201" s="41"/>
      <c r="H201" s="41"/>
      <c r="I201" s="41"/>
      <c r="J201" s="41"/>
      <c r="K201" s="41"/>
      <c r="L201" s="41"/>
      <c r="M201" s="41"/>
      <c r="N201" s="41"/>
      <c r="O201" s="42"/>
      <c r="P201" s="41"/>
    </row>
    <row r="202" ht="15.75" customHeight="1">
      <c r="A202" s="39"/>
      <c r="B202" s="41"/>
      <c r="C202" s="41"/>
      <c r="D202" s="41"/>
      <c r="E202" s="41"/>
      <c r="F202" s="41"/>
      <c r="G202" s="41"/>
      <c r="H202" s="41"/>
      <c r="I202" s="41"/>
      <c r="J202" s="41"/>
      <c r="K202" s="41"/>
      <c r="L202" s="41"/>
      <c r="M202" s="41"/>
      <c r="N202" s="41"/>
      <c r="O202" s="42"/>
      <c r="P202" s="41"/>
    </row>
    <row r="203" ht="15.75" customHeight="1">
      <c r="A203" s="39"/>
      <c r="B203" s="41"/>
      <c r="C203" s="41"/>
      <c r="D203" s="41"/>
      <c r="E203" s="41"/>
      <c r="F203" s="41"/>
      <c r="G203" s="41"/>
      <c r="H203" s="41"/>
      <c r="I203" s="41"/>
      <c r="J203" s="41"/>
      <c r="K203" s="41"/>
      <c r="L203" s="41"/>
      <c r="M203" s="41"/>
      <c r="N203" s="41"/>
      <c r="O203" s="42"/>
      <c r="P203" s="41"/>
    </row>
    <row r="204" ht="15.75" customHeight="1">
      <c r="A204" s="39"/>
      <c r="B204" s="41"/>
      <c r="C204" s="41"/>
      <c r="D204" s="41"/>
      <c r="E204" s="41"/>
      <c r="F204" s="41"/>
      <c r="G204" s="41"/>
      <c r="H204" s="41"/>
      <c r="I204" s="41"/>
      <c r="J204" s="41"/>
      <c r="K204" s="41"/>
      <c r="L204" s="41"/>
      <c r="M204" s="41"/>
      <c r="N204" s="41"/>
      <c r="O204" s="42"/>
      <c r="P204" s="41"/>
    </row>
    <row r="205" ht="15.75" customHeight="1">
      <c r="A205" s="39"/>
      <c r="B205" s="41"/>
      <c r="C205" s="41"/>
      <c r="D205" s="41"/>
      <c r="E205" s="41"/>
      <c r="F205" s="41"/>
      <c r="G205" s="41"/>
      <c r="H205" s="41"/>
      <c r="I205" s="41"/>
      <c r="J205" s="41"/>
      <c r="K205" s="41"/>
      <c r="L205" s="41"/>
      <c r="M205" s="41"/>
      <c r="N205" s="41"/>
      <c r="O205" s="42"/>
      <c r="P205" s="41"/>
    </row>
    <row r="206" ht="15.75" customHeight="1">
      <c r="A206" s="39"/>
      <c r="B206" s="41"/>
      <c r="C206" s="41"/>
      <c r="D206" s="41"/>
      <c r="E206" s="41"/>
      <c r="F206" s="41"/>
      <c r="G206" s="41"/>
      <c r="H206" s="41"/>
      <c r="I206" s="41"/>
      <c r="J206" s="41"/>
      <c r="K206" s="41"/>
      <c r="L206" s="41"/>
      <c r="M206" s="41"/>
      <c r="N206" s="41"/>
      <c r="O206" s="42"/>
      <c r="P206" s="41"/>
    </row>
    <row r="207" ht="15.75" customHeight="1">
      <c r="A207" s="39"/>
      <c r="B207" s="41"/>
      <c r="C207" s="41"/>
      <c r="D207" s="41"/>
      <c r="E207" s="41"/>
      <c r="F207" s="41"/>
      <c r="G207" s="41"/>
      <c r="H207" s="41"/>
      <c r="I207" s="41"/>
      <c r="J207" s="41"/>
      <c r="K207" s="41"/>
      <c r="L207" s="41"/>
      <c r="M207" s="41"/>
      <c r="N207" s="41"/>
      <c r="O207" s="42"/>
      <c r="P207" s="41"/>
    </row>
    <row r="208" ht="15.75" customHeight="1">
      <c r="A208" s="39"/>
      <c r="B208" s="41"/>
      <c r="C208" s="41"/>
      <c r="D208" s="41"/>
      <c r="E208" s="41"/>
      <c r="F208" s="41"/>
      <c r="G208" s="41"/>
      <c r="H208" s="41"/>
      <c r="I208" s="41"/>
      <c r="J208" s="41"/>
      <c r="K208" s="41"/>
      <c r="L208" s="41"/>
      <c r="M208" s="41"/>
      <c r="N208" s="41"/>
      <c r="O208" s="42"/>
      <c r="P208" s="41"/>
    </row>
    <row r="209" ht="15.75" customHeight="1">
      <c r="A209" s="39"/>
      <c r="B209" s="41"/>
      <c r="C209" s="41"/>
      <c r="D209" s="41"/>
      <c r="E209" s="41"/>
      <c r="F209" s="41"/>
      <c r="G209" s="41"/>
      <c r="H209" s="41"/>
      <c r="I209" s="41"/>
      <c r="J209" s="41"/>
      <c r="K209" s="41"/>
      <c r="L209" s="41"/>
      <c r="M209" s="41"/>
      <c r="N209" s="41"/>
      <c r="O209" s="42"/>
      <c r="P209" s="41"/>
    </row>
    <row r="210" ht="15.75" customHeight="1">
      <c r="A210" s="39"/>
      <c r="B210" s="41"/>
      <c r="C210" s="41"/>
      <c r="D210" s="41"/>
      <c r="E210" s="41"/>
      <c r="F210" s="41"/>
      <c r="G210" s="41"/>
      <c r="H210" s="41"/>
      <c r="I210" s="41"/>
      <c r="J210" s="41"/>
      <c r="K210" s="41"/>
      <c r="L210" s="41"/>
      <c r="M210" s="41"/>
      <c r="N210" s="41"/>
      <c r="O210" s="42"/>
      <c r="P210" s="41"/>
    </row>
    <row r="211" ht="15.75" customHeight="1">
      <c r="A211" s="39"/>
      <c r="B211" s="41"/>
      <c r="C211" s="41"/>
      <c r="D211" s="41"/>
      <c r="E211" s="41"/>
      <c r="F211" s="41"/>
      <c r="G211" s="41"/>
      <c r="H211" s="41"/>
      <c r="I211" s="41"/>
      <c r="J211" s="41"/>
      <c r="K211" s="41"/>
      <c r="L211" s="41"/>
      <c r="M211" s="41"/>
      <c r="N211" s="41"/>
      <c r="O211" s="42"/>
      <c r="P211" s="41"/>
    </row>
    <row r="212" ht="15.75" customHeight="1">
      <c r="A212" s="39"/>
      <c r="B212" s="41"/>
      <c r="C212" s="41"/>
      <c r="D212" s="41"/>
      <c r="E212" s="41"/>
      <c r="F212" s="41"/>
      <c r="G212" s="41"/>
      <c r="H212" s="41"/>
      <c r="I212" s="41"/>
      <c r="J212" s="41"/>
      <c r="K212" s="41"/>
      <c r="L212" s="41"/>
      <c r="M212" s="41"/>
      <c r="N212" s="41"/>
      <c r="O212" s="42"/>
      <c r="P212" s="41"/>
    </row>
    <row r="213" ht="15.75" customHeight="1">
      <c r="A213" s="39"/>
      <c r="B213" s="41"/>
      <c r="C213" s="41"/>
      <c r="D213" s="41"/>
      <c r="E213" s="41"/>
      <c r="F213" s="41"/>
      <c r="G213" s="41"/>
      <c r="H213" s="41"/>
      <c r="I213" s="41"/>
      <c r="J213" s="41"/>
      <c r="K213" s="41"/>
      <c r="L213" s="41"/>
      <c r="M213" s="41"/>
      <c r="N213" s="41"/>
      <c r="O213" s="42"/>
      <c r="P213" s="41"/>
    </row>
    <row r="214" ht="15.75" customHeight="1">
      <c r="A214" s="39"/>
      <c r="B214" s="41"/>
      <c r="C214" s="41"/>
      <c r="D214" s="41"/>
      <c r="E214" s="41"/>
      <c r="F214" s="41"/>
      <c r="G214" s="41"/>
      <c r="H214" s="41"/>
      <c r="I214" s="41"/>
      <c r="J214" s="41"/>
      <c r="K214" s="41"/>
      <c r="L214" s="41"/>
      <c r="M214" s="41"/>
      <c r="N214" s="41"/>
      <c r="O214" s="42"/>
      <c r="P214" s="41"/>
    </row>
    <row r="215" ht="15.75" customHeight="1">
      <c r="A215" s="39"/>
      <c r="B215" s="41"/>
      <c r="C215" s="41"/>
      <c r="D215" s="41"/>
      <c r="E215" s="41"/>
      <c r="F215" s="41"/>
      <c r="G215" s="41"/>
      <c r="H215" s="41"/>
      <c r="I215" s="41"/>
      <c r="J215" s="41"/>
      <c r="K215" s="41"/>
      <c r="L215" s="41"/>
      <c r="M215" s="41"/>
      <c r="N215" s="41"/>
      <c r="O215" s="42"/>
      <c r="P215" s="41"/>
    </row>
    <row r="216" ht="15.75" customHeight="1">
      <c r="A216" s="39"/>
      <c r="B216" s="41"/>
      <c r="C216" s="41"/>
      <c r="D216" s="41"/>
      <c r="E216" s="41"/>
      <c r="F216" s="41"/>
      <c r="G216" s="41"/>
      <c r="H216" s="41"/>
      <c r="I216" s="41"/>
      <c r="J216" s="41"/>
      <c r="K216" s="41"/>
      <c r="L216" s="41"/>
      <c r="M216" s="41"/>
      <c r="N216" s="41"/>
      <c r="O216" s="42"/>
      <c r="P216" s="41"/>
    </row>
    <row r="217" ht="15.75" customHeight="1">
      <c r="A217" s="39"/>
      <c r="B217" s="41"/>
      <c r="C217" s="41"/>
      <c r="D217" s="41"/>
      <c r="E217" s="41"/>
      <c r="F217" s="41"/>
      <c r="G217" s="41"/>
      <c r="H217" s="41"/>
      <c r="I217" s="41"/>
      <c r="J217" s="41"/>
      <c r="K217" s="41"/>
      <c r="L217" s="41"/>
      <c r="M217" s="41"/>
      <c r="N217" s="41"/>
      <c r="O217" s="42"/>
      <c r="P217" s="41"/>
    </row>
    <row r="218" ht="15.75" customHeight="1">
      <c r="A218" s="39"/>
      <c r="B218" s="41"/>
      <c r="C218" s="41"/>
      <c r="D218" s="41"/>
      <c r="E218" s="41"/>
      <c r="F218" s="41"/>
      <c r="G218" s="41"/>
      <c r="H218" s="41"/>
      <c r="I218" s="41"/>
      <c r="J218" s="41"/>
      <c r="K218" s="41"/>
      <c r="L218" s="41"/>
      <c r="M218" s="41"/>
      <c r="N218" s="41"/>
      <c r="O218" s="42"/>
      <c r="P218" s="41"/>
    </row>
    <row r="219" ht="15.75" customHeight="1">
      <c r="A219" s="39"/>
      <c r="B219" s="41"/>
      <c r="C219" s="41"/>
      <c r="D219" s="41"/>
      <c r="E219" s="41"/>
      <c r="F219" s="41"/>
      <c r="G219" s="41"/>
      <c r="H219" s="41"/>
      <c r="I219" s="41"/>
      <c r="J219" s="41"/>
      <c r="K219" s="41"/>
      <c r="L219" s="41"/>
      <c r="M219" s="41"/>
      <c r="N219" s="41"/>
      <c r="O219" s="42"/>
      <c r="P219" s="41"/>
    </row>
    <row r="220" ht="15.75" customHeight="1">
      <c r="A220" s="39"/>
      <c r="B220" s="41"/>
      <c r="C220" s="41"/>
      <c r="D220" s="41"/>
      <c r="E220" s="41"/>
      <c r="F220" s="41"/>
      <c r="G220" s="41"/>
      <c r="H220" s="41"/>
      <c r="I220" s="41"/>
      <c r="J220" s="41"/>
      <c r="K220" s="41"/>
      <c r="L220" s="41"/>
      <c r="M220" s="41"/>
      <c r="N220" s="41"/>
      <c r="O220" s="42"/>
      <c r="P220" s="41"/>
    </row>
    <row r="221" ht="15.75" customHeight="1">
      <c r="A221" s="39"/>
      <c r="B221" s="41"/>
      <c r="C221" s="41"/>
      <c r="D221" s="41"/>
      <c r="E221" s="41"/>
      <c r="F221" s="41"/>
      <c r="G221" s="41"/>
      <c r="H221" s="41"/>
      <c r="I221" s="41"/>
      <c r="J221" s="41"/>
      <c r="K221" s="41"/>
      <c r="L221" s="41"/>
      <c r="M221" s="41"/>
      <c r="N221" s="41"/>
      <c r="O221" s="42"/>
      <c r="P221" s="41"/>
    </row>
    <row r="222" ht="15.75" customHeight="1">
      <c r="A222" s="39"/>
      <c r="B222" s="41"/>
      <c r="C222" s="41"/>
      <c r="D222" s="41"/>
      <c r="E222" s="41"/>
      <c r="F222" s="41"/>
      <c r="G222" s="41"/>
      <c r="H222" s="41"/>
      <c r="I222" s="41"/>
      <c r="J222" s="41"/>
      <c r="K222" s="41"/>
      <c r="L222" s="41"/>
      <c r="M222" s="41"/>
      <c r="N222" s="41"/>
      <c r="O222" s="42"/>
      <c r="P222" s="41"/>
    </row>
    <row r="223" ht="15.75" customHeight="1">
      <c r="A223" s="39"/>
      <c r="B223" s="41"/>
      <c r="C223" s="41"/>
      <c r="D223" s="41"/>
      <c r="E223" s="41"/>
      <c r="F223" s="41"/>
      <c r="G223" s="41"/>
      <c r="H223" s="41"/>
      <c r="I223" s="41"/>
      <c r="J223" s="41"/>
      <c r="K223" s="41"/>
      <c r="L223" s="41"/>
      <c r="M223" s="41"/>
      <c r="N223" s="41"/>
      <c r="O223" s="42"/>
      <c r="P223" s="41"/>
    </row>
    <row r="224" ht="15.75" customHeight="1">
      <c r="A224" s="39"/>
      <c r="B224" s="41"/>
      <c r="C224" s="41"/>
      <c r="D224" s="41"/>
      <c r="E224" s="41"/>
      <c r="F224" s="41"/>
      <c r="G224" s="41"/>
      <c r="H224" s="41"/>
      <c r="I224" s="41"/>
      <c r="J224" s="41"/>
      <c r="K224" s="41"/>
      <c r="L224" s="41"/>
      <c r="M224" s="41"/>
      <c r="N224" s="41"/>
      <c r="O224" s="42"/>
      <c r="P224" s="41"/>
    </row>
    <row r="225" ht="15.75" customHeight="1">
      <c r="A225" s="39"/>
      <c r="B225" s="41"/>
      <c r="C225" s="41"/>
      <c r="D225" s="41"/>
      <c r="E225" s="41"/>
      <c r="F225" s="41"/>
      <c r="G225" s="41"/>
      <c r="H225" s="41"/>
      <c r="I225" s="41"/>
      <c r="J225" s="41"/>
      <c r="K225" s="41"/>
      <c r="L225" s="41"/>
      <c r="M225" s="41"/>
      <c r="N225" s="41"/>
      <c r="O225" s="42"/>
      <c r="P225" s="41"/>
    </row>
    <row r="226" ht="15.75" customHeight="1">
      <c r="A226" s="39"/>
      <c r="B226" s="41"/>
      <c r="C226" s="41"/>
      <c r="D226" s="41"/>
      <c r="E226" s="41"/>
      <c r="F226" s="41"/>
      <c r="G226" s="41"/>
      <c r="H226" s="41"/>
      <c r="I226" s="41"/>
      <c r="J226" s="41"/>
      <c r="K226" s="41"/>
      <c r="L226" s="41"/>
      <c r="M226" s="41"/>
      <c r="N226" s="41"/>
      <c r="O226" s="42"/>
      <c r="P226" s="41"/>
    </row>
    <row r="227" ht="15.75" customHeight="1">
      <c r="A227" s="39"/>
      <c r="B227" s="41"/>
      <c r="C227" s="41"/>
      <c r="D227" s="41"/>
      <c r="E227" s="41"/>
      <c r="F227" s="41"/>
      <c r="G227" s="41"/>
      <c r="H227" s="41"/>
      <c r="I227" s="41"/>
      <c r="J227" s="41"/>
      <c r="K227" s="41"/>
      <c r="L227" s="41"/>
      <c r="M227" s="41"/>
      <c r="N227" s="41"/>
      <c r="O227" s="42"/>
      <c r="P227" s="41"/>
    </row>
    <row r="228" ht="15.75" customHeight="1">
      <c r="A228" s="39"/>
      <c r="B228" s="41"/>
      <c r="C228" s="41"/>
      <c r="D228" s="41"/>
      <c r="E228" s="41"/>
      <c r="F228" s="41"/>
      <c r="G228" s="41"/>
      <c r="H228" s="41"/>
      <c r="I228" s="41"/>
      <c r="J228" s="41"/>
      <c r="K228" s="41"/>
      <c r="L228" s="41"/>
      <c r="M228" s="41"/>
      <c r="N228" s="41"/>
      <c r="O228" s="42"/>
      <c r="P228" s="41"/>
    </row>
    <row r="229" ht="15.75" customHeight="1">
      <c r="A229" s="39"/>
      <c r="B229" s="41"/>
      <c r="C229" s="41"/>
      <c r="D229" s="41"/>
      <c r="E229" s="41"/>
      <c r="F229" s="41"/>
      <c r="G229" s="41"/>
      <c r="H229" s="41"/>
      <c r="I229" s="41"/>
      <c r="J229" s="41"/>
      <c r="K229" s="41"/>
      <c r="L229" s="41"/>
      <c r="M229" s="41"/>
      <c r="N229" s="41"/>
      <c r="O229" s="42"/>
      <c r="P229" s="41"/>
    </row>
    <row r="230" ht="15.75" customHeight="1">
      <c r="A230" s="39"/>
      <c r="B230" s="41"/>
      <c r="C230" s="41"/>
      <c r="D230" s="41"/>
      <c r="E230" s="41"/>
      <c r="F230" s="41"/>
      <c r="G230" s="41"/>
      <c r="H230" s="41"/>
      <c r="I230" s="41"/>
      <c r="J230" s="41"/>
      <c r="K230" s="41"/>
      <c r="L230" s="41"/>
      <c r="M230" s="41"/>
      <c r="N230" s="41"/>
      <c r="O230" s="42"/>
      <c r="P230" s="41"/>
    </row>
    <row r="231" ht="15.75" customHeight="1">
      <c r="A231" s="39"/>
      <c r="B231" s="41"/>
      <c r="C231" s="41"/>
      <c r="D231" s="41"/>
      <c r="E231" s="41"/>
      <c r="F231" s="41"/>
      <c r="G231" s="41"/>
      <c r="H231" s="41"/>
      <c r="I231" s="41"/>
      <c r="J231" s="41"/>
      <c r="K231" s="41"/>
      <c r="L231" s="41"/>
      <c r="M231" s="41"/>
      <c r="N231" s="41"/>
      <c r="O231" s="42"/>
      <c r="P231" s="41"/>
    </row>
    <row r="232" ht="15.75" customHeight="1">
      <c r="A232" s="39"/>
      <c r="B232" s="41"/>
      <c r="C232" s="41"/>
      <c r="D232" s="41"/>
      <c r="E232" s="41"/>
      <c r="F232" s="41"/>
      <c r="G232" s="41"/>
      <c r="H232" s="41"/>
      <c r="I232" s="41"/>
      <c r="J232" s="41"/>
      <c r="K232" s="41"/>
      <c r="L232" s="41"/>
      <c r="M232" s="41"/>
      <c r="N232" s="41"/>
      <c r="O232" s="42"/>
      <c r="P232" s="41"/>
    </row>
    <row r="233" ht="15.75" customHeight="1">
      <c r="A233" s="39"/>
      <c r="B233" s="41"/>
      <c r="C233" s="41"/>
      <c r="D233" s="41"/>
      <c r="E233" s="41"/>
      <c r="F233" s="41"/>
      <c r="G233" s="41"/>
      <c r="H233" s="41"/>
      <c r="I233" s="41"/>
      <c r="J233" s="41"/>
      <c r="K233" s="41"/>
      <c r="L233" s="41"/>
      <c r="M233" s="41"/>
      <c r="N233" s="41"/>
      <c r="O233" s="42"/>
      <c r="P233" s="41"/>
    </row>
    <row r="234" ht="15.75" customHeight="1">
      <c r="A234" s="39"/>
      <c r="B234" s="41"/>
      <c r="C234" s="41"/>
      <c r="D234" s="41"/>
      <c r="E234" s="41"/>
      <c r="F234" s="41"/>
      <c r="G234" s="41"/>
      <c r="H234" s="41"/>
      <c r="I234" s="41"/>
      <c r="J234" s="41"/>
      <c r="K234" s="41"/>
      <c r="L234" s="41"/>
      <c r="M234" s="41"/>
      <c r="N234" s="41"/>
      <c r="O234" s="42"/>
      <c r="P234" s="41"/>
    </row>
    <row r="235" ht="15.75" customHeight="1">
      <c r="A235" s="39"/>
      <c r="B235" s="41"/>
      <c r="C235" s="41"/>
      <c r="D235" s="41"/>
      <c r="E235" s="41"/>
      <c r="F235" s="41"/>
      <c r="G235" s="41"/>
      <c r="H235" s="41"/>
      <c r="I235" s="41"/>
      <c r="J235" s="41"/>
      <c r="K235" s="41"/>
      <c r="L235" s="41"/>
      <c r="M235" s="41"/>
      <c r="N235" s="41"/>
      <c r="O235" s="42"/>
      <c r="P235" s="41"/>
    </row>
    <row r="236" ht="15.75" customHeight="1">
      <c r="A236" s="39"/>
      <c r="B236" s="41"/>
      <c r="C236" s="41"/>
      <c r="D236" s="41"/>
      <c r="E236" s="41"/>
      <c r="F236" s="41"/>
      <c r="G236" s="41"/>
      <c r="H236" s="41"/>
      <c r="I236" s="41"/>
      <c r="J236" s="41"/>
      <c r="K236" s="41"/>
      <c r="L236" s="41"/>
      <c r="M236" s="41"/>
      <c r="N236" s="41"/>
      <c r="O236" s="42"/>
      <c r="P236" s="41"/>
    </row>
    <row r="237" ht="15.75" customHeight="1">
      <c r="A237" s="39"/>
      <c r="B237" s="41"/>
      <c r="C237" s="41"/>
      <c r="D237" s="41"/>
      <c r="E237" s="41"/>
      <c r="F237" s="41"/>
      <c r="G237" s="41"/>
      <c r="H237" s="41"/>
      <c r="I237" s="41"/>
      <c r="J237" s="41"/>
      <c r="K237" s="41"/>
      <c r="L237" s="41"/>
      <c r="M237" s="41"/>
      <c r="N237" s="41"/>
      <c r="O237" s="42"/>
      <c r="P237" s="41"/>
    </row>
    <row r="238" ht="15.75" customHeight="1">
      <c r="A238" s="39"/>
      <c r="B238" s="41"/>
      <c r="C238" s="41"/>
      <c r="D238" s="41"/>
      <c r="E238" s="41"/>
      <c r="F238" s="41"/>
      <c r="G238" s="41"/>
      <c r="H238" s="41"/>
      <c r="I238" s="41"/>
      <c r="J238" s="41"/>
      <c r="K238" s="41"/>
      <c r="L238" s="41"/>
      <c r="M238" s="41"/>
      <c r="N238" s="41"/>
      <c r="O238" s="42"/>
      <c r="P238" s="41"/>
    </row>
    <row r="239" ht="15.75" customHeight="1">
      <c r="A239" s="39"/>
      <c r="B239" s="41"/>
      <c r="C239" s="41"/>
      <c r="D239" s="41"/>
      <c r="E239" s="41"/>
      <c r="F239" s="41"/>
      <c r="G239" s="41"/>
      <c r="H239" s="41"/>
      <c r="I239" s="41"/>
      <c r="J239" s="41"/>
      <c r="K239" s="41"/>
      <c r="L239" s="41"/>
      <c r="M239" s="41"/>
      <c r="N239" s="41"/>
      <c r="O239" s="42"/>
      <c r="P239" s="41"/>
    </row>
    <row r="240" ht="15.75" customHeight="1">
      <c r="A240" s="39"/>
      <c r="B240" s="41"/>
      <c r="C240" s="41"/>
      <c r="D240" s="41"/>
      <c r="E240" s="41"/>
      <c r="F240" s="41"/>
      <c r="G240" s="41"/>
      <c r="H240" s="41"/>
      <c r="I240" s="41"/>
      <c r="J240" s="41"/>
      <c r="K240" s="41"/>
      <c r="L240" s="41"/>
      <c r="M240" s="41"/>
      <c r="N240" s="41"/>
      <c r="O240" s="42"/>
      <c r="P240" s="41"/>
    </row>
    <row r="241" ht="15.75" customHeight="1">
      <c r="A241" s="39"/>
      <c r="B241" s="41"/>
      <c r="C241" s="41"/>
      <c r="D241" s="41"/>
      <c r="E241" s="41"/>
      <c r="F241" s="41"/>
      <c r="G241" s="41"/>
      <c r="H241" s="41"/>
      <c r="I241" s="41"/>
      <c r="J241" s="41"/>
      <c r="K241" s="41"/>
      <c r="L241" s="41"/>
      <c r="M241" s="41"/>
      <c r="N241" s="41"/>
      <c r="O241" s="42"/>
      <c r="P241" s="41"/>
    </row>
    <row r="242" ht="15.75" customHeight="1">
      <c r="A242" s="39"/>
      <c r="B242" s="41"/>
      <c r="C242" s="41"/>
      <c r="D242" s="41"/>
      <c r="E242" s="41"/>
      <c r="F242" s="41"/>
      <c r="G242" s="41"/>
      <c r="H242" s="41"/>
      <c r="I242" s="41"/>
      <c r="J242" s="41"/>
      <c r="K242" s="41"/>
      <c r="L242" s="41"/>
      <c r="M242" s="41"/>
      <c r="N242" s="41"/>
      <c r="O242" s="42"/>
      <c r="P242" s="41"/>
    </row>
    <row r="243" ht="15.75" customHeight="1">
      <c r="A243" s="39"/>
      <c r="B243" s="41"/>
      <c r="C243" s="41"/>
      <c r="D243" s="41"/>
      <c r="E243" s="41"/>
      <c r="F243" s="41"/>
      <c r="G243" s="41"/>
      <c r="H243" s="41"/>
      <c r="I243" s="41"/>
      <c r="J243" s="41"/>
      <c r="K243" s="41"/>
      <c r="L243" s="41"/>
      <c r="M243" s="41"/>
      <c r="N243" s="41"/>
      <c r="O243" s="42"/>
      <c r="P243" s="41"/>
    </row>
    <row r="244" ht="15.75" customHeight="1">
      <c r="A244" s="39"/>
      <c r="B244" s="41"/>
      <c r="C244" s="41"/>
      <c r="D244" s="41"/>
      <c r="E244" s="41"/>
      <c r="F244" s="41"/>
      <c r="G244" s="41"/>
      <c r="H244" s="41"/>
      <c r="I244" s="41"/>
      <c r="J244" s="41"/>
      <c r="K244" s="41"/>
      <c r="L244" s="41"/>
      <c r="M244" s="41"/>
      <c r="N244" s="41"/>
      <c r="O244" s="42"/>
      <c r="P244" s="41"/>
    </row>
    <row r="245" ht="15.75" customHeight="1">
      <c r="A245" s="39"/>
      <c r="B245" s="41"/>
      <c r="C245" s="41"/>
      <c r="D245" s="41"/>
      <c r="E245" s="41"/>
      <c r="F245" s="41"/>
      <c r="G245" s="41"/>
      <c r="H245" s="41"/>
      <c r="I245" s="41"/>
      <c r="J245" s="41"/>
      <c r="K245" s="41"/>
      <c r="L245" s="41"/>
      <c r="M245" s="41"/>
      <c r="N245" s="41"/>
      <c r="O245" s="42"/>
      <c r="P245" s="41"/>
    </row>
    <row r="246" ht="15.75" customHeight="1">
      <c r="A246" s="39"/>
      <c r="B246" s="41"/>
      <c r="C246" s="41"/>
      <c r="D246" s="41"/>
      <c r="E246" s="41"/>
      <c r="F246" s="41"/>
      <c r="G246" s="41"/>
      <c r="H246" s="41"/>
      <c r="I246" s="41"/>
      <c r="J246" s="41"/>
      <c r="K246" s="41"/>
      <c r="L246" s="41"/>
      <c r="M246" s="41"/>
      <c r="N246" s="41"/>
      <c r="O246" s="42"/>
      <c r="P246" s="41"/>
    </row>
    <row r="247" ht="15.75" customHeight="1">
      <c r="A247" s="39"/>
      <c r="B247" s="41"/>
      <c r="C247" s="41"/>
      <c r="D247" s="41"/>
      <c r="E247" s="41"/>
      <c r="F247" s="41"/>
      <c r="G247" s="41"/>
      <c r="H247" s="41"/>
      <c r="I247" s="41"/>
      <c r="J247" s="41"/>
      <c r="K247" s="41"/>
      <c r="L247" s="41"/>
      <c r="M247" s="41"/>
      <c r="N247" s="41"/>
      <c r="O247" s="42"/>
      <c r="P247" s="41"/>
    </row>
    <row r="248" ht="15.75" customHeight="1">
      <c r="A248" s="39"/>
      <c r="B248" s="41"/>
      <c r="C248" s="41"/>
      <c r="D248" s="41"/>
      <c r="E248" s="41"/>
      <c r="F248" s="41"/>
      <c r="G248" s="41"/>
      <c r="H248" s="41"/>
      <c r="I248" s="41"/>
      <c r="J248" s="41"/>
      <c r="K248" s="41"/>
      <c r="L248" s="41"/>
      <c r="M248" s="41"/>
      <c r="N248" s="41"/>
      <c r="O248" s="42"/>
      <c r="P248" s="41"/>
    </row>
    <row r="249" ht="15.75" customHeight="1">
      <c r="A249" s="39"/>
      <c r="B249" s="41"/>
      <c r="C249" s="41"/>
      <c r="D249" s="41"/>
      <c r="E249" s="41"/>
      <c r="F249" s="41"/>
      <c r="G249" s="41"/>
      <c r="H249" s="41"/>
      <c r="I249" s="41"/>
      <c r="J249" s="41"/>
      <c r="K249" s="41"/>
      <c r="L249" s="41"/>
      <c r="M249" s="41"/>
      <c r="N249" s="41"/>
      <c r="O249" s="42"/>
      <c r="P249" s="41"/>
    </row>
    <row r="250" ht="15.75" customHeight="1">
      <c r="A250" s="39"/>
      <c r="B250" s="41"/>
      <c r="C250" s="41"/>
      <c r="D250" s="41"/>
      <c r="E250" s="41"/>
      <c r="F250" s="41"/>
      <c r="G250" s="41"/>
      <c r="H250" s="41"/>
      <c r="I250" s="41"/>
      <c r="J250" s="41"/>
      <c r="K250" s="41"/>
      <c r="L250" s="41"/>
      <c r="M250" s="41"/>
      <c r="N250" s="41"/>
      <c r="O250" s="42"/>
      <c r="P250" s="41"/>
    </row>
    <row r="251" ht="15.75" customHeight="1">
      <c r="A251" s="39"/>
      <c r="B251" s="41"/>
      <c r="C251" s="41"/>
      <c r="D251" s="41"/>
      <c r="E251" s="41"/>
      <c r="F251" s="41"/>
      <c r="G251" s="41"/>
      <c r="H251" s="41"/>
      <c r="I251" s="41"/>
      <c r="J251" s="41"/>
      <c r="K251" s="41"/>
      <c r="L251" s="41"/>
      <c r="M251" s="41"/>
      <c r="N251" s="41"/>
      <c r="O251" s="42"/>
      <c r="P251" s="41"/>
    </row>
    <row r="252" ht="15.75" customHeight="1">
      <c r="A252" s="39"/>
      <c r="B252" s="41"/>
      <c r="C252" s="41"/>
      <c r="D252" s="41"/>
      <c r="E252" s="41"/>
      <c r="F252" s="41"/>
      <c r="G252" s="41"/>
      <c r="H252" s="41"/>
      <c r="I252" s="41"/>
      <c r="J252" s="41"/>
      <c r="K252" s="41"/>
      <c r="L252" s="41"/>
      <c r="M252" s="41"/>
      <c r="N252" s="41"/>
      <c r="O252" s="42"/>
      <c r="P252" s="41"/>
    </row>
    <row r="253" ht="15.75" customHeight="1">
      <c r="A253" s="39"/>
      <c r="B253" s="41"/>
      <c r="C253" s="41"/>
      <c r="D253" s="41"/>
      <c r="E253" s="41"/>
      <c r="F253" s="41"/>
      <c r="G253" s="41"/>
      <c r="H253" s="41"/>
      <c r="I253" s="41"/>
      <c r="J253" s="41"/>
      <c r="K253" s="41"/>
      <c r="L253" s="41"/>
      <c r="M253" s="41"/>
      <c r="N253" s="41"/>
      <c r="O253" s="42"/>
      <c r="P253" s="41"/>
    </row>
    <row r="254" ht="15.75" customHeight="1">
      <c r="A254" s="39"/>
      <c r="B254" s="41"/>
      <c r="C254" s="41"/>
      <c r="D254" s="41"/>
      <c r="E254" s="41"/>
      <c r="F254" s="41"/>
      <c r="G254" s="41"/>
      <c r="H254" s="41"/>
      <c r="I254" s="41"/>
      <c r="J254" s="41"/>
      <c r="K254" s="41"/>
      <c r="L254" s="41"/>
      <c r="M254" s="41"/>
      <c r="N254" s="41"/>
      <c r="O254" s="42"/>
      <c r="P254" s="41"/>
    </row>
    <row r="255" ht="15.75" customHeight="1">
      <c r="A255" s="39"/>
      <c r="B255" s="41"/>
      <c r="C255" s="41"/>
      <c r="D255" s="41"/>
      <c r="E255" s="41"/>
      <c r="F255" s="41"/>
      <c r="G255" s="41"/>
      <c r="H255" s="41"/>
      <c r="I255" s="41"/>
      <c r="J255" s="41"/>
      <c r="K255" s="41"/>
      <c r="L255" s="41"/>
      <c r="M255" s="41"/>
      <c r="N255" s="41"/>
      <c r="O255" s="42"/>
      <c r="P255" s="41"/>
    </row>
    <row r="256" ht="15.75" customHeight="1">
      <c r="A256" s="39"/>
      <c r="B256" s="41"/>
      <c r="C256" s="41"/>
      <c r="D256" s="41"/>
      <c r="E256" s="41"/>
      <c r="F256" s="41"/>
      <c r="G256" s="41"/>
      <c r="H256" s="41"/>
      <c r="I256" s="41"/>
      <c r="J256" s="41"/>
      <c r="K256" s="41"/>
      <c r="L256" s="41"/>
      <c r="M256" s="41"/>
      <c r="N256" s="41"/>
      <c r="O256" s="42"/>
      <c r="P256" s="41"/>
    </row>
    <row r="257" ht="15.75" customHeight="1">
      <c r="A257" s="39"/>
      <c r="B257" s="41"/>
      <c r="C257" s="41"/>
      <c r="D257" s="41"/>
      <c r="E257" s="41"/>
      <c r="F257" s="41"/>
      <c r="G257" s="41"/>
      <c r="H257" s="41"/>
      <c r="I257" s="41"/>
      <c r="J257" s="41"/>
      <c r="K257" s="41"/>
      <c r="L257" s="41"/>
      <c r="M257" s="41"/>
      <c r="N257" s="41"/>
      <c r="O257" s="42"/>
      <c r="P257" s="41"/>
    </row>
    <row r="258" ht="15.75" customHeight="1">
      <c r="A258" s="39"/>
      <c r="B258" s="41"/>
      <c r="C258" s="41"/>
      <c r="D258" s="41"/>
      <c r="E258" s="41"/>
      <c r="F258" s="41"/>
      <c r="G258" s="41"/>
      <c r="H258" s="41"/>
      <c r="I258" s="41"/>
      <c r="J258" s="41"/>
      <c r="K258" s="41"/>
      <c r="L258" s="41"/>
      <c r="M258" s="41"/>
      <c r="N258" s="41"/>
      <c r="O258" s="42"/>
      <c r="P258" s="41"/>
    </row>
    <row r="259" ht="15.75" customHeight="1">
      <c r="A259" s="39"/>
      <c r="B259" s="41"/>
      <c r="C259" s="41"/>
      <c r="D259" s="41"/>
      <c r="E259" s="41"/>
      <c r="F259" s="41"/>
      <c r="G259" s="41"/>
      <c r="H259" s="41"/>
      <c r="I259" s="41"/>
      <c r="J259" s="41"/>
      <c r="K259" s="41"/>
      <c r="L259" s="41"/>
      <c r="M259" s="41"/>
      <c r="N259" s="41"/>
      <c r="O259" s="42"/>
      <c r="P259" s="41"/>
    </row>
    <row r="260" ht="15.75" customHeight="1">
      <c r="A260" s="39"/>
      <c r="B260" s="41"/>
      <c r="C260" s="41"/>
      <c r="D260" s="41"/>
      <c r="E260" s="41"/>
      <c r="F260" s="41"/>
      <c r="G260" s="41"/>
      <c r="H260" s="41"/>
      <c r="I260" s="41"/>
      <c r="J260" s="41"/>
      <c r="K260" s="41"/>
      <c r="L260" s="41"/>
      <c r="M260" s="41"/>
      <c r="N260" s="41"/>
      <c r="O260" s="42"/>
      <c r="P260" s="41"/>
    </row>
    <row r="261" ht="15.75" customHeight="1">
      <c r="A261" s="39"/>
      <c r="B261" s="41"/>
      <c r="C261" s="41"/>
      <c r="D261" s="41"/>
      <c r="E261" s="41"/>
      <c r="F261" s="41"/>
      <c r="G261" s="41"/>
      <c r="H261" s="41"/>
      <c r="I261" s="41"/>
      <c r="J261" s="41"/>
      <c r="K261" s="41"/>
      <c r="L261" s="41"/>
      <c r="M261" s="41"/>
      <c r="N261" s="41"/>
      <c r="O261" s="42"/>
      <c r="P261" s="41"/>
    </row>
    <row r="262" ht="15.75" customHeight="1">
      <c r="A262" s="39"/>
      <c r="B262" s="41"/>
      <c r="C262" s="41"/>
      <c r="D262" s="41"/>
      <c r="E262" s="41"/>
      <c r="F262" s="41"/>
      <c r="G262" s="41"/>
      <c r="H262" s="41"/>
      <c r="I262" s="41"/>
      <c r="J262" s="41"/>
      <c r="K262" s="41"/>
      <c r="L262" s="41"/>
      <c r="M262" s="41"/>
      <c r="N262" s="41"/>
      <c r="O262" s="42"/>
      <c r="P262" s="41"/>
    </row>
    <row r="263" ht="15.75" customHeight="1">
      <c r="A263" s="39"/>
      <c r="B263" s="41"/>
      <c r="C263" s="41"/>
      <c r="D263" s="41"/>
      <c r="E263" s="41"/>
      <c r="F263" s="41"/>
      <c r="G263" s="41"/>
      <c r="H263" s="41"/>
      <c r="I263" s="41"/>
      <c r="J263" s="41"/>
      <c r="K263" s="41"/>
      <c r="L263" s="41"/>
      <c r="M263" s="41"/>
      <c r="N263" s="41"/>
      <c r="O263" s="42"/>
      <c r="P263" s="41"/>
    </row>
    <row r="264" ht="15.75" customHeight="1">
      <c r="A264" s="39"/>
      <c r="B264" s="41"/>
      <c r="C264" s="41"/>
      <c r="D264" s="41"/>
      <c r="E264" s="41"/>
      <c r="F264" s="41"/>
      <c r="G264" s="41"/>
      <c r="H264" s="41"/>
      <c r="I264" s="41"/>
      <c r="J264" s="41"/>
      <c r="K264" s="41"/>
      <c r="L264" s="41"/>
      <c r="M264" s="41"/>
      <c r="N264" s="41"/>
      <c r="O264" s="42"/>
      <c r="P264" s="41"/>
    </row>
    <row r="265" ht="15.75" customHeight="1">
      <c r="A265" s="39"/>
      <c r="B265" s="41"/>
      <c r="C265" s="41"/>
      <c r="D265" s="41"/>
      <c r="E265" s="41"/>
      <c r="F265" s="41"/>
      <c r="G265" s="41"/>
      <c r="H265" s="41"/>
      <c r="I265" s="41"/>
      <c r="J265" s="41"/>
      <c r="K265" s="41"/>
      <c r="L265" s="41"/>
      <c r="M265" s="41"/>
      <c r="N265" s="41"/>
      <c r="O265" s="42"/>
      <c r="P265" s="41"/>
    </row>
    <row r="266" ht="15.75" customHeight="1">
      <c r="A266" s="39"/>
      <c r="B266" s="41"/>
      <c r="C266" s="41"/>
      <c r="D266" s="41"/>
      <c r="E266" s="41"/>
      <c r="F266" s="41"/>
      <c r="G266" s="41"/>
      <c r="H266" s="41"/>
      <c r="I266" s="41"/>
      <c r="J266" s="41"/>
      <c r="K266" s="41"/>
      <c r="L266" s="41"/>
      <c r="M266" s="41"/>
      <c r="N266" s="41"/>
      <c r="O266" s="42"/>
      <c r="P266" s="41"/>
    </row>
    <row r="267" ht="15.75" customHeight="1">
      <c r="A267" s="39"/>
      <c r="B267" s="41"/>
      <c r="C267" s="41"/>
      <c r="D267" s="41"/>
      <c r="E267" s="41"/>
      <c r="F267" s="41"/>
      <c r="G267" s="41"/>
      <c r="H267" s="41"/>
      <c r="I267" s="41"/>
      <c r="J267" s="41"/>
      <c r="K267" s="41"/>
      <c r="L267" s="41"/>
      <c r="M267" s="41"/>
      <c r="N267" s="41"/>
      <c r="O267" s="42"/>
      <c r="P267" s="41"/>
    </row>
    <row r="268" ht="15.75" customHeight="1">
      <c r="A268" s="39"/>
      <c r="B268" s="41"/>
      <c r="C268" s="41"/>
      <c r="D268" s="41"/>
      <c r="E268" s="41"/>
      <c r="F268" s="41"/>
      <c r="G268" s="41"/>
      <c r="H268" s="41"/>
      <c r="I268" s="41"/>
      <c r="J268" s="41"/>
      <c r="K268" s="41"/>
      <c r="L268" s="41"/>
      <c r="M268" s="41"/>
      <c r="N268" s="41"/>
      <c r="O268" s="42"/>
      <c r="P268" s="41"/>
    </row>
    <row r="269" ht="15.75" customHeight="1">
      <c r="A269" s="39"/>
      <c r="B269" s="41"/>
      <c r="C269" s="41"/>
      <c r="D269" s="41"/>
      <c r="E269" s="41"/>
      <c r="F269" s="41"/>
      <c r="G269" s="41"/>
      <c r="H269" s="41"/>
      <c r="I269" s="41"/>
      <c r="J269" s="41"/>
      <c r="K269" s="41"/>
      <c r="L269" s="41"/>
      <c r="M269" s="41"/>
      <c r="N269" s="41"/>
      <c r="O269" s="42"/>
      <c r="P269" s="41"/>
    </row>
    <row r="270" ht="15.75" customHeight="1">
      <c r="A270" s="39"/>
      <c r="B270" s="41"/>
      <c r="C270" s="41"/>
      <c r="D270" s="41"/>
      <c r="E270" s="41"/>
      <c r="F270" s="41"/>
      <c r="G270" s="41"/>
      <c r="H270" s="41"/>
      <c r="I270" s="41"/>
      <c r="J270" s="41"/>
      <c r="K270" s="41"/>
      <c r="L270" s="41"/>
      <c r="M270" s="41"/>
      <c r="N270" s="41"/>
      <c r="O270" s="42"/>
      <c r="P270" s="41"/>
    </row>
    <row r="271" ht="15.75" customHeight="1">
      <c r="A271" s="39"/>
      <c r="B271" s="41"/>
      <c r="C271" s="41"/>
      <c r="D271" s="41"/>
      <c r="E271" s="41"/>
      <c r="F271" s="41"/>
      <c r="G271" s="41"/>
      <c r="H271" s="41"/>
      <c r="I271" s="41"/>
      <c r="J271" s="41"/>
      <c r="K271" s="41"/>
      <c r="L271" s="41"/>
      <c r="M271" s="41"/>
      <c r="N271" s="41"/>
      <c r="O271" s="42"/>
      <c r="P271" s="41"/>
    </row>
    <row r="272" ht="15.75" customHeight="1">
      <c r="A272" s="39"/>
      <c r="B272" s="41"/>
      <c r="C272" s="41"/>
      <c r="D272" s="41"/>
      <c r="E272" s="41"/>
      <c r="F272" s="41"/>
      <c r="G272" s="41"/>
      <c r="H272" s="41"/>
      <c r="I272" s="41"/>
      <c r="J272" s="41"/>
      <c r="K272" s="41"/>
      <c r="L272" s="41"/>
      <c r="M272" s="41"/>
      <c r="N272" s="41"/>
      <c r="O272" s="42"/>
      <c r="P272" s="41"/>
    </row>
    <row r="273" ht="15.75" customHeight="1">
      <c r="A273" s="39"/>
      <c r="B273" s="41"/>
      <c r="C273" s="41"/>
      <c r="D273" s="41"/>
      <c r="E273" s="41"/>
      <c r="F273" s="41"/>
      <c r="G273" s="41"/>
      <c r="H273" s="41"/>
      <c r="I273" s="41"/>
      <c r="J273" s="41"/>
      <c r="K273" s="41"/>
      <c r="L273" s="41"/>
      <c r="M273" s="41"/>
      <c r="N273" s="41"/>
      <c r="O273" s="42"/>
      <c r="P273" s="41"/>
    </row>
    <row r="274" ht="15.75" customHeight="1">
      <c r="A274" s="39"/>
      <c r="B274" s="41"/>
      <c r="C274" s="41"/>
      <c r="D274" s="41"/>
      <c r="E274" s="41"/>
      <c r="F274" s="41"/>
      <c r="G274" s="41"/>
      <c r="H274" s="41"/>
      <c r="I274" s="41"/>
      <c r="J274" s="41"/>
      <c r="K274" s="41"/>
      <c r="L274" s="41"/>
      <c r="M274" s="41"/>
      <c r="N274" s="41"/>
      <c r="O274" s="42"/>
      <c r="P274" s="41"/>
    </row>
    <row r="275" ht="15.75" customHeight="1">
      <c r="A275" s="39"/>
      <c r="B275" s="41"/>
      <c r="C275" s="41"/>
      <c r="D275" s="41"/>
      <c r="E275" s="41"/>
      <c r="F275" s="41"/>
      <c r="G275" s="41"/>
      <c r="H275" s="41"/>
      <c r="I275" s="41"/>
      <c r="J275" s="41"/>
      <c r="K275" s="41"/>
      <c r="L275" s="41"/>
      <c r="M275" s="41"/>
      <c r="N275" s="41"/>
      <c r="O275" s="42"/>
      <c r="P275" s="41"/>
    </row>
    <row r="276" ht="15.75" customHeight="1">
      <c r="A276" s="39"/>
      <c r="B276" s="41"/>
      <c r="C276" s="41"/>
      <c r="D276" s="41"/>
      <c r="E276" s="41"/>
      <c r="F276" s="41"/>
      <c r="G276" s="41"/>
      <c r="H276" s="41"/>
      <c r="I276" s="41"/>
      <c r="J276" s="41"/>
      <c r="K276" s="41"/>
      <c r="L276" s="41"/>
      <c r="M276" s="41"/>
      <c r="N276" s="41"/>
      <c r="O276" s="42"/>
      <c r="P276" s="41"/>
    </row>
    <row r="277" ht="15.75" customHeight="1">
      <c r="A277" s="39"/>
      <c r="B277" s="41"/>
      <c r="C277" s="41"/>
      <c r="D277" s="41"/>
      <c r="E277" s="41"/>
      <c r="F277" s="41"/>
      <c r="G277" s="41"/>
      <c r="H277" s="41"/>
      <c r="I277" s="41"/>
      <c r="J277" s="41"/>
      <c r="K277" s="41"/>
      <c r="L277" s="41"/>
      <c r="M277" s="41"/>
      <c r="N277" s="41"/>
      <c r="O277" s="42"/>
      <c r="P277" s="41"/>
    </row>
    <row r="278" ht="15.75" customHeight="1">
      <c r="A278" s="39"/>
      <c r="B278" s="41"/>
      <c r="C278" s="41"/>
      <c r="D278" s="41"/>
      <c r="E278" s="41"/>
      <c r="F278" s="41"/>
      <c r="G278" s="41"/>
      <c r="H278" s="41"/>
      <c r="I278" s="41"/>
      <c r="J278" s="41"/>
      <c r="K278" s="41"/>
      <c r="L278" s="41"/>
      <c r="M278" s="41"/>
      <c r="N278" s="41"/>
      <c r="O278" s="42"/>
      <c r="P278" s="41"/>
    </row>
    <row r="279" ht="15.75" customHeight="1">
      <c r="A279" s="39"/>
      <c r="B279" s="41"/>
      <c r="C279" s="41"/>
      <c r="D279" s="41"/>
      <c r="E279" s="41"/>
      <c r="F279" s="41"/>
      <c r="G279" s="41"/>
      <c r="H279" s="41"/>
      <c r="I279" s="41"/>
      <c r="J279" s="41"/>
      <c r="K279" s="41"/>
      <c r="L279" s="41"/>
      <c r="M279" s="41"/>
      <c r="N279" s="41"/>
      <c r="O279" s="42"/>
      <c r="P279" s="41"/>
    </row>
    <row r="280" ht="15.75" customHeight="1">
      <c r="A280" s="39"/>
      <c r="B280" s="41"/>
      <c r="C280" s="41"/>
      <c r="D280" s="41"/>
      <c r="E280" s="41"/>
      <c r="F280" s="41"/>
      <c r="G280" s="41"/>
      <c r="H280" s="41"/>
      <c r="I280" s="41"/>
      <c r="J280" s="41"/>
      <c r="K280" s="41"/>
      <c r="L280" s="41"/>
      <c r="M280" s="41"/>
      <c r="N280" s="41"/>
      <c r="O280" s="42"/>
      <c r="P280" s="41"/>
    </row>
    <row r="281" ht="15.75" customHeight="1">
      <c r="A281" s="39"/>
      <c r="B281" s="41"/>
      <c r="C281" s="41"/>
      <c r="D281" s="41"/>
      <c r="E281" s="41"/>
      <c r="F281" s="41"/>
      <c r="G281" s="41"/>
      <c r="H281" s="41"/>
      <c r="I281" s="41"/>
      <c r="J281" s="41"/>
      <c r="K281" s="41"/>
      <c r="L281" s="41"/>
      <c r="M281" s="41"/>
      <c r="N281" s="41"/>
      <c r="O281" s="42"/>
      <c r="P281" s="41"/>
    </row>
    <row r="282" ht="15.75" customHeight="1">
      <c r="A282" s="39"/>
      <c r="B282" s="41"/>
      <c r="C282" s="41"/>
      <c r="D282" s="41"/>
      <c r="E282" s="41"/>
      <c r="F282" s="41"/>
      <c r="G282" s="41"/>
      <c r="H282" s="41"/>
      <c r="I282" s="41"/>
      <c r="J282" s="41"/>
      <c r="K282" s="41"/>
      <c r="L282" s="41"/>
      <c r="M282" s="41"/>
      <c r="N282" s="41"/>
      <c r="O282" s="42"/>
      <c r="P282" s="41"/>
    </row>
    <row r="283" ht="15.75" customHeight="1">
      <c r="A283" s="39"/>
      <c r="B283" s="41"/>
      <c r="C283" s="41"/>
      <c r="D283" s="41"/>
      <c r="E283" s="41"/>
      <c r="F283" s="41"/>
      <c r="G283" s="41"/>
      <c r="H283" s="41"/>
      <c r="I283" s="41"/>
      <c r="J283" s="41"/>
      <c r="K283" s="41"/>
      <c r="L283" s="41"/>
      <c r="M283" s="41"/>
      <c r="N283" s="41"/>
      <c r="O283" s="42"/>
      <c r="P283" s="41"/>
    </row>
    <row r="284" ht="15.75" customHeight="1">
      <c r="A284" s="39"/>
      <c r="B284" s="41"/>
      <c r="C284" s="41"/>
      <c r="D284" s="41"/>
      <c r="E284" s="41"/>
      <c r="F284" s="41"/>
      <c r="G284" s="41"/>
      <c r="H284" s="41"/>
      <c r="I284" s="41"/>
      <c r="J284" s="41"/>
      <c r="K284" s="41"/>
      <c r="L284" s="41"/>
      <c r="M284" s="41"/>
      <c r="N284" s="41"/>
      <c r="O284" s="42"/>
      <c r="P284" s="41"/>
    </row>
    <row r="285" ht="15.75" customHeight="1">
      <c r="A285" s="39"/>
      <c r="B285" s="41"/>
      <c r="C285" s="41"/>
      <c r="D285" s="41"/>
      <c r="E285" s="41"/>
      <c r="F285" s="41"/>
      <c r="G285" s="41"/>
      <c r="H285" s="41"/>
      <c r="I285" s="41"/>
      <c r="J285" s="41"/>
      <c r="K285" s="41"/>
      <c r="L285" s="41"/>
      <c r="M285" s="41"/>
      <c r="N285" s="41"/>
      <c r="O285" s="42"/>
      <c r="P285" s="41"/>
    </row>
    <row r="286" ht="15.75" customHeight="1">
      <c r="A286" s="39"/>
      <c r="B286" s="41"/>
      <c r="C286" s="41"/>
      <c r="D286" s="41"/>
      <c r="E286" s="41"/>
      <c r="F286" s="41"/>
      <c r="G286" s="41"/>
      <c r="H286" s="41"/>
      <c r="I286" s="41"/>
      <c r="J286" s="41"/>
      <c r="K286" s="41"/>
      <c r="L286" s="41"/>
      <c r="M286" s="41"/>
      <c r="N286" s="41"/>
      <c r="O286" s="42"/>
      <c r="P286" s="41"/>
    </row>
    <row r="287" ht="15.75" customHeight="1">
      <c r="A287" s="39"/>
      <c r="B287" s="41"/>
      <c r="C287" s="41"/>
      <c r="D287" s="41"/>
      <c r="E287" s="41"/>
      <c r="F287" s="41"/>
      <c r="G287" s="41"/>
      <c r="H287" s="41"/>
      <c r="I287" s="41"/>
      <c r="J287" s="41"/>
      <c r="K287" s="41"/>
      <c r="L287" s="41"/>
      <c r="M287" s="41"/>
      <c r="N287" s="41"/>
      <c r="O287" s="42"/>
      <c r="P287" s="41"/>
    </row>
    <row r="288" ht="15.75" customHeight="1">
      <c r="A288" s="39"/>
      <c r="B288" s="41"/>
      <c r="C288" s="41"/>
      <c r="D288" s="41"/>
      <c r="E288" s="41"/>
      <c r="F288" s="41"/>
      <c r="G288" s="41"/>
      <c r="H288" s="41"/>
      <c r="I288" s="41"/>
      <c r="J288" s="41"/>
      <c r="K288" s="41"/>
      <c r="L288" s="41"/>
      <c r="M288" s="41"/>
      <c r="N288" s="41"/>
      <c r="O288" s="42"/>
      <c r="P288" s="41"/>
    </row>
    <row r="289" ht="15.75" customHeight="1">
      <c r="A289" s="39"/>
      <c r="B289" s="41"/>
      <c r="C289" s="41"/>
      <c r="D289" s="41"/>
      <c r="E289" s="41"/>
      <c r="F289" s="41"/>
      <c r="G289" s="41"/>
      <c r="H289" s="41"/>
      <c r="I289" s="41"/>
      <c r="J289" s="41"/>
      <c r="K289" s="41"/>
      <c r="L289" s="41"/>
      <c r="M289" s="41"/>
      <c r="N289" s="41"/>
      <c r="O289" s="42"/>
      <c r="P289" s="41"/>
    </row>
    <row r="290" ht="15.75" customHeight="1">
      <c r="A290" s="39"/>
      <c r="B290" s="41"/>
      <c r="C290" s="41"/>
      <c r="D290" s="41"/>
      <c r="E290" s="41"/>
      <c r="F290" s="41"/>
      <c r="G290" s="41"/>
      <c r="H290" s="41"/>
      <c r="I290" s="41"/>
      <c r="J290" s="41"/>
      <c r="K290" s="41"/>
      <c r="L290" s="41"/>
      <c r="M290" s="41"/>
      <c r="N290" s="41"/>
      <c r="O290" s="42"/>
      <c r="P290" s="41"/>
    </row>
    <row r="291" ht="15.75" customHeight="1">
      <c r="A291" s="39"/>
      <c r="B291" s="41"/>
      <c r="C291" s="41"/>
      <c r="D291" s="41"/>
      <c r="E291" s="41"/>
      <c r="F291" s="41"/>
      <c r="G291" s="41"/>
      <c r="H291" s="41"/>
      <c r="I291" s="41"/>
      <c r="J291" s="41"/>
      <c r="K291" s="41"/>
      <c r="L291" s="41"/>
      <c r="M291" s="41"/>
      <c r="N291" s="41"/>
      <c r="O291" s="42"/>
      <c r="P291" s="41"/>
    </row>
    <row r="292" ht="15.75" customHeight="1">
      <c r="A292" s="39"/>
      <c r="B292" s="41"/>
      <c r="C292" s="41"/>
      <c r="D292" s="41"/>
      <c r="E292" s="41"/>
      <c r="F292" s="41"/>
      <c r="G292" s="41"/>
      <c r="H292" s="41"/>
      <c r="I292" s="41"/>
      <c r="J292" s="41"/>
      <c r="K292" s="41"/>
      <c r="L292" s="41"/>
      <c r="M292" s="41"/>
      <c r="N292" s="41"/>
      <c r="O292" s="42"/>
      <c r="P292" s="41"/>
    </row>
    <row r="293" ht="15.75" customHeight="1">
      <c r="A293" s="39"/>
      <c r="B293" s="41"/>
      <c r="C293" s="41"/>
      <c r="D293" s="41"/>
      <c r="E293" s="41"/>
      <c r="F293" s="41"/>
      <c r="G293" s="41"/>
      <c r="H293" s="41"/>
      <c r="I293" s="41"/>
      <c r="J293" s="41"/>
      <c r="K293" s="41"/>
      <c r="L293" s="41"/>
      <c r="M293" s="41"/>
      <c r="N293" s="41"/>
      <c r="O293" s="42"/>
      <c r="P293" s="41"/>
    </row>
    <row r="294" ht="15.75" customHeight="1">
      <c r="A294" s="39"/>
      <c r="B294" s="41"/>
      <c r="C294" s="41"/>
      <c r="D294" s="41"/>
      <c r="E294" s="41"/>
      <c r="F294" s="41"/>
      <c r="G294" s="41"/>
      <c r="H294" s="41"/>
      <c r="I294" s="41"/>
      <c r="J294" s="41"/>
      <c r="K294" s="41"/>
      <c r="L294" s="41"/>
      <c r="M294" s="41"/>
      <c r="N294" s="41"/>
      <c r="O294" s="42"/>
      <c r="P294" s="41"/>
    </row>
    <row r="295" ht="15.75" customHeight="1">
      <c r="A295" s="39"/>
      <c r="B295" s="41"/>
      <c r="C295" s="41"/>
      <c r="D295" s="41"/>
      <c r="E295" s="41"/>
      <c r="F295" s="41"/>
      <c r="G295" s="41"/>
      <c r="H295" s="41"/>
      <c r="I295" s="41"/>
      <c r="J295" s="41"/>
      <c r="K295" s="41"/>
      <c r="L295" s="41"/>
      <c r="M295" s="41"/>
      <c r="N295" s="41"/>
      <c r="O295" s="42"/>
      <c r="P295" s="41"/>
    </row>
    <row r="296" ht="15.75" customHeight="1">
      <c r="A296" s="39"/>
      <c r="B296" s="41"/>
      <c r="C296" s="41"/>
      <c r="D296" s="41"/>
      <c r="E296" s="41"/>
      <c r="F296" s="41"/>
      <c r="G296" s="41"/>
      <c r="H296" s="41"/>
      <c r="I296" s="41"/>
      <c r="J296" s="41"/>
      <c r="K296" s="41"/>
      <c r="L296" s="41"/>
      <c r="M296" s="41"/>
      <c r="N296" s="41"/>
      <c r="O296" s="42"/>
      <c r="P296" s="41"/>
    </row>
    <row r="297" ht="15.75" customHeight="1">
      <c r="A297" s="39"/>
      <c r="B297" s="41"/>
      <c r="C297" s="41"/>
      <c r="D297" s="41"/>
      <c r="E297" s="41"/>
      <c r="F297" s="41"/>
      <c r="G297" s="41"/>
      <c r="H297" s="41"/>
      <c r="I297" s="41"/>
      <c r="J297" s="41"/>
      <c r="K297" s="41"/>
      <c r="L297" s="41"/>
      <c r="M297" s="41"/>
      <c r="N297" s="41"/>
      <c r="O297" s="42"/>
      <c r="P297" s="41"/>
    </row>
    <row r="298" ht="15.75" customHeight="1">
      <c r="A298" s="39"/>
      <c r="B298" s="41"/>
      <c r="C298" s="41"/>
      <c r="D298" s="41"/>
      <c r="E298" s="41"/>
      <c r="F298" s="41"/>
      <c r="G298" s="41"/>
      <c r="H298" s="41"/>
      <c r="I298" s="41"/>
      <c r="J298" s="41"/>
      <c r="K298" s="41"/>
      <c r="L298" s="41"/>
      <c r="M298" s="41"/>
      <c r="N298" s="41"/>
      <c r="O298" s="42"/>
      <c r="P298" s="41"/>
    </row>
    <row r="299" ht="15.75" customHeight="1">
      <c r="A299" s="39"/>
      <c r="B299" s="41"/>
      <c r="C299" s="41"/>
      <c r="D299" s="41"/>
      <c r="E299" s="41"/>
      <c r="F299" s="41"/>
      <c r="G299" s="41"/>
      <c r="H299" s="41"/>
      <c r="I299" s="41"/>
      <c r="J299" s="41"/>
      <c r="K299" s="41"/>
      <c r="L299" s="41"/>
      <c r="M299" s="41"/>
      <c r="N299" s="41"/>
      <c r="O299" s="42"/>
      <c r="P299" s="41"/>
    </row>
    <row r="300" ht="15.75" customHeight="1">
      <c r="A300" s="39"/>
      <c r="B300" s="41"/>
      <c r="C300" s="41"/>
      <c r="D300" s="41"/>
      <c r="E300" s="41"/>
      <c r="F300" s="41"/>
      <c r="G300" s="41"/>
      <c r="H300" s="41"/>
      <c r="I300" s="41"/>
      <c r="J300" s="41"/>
      <c r="K300" s="41"/>
      <c r="L300" s="41"/>
      <c r="M300" s="41"/>
      <c r="N300" s="41"/>
      <c r="O300" s="42"/>
      <c r="P300" s="41"/>
    </row>
    <row r="301" ht="15.75" customHeight="1">
      <c r="A301" s="39"/>
      <c r="B301" s="41"/>
      <c r="C301" s="41"/>
      <c r="D301" s="41"/>
      <c r="E301" s="41"/>
      <c r="F301" s="41"/>
      <c r="G301" s="41"/>
      <c r="H301" s="41"/>
      <c r="I301" s="41"/>
      <c r="J301" s="41"/>
      <c r="K301" s="41"/>
      <c r="L301" s="41"/>
      <c r="M301" s="41"/>
      <c r="N301" s="41"/>
      <c r="O301" s="42"/>
      <c r="P301" s="41"/>
    </row>
    <row r="302" ht="15.75" customHeight="1">
      <c r="A302" s="39"/>
      <c r="B302" s="41"/>
      <c r="C302" s="41"/>
      <c r="D302" s="41"/>
      <c r="E302" s="41"/>
      <c r="F302" s="41"/>
      <c r="G302" s="41"/>
      <c r="H302" s="41"/>
      <c r="I302" s="41"/>
      <c r="J302" s="41"/>
      <c r="K302" s="41"/>
      <c r="L302" s="41"/>
      <c r="M302" s="41"/>
      <c r="N302" s="41"/>
      <c r="O302" s="42"/>
      <c r="P302" s="41"/>
    </row>
    <row r="303" ht="15.75" customHeight="1">
      <c r="A303" s="39"/>
      <c r="B303" s="41"/>
      <c r="C303" s="41"/>
      <c r="D303" s="41"/>
      <c r="E303" s="41"/>
      <c r="F303" s="41"/>
      <c r="G303" s="41"/>
      <c r="H303" s="41"/>
      <c r="I303" s="41"/>
      <c r="J303" s="41"/>
      <c r="K303" s="41"/>
      <c r="L303" s="41"/>
      <c r="M303" s="41"/>
      <c r="N303" s="41"/>
      <c r="O303" s="42"/>
      <c r="P303" s="41"/>
    </row>
    <row r="304" ht="15.75" customHeight="1">
      <c r="A304" s="39"/>
    </row>
    <row r="305" ht="15.75" customHeight="1">
      <c r="A305" s="39"/>
    </row>
    <row r="306" ht="15.75" customHeight="1">
      <c r="A306" s="39"/>
    </row>
    <row r="307" ht="15.75" customHeight="1">
      <c r="A307" s="39"/>
    </row>
    <row r="308" ht="15.75" customHeight="1">
      <c r="A308" s="39"/>
    </row>
    <row r="309" ht="15.75" customHeight="1">
      <c r="A309" s="39"/>
    </row>
    <row r="310" ht="15.75" customHeight="1">
      <c r="A310" s="39"/>
    </row>
    <row r="311" ht="15.75" customHeight="1">
      <c r="A311" s="39"/>
    </row>
    <row r="312" ht="15.75" customHeight="1">
      <c r="A312" s="39"/>
    </row>
    <row r="313" ht="15.75" customHeight="1">
      <c r="A313" s="39"/>
    </row>
    <row r="314" ht="15.75" customHeight="1">
      <c r="A314" s="39"/>
    </row>
    <row r="315" ht="15.75" customHeight="1">
      <c r="A315" s="39"/>
    </row>
    <row r="316" ht="15.75" customHeight="1">
      <c r="A316" s="39"/>
    </row>
    <row r="317" ht="15.75" customHeight="1">
      <c r="A317" s="39"/>
    </row>
    <row r="318" ht="15.75" customHeight="1">
      <c r="A318" s="39"/>
    </row>
    <row r="319" ht="15.75" customHeight="1">
      <c r="A319" s="39"/>
    </row>
    <row r="320" ht="15.75" customHeight="1">
      <c r="A320" s="39"/>
    </row>
    <row r="321" ht="15.75" customHeight="1">
      <c r="A321" s="39"/>
    </row>
    <row r="322" ht="15.75" customHeight="1">
      <c r="A322" s="39"/>
    </row>
    <row r="323" ht="15.75" customHeight="1">
      <c r="A323" s="39"/>
    </row>
    <row r="324" ht="15.75" customHeight="1">
      <c r="A324" s="39"/>
    </row>
    <row r="325" ht="15.75" customHeight="1">
      <c r="A325" s="39"/>
    </row>
    <row r="326" ht="15.75" customHeight="1">
      <c r="A326" s="39"/>
    </row>
    <row r="327" ht="15.75" customHeight="1">
      <c r="A327" s="39"/>
    </row>
    <row r="328" ht="15.75" customHeight="1">
      <c r="A328" s="39"/>
    </row>
    <row r="329" ht="15.75" customHeight="1">
      <c r="A329" s="39"/>
    </row>
    <row r="330" ht="15.75" customHeight="1">
      <c r="A330" s="39"/>
    </row>
    <row r="331" ht="15.75" customHeight="1">
      <c r="A331" s="39"/>
    </row>
    <row r="332" ht="15.75" customHeight="1">
      <c r="A332" s="39"/>
    </row>
    <row r="333" ht="15.75" customHeight="1">
      <c r="A333" s="39"/>
    </row>
    <row r="334" ht="15.75" customHeight="1">
      <c r="A334" s="39"/>
    </row>
    <row r="335" ht="15.75" customHeight="1">
      <c r="A335" s="39"/>
    </row>
    <row r="336" ht="15.75" customHeight="1">
      <c r="A336" s="39"/>
    </row>
    <row r="337" ht="15.75" customHeight="1">
      <c r="A337" s="39"/>
    </row>
    <row r="338" ht="15.75" customHeight="1">
      <c r="A338" s="39"/>
    </row>
    <row r="339" ht="15.75" customHeight="1">
      <c r="A339" s="39"/>
    </row>
    <row r="340" ht="15.75" customHeight="1">
      <c r="A340" s="39"/>
    </row>
    <row r="341" ht="15.75" customHeight="1">
      <c r="A341" s="39"/>
    </row>
    <row r="342" ht="15.75" customHeight="1">
      <c r="A342" s="39"/>
    </row>
    <row r="343" ht="15.75" customHeight="1">
      <c r="A343" s="39"/>
    </row>
    <row r="344" ht="15.75" customHeight="1">
      <c r="A344" s="39"/>
    </row>
    <row r="345" ht="15.75" customHeight="1">
      <c r="A345" s="39"/>
    </row>
    <row r="346" ht="15.75" customHeight="1">
      <c r="A346" s="39"/>
    </row>
    <row r="347" ht="15.75" customHeight="1">
      <c r="A347" s="39"/>
    </row>
    <row r="348" ht="15.75" customHeight="1">
      <c r="A348" s="39"/>
    </row>
    <row r="349" ht="15.75" customHeight="1">
      <c r="A349" s="39"/>
    </row>
    <row r="350" ht="15.75" customHeight="1">
      <c r="A350" s="39"/>
    </row>
    <row r="351" ht="15.75" customHeight="1">
      <c r="A351" s="39"/>
    </row>
    <row r="352" ht="15.75" customHeight="1">
      <c r="A352" s="39"/>
    </row>
    <row r="353" ht="15.75" customHeight="1">
      <c r="A353" s="39"/>
    </row>
    <row r="354" ht="15.75" customHeight="1">
      <c r="A354" s="39"/>
    </row>
    <row r="355" ht="15.75" customHeight="1">
      <c r="A355" s="39"/>
    </row>
    <row r="356" ht="15.75" customHeight="1">
      <c r="A356" s="39"/>
    </row>
    <row r="357" ht="15.75" customHeight="1">
      <c r="A357" s="39"/>
    </row>
    <row r="358" ht="15.75" customHeight="1">
      <c r="A358" s="39"/>
    </row>
    <row r="359" ht="15.75" customHeight="1">
      <c r="A359" s="39"/>
    </row>
    <row r="360" ht="15.75" customHeight="1">
      <c r="A360" s="39"/>
    </row>
    <row r="361" ht="15.75" customHeight="1">
      <c r="A361" s="39"/>
    </row>
    <row r="362" ht="15.75" customHeight="1">
      <c r="A362" s="39"/>
    </row>
    <row r="363" ht="15.75" customHeight="1">
      <c r="A363" s="39"/>
    </row>
    <row r="364" ht="15.75" customHeight="1">
      <c r="A364" s="39"/>
    </row>
    <row r="365" ht="15.75" customHeight="1">
      <c r="A365" s="39"/>
    </row>
    <row r="366" ht="15.75" customHeight="1">
      <c r="A366" s="39"/>
    </row>
    <row r="367" ht="15.75" customHeight="1">
      <c r="A367" s="39"/>
    </row>
    <row r="368" ht="15.75" customHeight="1">
      <c r="A368" s="39"/>
    </row>
    <row r="369" ht="15.75" customHeight="1">
      <c r="A369" s="39"/>
    </row>
    <row r="370" ht="15.75" customHeight="1">
      <c r="A370" s="39"/>
    </row>
    <row r="371" ht="15.75" customHeight="1">
      <c r="A371" s="39"/>
    </row>
    <row r="372" ht="15.75" customHeight="1">
      <c r="A372" s="39"/>
    </row>
    <row r="373" ht="15.75" customHeight="1">
      <c r="A373" s="39"/>
    </row>
    <row r="374" ht="15.75" customHeight="1">
      <c r="A374" s="39"/>
    </row>
    <row r="375" ht="15.75" customHeight="1">
      <c r="A375" s="39"/>
    </row>
    <row r="376" ht="15.75" customHeight="1">
      <c r="A376" s="39"/>
    </row>
    <row r="377" ht="15.75" customHeight="1">
      <c r="A377" s="39"/>
    </row>
    <row r="378" ht="15.75" customHeight="1">
      <c r="A378" s="39"/>
    </row>
    <row r="379" ht="15.75" customHeight="1">
      <c r="A379" s="39"/>
    </row>
    <row r="380" ht="15.75" customHeight="1">
      <c r="A380" s="39"/>
    </row>
    <row r="381" ht="15.75" customHeight="1">
      <c r="A381" s="39"/>
    </row>
    <row r="382" ht="15.75" customHeight="1">
      <c r="A382" s="39"/>
    </row>
    <row r="383" ht="15.75" customHeight="1">
      <c r="A383" s="39"/>
    </row>
    <row r="384" ht="15.75" customHeight="1">
      <c r="A384" s="39"/>
    </row>
    <row r="385" ht="15.75" customHeight="1">
      <c r="A385" s="39"/>
    </row>
    <row r="386" ht="15.75" customHeight="1">
      <c r="A386" s="39"/>
    </row>
    <row r="387" ht="15.75" customHeight="1">
      <c r="A387" s="39"/>
    </row>
    <row r="388" ht="15.75" customHeight="1">
      <c r="A388" s="39"/>
    </row>
    <row r="389" ht="15.75" customHeight="1">
      <c r="A389" s="39"/>
    </row>
    <row r="390" ht="15.75" customHeight="1">
      <c r="A390" s="39"/>
    </row>
    <row r="391" ht="15.75" customHeight="1">
      <c r="A391" s="39"/>
    </row>
    <row r="392" ht="15.75" customHeight="1">
      <c r="A392" s="39"/>
    </row>
    <row r="393" ht="15.75" customHeight="1">
      <c r="A393" s="39"/>
    </row>
    <row r="394" ht="15.75" customHeight="1">
      <c r="A394" s="39"/>
    </row>
    <row r="395" ht="15.75" customHeight="1">
      <c r="A395" s="39"/>
    </row>
    <row r="396" ht="15.75" customHeight="1">
      <c r="A396" s="39"/>
    </row>
    <row r="397" ht="15.75" customHeight="1">
      <c r="A397" s="39"/>
    </row>
    <row r="398" ht="15.75" customHeight="1">
      <c r="A398" s="39"/>
    </row>
    <row r="399" ht="15.75" customHeight="1">
      <c r="A399" s="39"/>
    </row>
    <row r="400" ht="15.75" customHeight="1">
      <c r="A400" s="39"/>
    </row>
    <row r="401" ht="15.75" customHeight="1">
      <c r="A401" s="39"/>
    </row>
    <row r="402" ht="15.75" customHeight="1">
      <c r="A402" s="39"/>
    </row>
    <row r="403" ht="15.75" customHeight="1">
      <c r="A403" s="39"/>
    </row>
    <row r="404" ht="15.75" customHeight="1">
      <c r="A404" s="39"/>
    </row>
    <row r="405" ht="15.75" customHeight="1">
      <c r="A405" s="39"/>
    </row>
    <row r="406" ht="15.75" customHeight="1">
      <c r="A406" s="39"/>
    </row>
    <row r="407" ht="15.75" customHeight="1">
      <c r="A407" s="39"/>
    </row>
    <row r="408" ht="15.75" customHeight="1">
      <c r="A408" s="39"/>
    </row>
    <row r="409" ht="15.75" customHeight="1">
      <c r="A409" s="39"/>
    </row>
    <row r="410" ht="15.75" customHeight="1">
      <c r="A410" s="39"/>
    </row>
    <row r="411" ht="15.75" customHeight="1">
      <c r="A411" s="39"/>
    </row>
    <row r="412" ht="15.75" customHeight="1">
      <c r="A412" s="39"/>
    </row>
    <row r="413" ht="15.75" customHeight="1">
      <c r="A413" s="39"/>
    </row>
    <row r="414" ht="15.75" customHeight="1">
      <c r="A414" s="39"/>
    </row>
    <row r="415" ht="15.75" customHeight="1">
      <c r="A415" s="39"/>
    </row>
    <row r="416" ht="15.75" customHeight="1">
      <c r="A416" s="39"/>
    </row>
    <row r="417" ht="15.75" customHeight="1">
      <c r="A417" s="39"/>
    </row>
    <row r="418" ht="15.75" customHeight="1">
      <c r="A418" s="39"/>
    </row>
    <row r="419" ht="15.75" customHeight="1">
      <c r="A419" s="39"/>
    </row>
    <row r="420" ht="15.75" customHeight="1">
      <c r="A420" s="39"/>
    </row>
    <row r="421" ht="15.75" customHeight="1">
      <c r="A421" s="39"/>
    </row>
    <row r="422" ht="15.75" customHeight="1">
      <c r="A422" s="39"/>
    </row>
    <row r="423" ht="15.75" customHeight="1">
      <c r="A423" s="39"/>
    </row>
    <row r="424" ht="15.75" customHeight="1">
      <c r="A424" s="39"/>
    </row>
    <row r="425" ht="15.75" customHeight="1">
      <c r="A425" s="39"/>
    </row>
    <row r="426" ht="15.75" customHeight="1">
      <c r="A426" s="39"/>
    </row>
    <row r="427" ht="15.75" customHeight="1">
      <c r="A427" s="39"/>
    </row>
    <row r="428" ht="15.75" customHeight="1">
      <c r="A428" s="39"/>
    </row>
    <row r="429" ht="15.75" customHeight="1">
      <c r="A429" s="39"/>
    </row>
    <row r="430" ht="15.75" customHeight="1">
      <c r="A430" s="39"/>
    </row>
    <row r="431" ht="15.75" customHeight="1">
      <c r="A431" s="39"/>
    </row>
    <row r="432" ht="15.75" customHeight="1">
      <c r="A432" s="39"/>
    </row>
    <row r="433" ht="15.75" customHeight="1">
      <c r="A433" s="39"/>
    </row>
    <row r="434" ht="15.75" customHeight="1">
      <c r="A434" s="39"/>
    </row>
    <row r="435" ht="15.75" customHeight="1">
      <c r="A435" s="39"/>
    </row>
    <row r="436" ht="15.75" customHeight="1">
      <c r="A436" s="39"/>
    </row>
    <row r="437" ht="15.75" customHeight="1">
      <c r="A437" s="39"/>
    </row>
    <row r="438" ht="15.75" customHeight="1">
      <c r="A438" s="39"/>
    </row>
    <row r="439" ht="15.75" customHeight="1">
      <c r="A439" s="39"/>
    </row>
    <row r="440" ht="15.75" customHeight="1">
      <c r="A440" s="39"/>
    </row>
    <row r="441" ht="15.75" customHeight="1">
      <c r="A441" s="39"/>
    </row>
    <row r="442" ht="15.75" customHeight="1">
      <c r="A442" s="39"/>
    </row>
    <row r="443" ht="15.75" customHeight="1">
      <c r="A443" s="39"/>
    </row>
    <row r="444" ht="15.75" customHeight="1">
      <c r="A444" s="39"/>
    </row>
    <row r="445" ht="15.75" customHeight="1">
      <c r="A445" s="39"/>
    </row>
    <row r="446" ht="15.75" customHeight="1">
      <c r="A446" s="39"/>
    </row>
    <row r="447" ht="15.75" customHeight="1">
      <c r="A447" s="39"/>
    </row>
    <row r="448" ht="15.75" customHeight="1">
      <c r="A448" s="39"/>
    </row>
    <row r="449" ht="15.75" customHeight="1">
      <c r="A449" s="39"/>
    </row>
    <row r="450" ht="15.75" customHeight="1">
      <c r="A450" s="39"/>
    </row>
    <row r="451" ht="15.75" customHeight="1">
      <c r="A451" s="39"/>
    </row>
    <row r="452" ht="15.75" customHeight="1">
      <c r="A452" s="39"/>
    </row>
    <row r="453" ht="15.75" customHeight="1">
      <c r="A453" s="39"/>
    </row>
    <row r="454" ht="15.75" customHeight="1">
      <c r="A454" s="39"/>
    </row>
    <row r="455" ht="15.75" customHeight="1">
      <c r="A455" s="39"/>
    </row>
    <row r="456" ht="15.75" customHeight="1">
      <c r="A456" s="39"/>
    </row>
    <row r="457" ht="15.75" customHeight="1">
      <c r="A457" s="39"/>
    </row>
    <row r="458" ht="15.75" customHeight="1">
      <c r="A458" s="39"/>
    </row>
    <row r="459" ht="15.75" customHeight="1">
      <c r="A459" s="39"/>
    </row>
    <row r="460" ht="15.75" customHeight="1">
      <c r="A460" s="39"/>
    </row>
    <row r="461" ht="15.75" customHeight="1">
      <c r="A461" s="39"/>
    </row>
    <row r="462" ht="15.75" customHeight="1">
      <c r="A462" s="39"/>
    </row>
    <row r="463" ht="15.75" customHeight="1">
      <c r="A463" s="39"/>
    </row>
    <row r="464" ht="15.75" customHeight="1">
      <c r="A464" s="39"/>
    </row>
    <row r="465" ht="15.75" customHeight="1">
      <c r="A465" s="39"/>
    </row>
    <row r="466" ht="15.75" customHeight="1">
      <c r="A466" s="39"/>
    </row>
    <row r="467" ht="15.75" customHeight="1">
      <c r="A467" s="39"/>
    </row>
    <row r="468" ht="15.75" customHeight="1">
      <c r="A468" s="39"/>
    </row>
    <row r="469" ht="15.75" customHeight="1">
      <c r="A469" s="39"/>
    </row>
    <row r="470" ht="15.75" customHeight="1">
      <c r="A470" s="39"/>
    </row>
    <row r="471" ht="15.75" customHeight="1">
      <c r="A471" s="39"/>
    </row>
    <row r="472" ht="15.75" customHeight="1">
      <c r="A472" s="39"/>
    </row>
    <row r="473" ht="15.75" customHeight="1">
      <c r="A473" s="39"/>
    </row>
    <row r="474" ht="15.75" customHeight="1">
      <c r="A474" s="39"/>
    </row>
    <row r="475" ht="15.75" customHeight="1">
      <c r="A475" s="39"/>
    </row>
    <row r="476" ht="15.75" customHeight="1">
      <c r="A476" s="39"/>
    </row>
    <row r="477" ht="15.75" customHeight="1">
      <c r="A477" s="39"/>
    </row>
    <row r="478" ht="15.75" customHeight="1">
      <c r="A478" s="39"/>
    </row>
    <row r="479" ht="15.75" customHeight="1">
      <c r="A479" s="39"/>
    </row>
    <row r="480" ht="15.75" customHeight="1">
      <c r="A480" s="39"/>
    </row>
    <row r="481" ht="15.75" customHeight="1">
      <c r="A481" s="39"/>
    </row>
    <row r="482" ht="15.75" customHeight="1">
      <c r="A482" s="39"/>
    </row>
    <row r="483" ht="15.75" customHeight="1">
      <c r="A483" s="39"/>
    </row>
    <row r="484" ht="15.75" customHeight="1">
      <c r="A484" s="39"/>
    </row>
    <row r="485" ht="15.75" customHeight="1">
      <c r="A485" s="39"/>
    </row>
    <row r="486" ht="15.75" customHeight="1">
      <c r="A486" s="39"/>
    </row>
    <row r="487" ht="15.75" customHeight="1">
      <c r="A487" s="39"/>
    </row>
    <row r="488" ht="15.75" customHeight="1">
      <c r="A488" s="39"/>
    </row>
    <row r="489" ht="15.75" customHeight="1">
      <c r="A489" s="39"/>
    </row>
    <row r="490" ht="15.75" customHeight="1">
      <c r="A490" s="39"/>
    </row>
    <row r="491" ht="15.75" customHeight="1">
      <c r="A491" s="39"/>
    </row>
    <row r="492" ht="15.75" customHeight="1">
      <c r="A492" s="39"/>
    </row>
    <row r="493" ht="15.75" customHeight="1">
      <c r="A493" s="39"/>
    </row>
    <row r="494" ht="15.75" customHeight="1">
      <c r="A494" s="39"/>
    </row>
    <row r="495" ht="15.75" customHeight="1">
      <c r="A495" s="39"/>
    </row>
    <row r="496" ht="15.75" customHeight="1">
      <c r="A496" s="39"/>
    </row>
    <row r="497" ht="15.75" customHeight="1">
      <c r="A497" s="39"/>
    </row>
    <row r="498" ht="15.75" customHeight="1">
      <c r="A498" s="39"/>
    </row>
    <row r="499" ht="15.75" customHeight="1">
      <c r="A499" s="39"/>
    </row>
    <row r="500" ht="15.75" customHeight="1">
      <c r="A500" s="39"/>
    </row>
    <row r="501" ht="15.75" customHeight="1">
      <c r="A501" s="39"/>
    </row>
    <row r="502" ht="15.75" customHeight="1">
      <c r="A502" s="39"/>
    </row>
    <row r="503" ht="15.75" customHeight="1">
      <c r="A503" s="39"/>
    </row>
    <row r="504" ht="15.75" customHeight="1">
      <c r="A504" s="39"/>
    </row>
    <row r="505" ht="15.75" customHeight="1">
      <c r="A505" s="39"/>
    </row>
    <row r="506" ht="15.75" customHeight="1">
      <c r="A506" s="39"/>
    </row>
    <row r="507" ht="15.75" customHeight="1">
      <c r="A507" s="39"/>
    </row>
    <row r="508" ht="15.75" customHeight="1">
      <c r="A508" s="39"/>
    </row>
    <row r="509" ht="15.75" customHeight="1">
      <c r="A509" s="39"/>
    </row>
    <row r="510" ht="15.75" customHeight="1">
      <c r="A510" s="39"/>
    </row>
    <row r="511" ht="15.75" customHeight="1">
      <c r="A511" s="39"/>
    </row>
    <row r="512" ht="15.75" customHeight="1">
      <c r="A512" s="39"/>
    </row>
    <row r="513" ht="15.75" customHeight="1">
      <c r="A513" s="39"/>
    </row>
    <row r="514" ht="15.75" customHeight="1">
      <c r="A514" s="39"/>
    </row>
    <row r="515" ht="15.75" customHeight="1">
      <c r="A515" s="39"/>
    </row>
    <row r="516" ht="15.75" customHeight="1">
      <c r="A516" s="39"/>
    </row>
    <row r="517" ht="15.75" customHeight="1">
      <c r="A517" s="39"/>
    </row>
    <row r="518" ht="15.75" customHeight="1">
      <c r="A518" s="39"/>
    </row>
    <row r="519" ht="15.75" customHeight="1">
      <c r="A519" s="39"/>
    </row>
    <row r="520" ht="15.75" customHeight="1">
      <c r="A520" s="39"/>
    </row>
    <row r="521" ht="15.75" customHeight="1">
      <c r="A521" s="39"/>
    </row>
    <row r="522" ht="15.75" customHeight="1">
      <c r="A522" s="39"/>
    </row>
    <row r="523" ht="15.75" customHeight="1">
      <c r="A523" s="39"/>
    </row>
    <row r="524" ht="15.75" customHeight="1">
      <c r="A524" s="39"/>
    </row>
    <row r="525" ht="15.75" customHeight="1">
      <c r="A525" s="39"/>
    </row>
    <row r="526" ht="15.75" customHeight="1">
      <c r="A526" s="39"/>
    </row>
    <row r="527" ht="15.75" customHeight="1">
      <c r="A527" s="39"/>
    </row>
    <row r="528" ht="15.75" customHeight="1">
      <c r="A528" s="39"/>
    </row>
    <row r="529" ht="15.75" customHeight="1">
      <c r="A529" s="39"/>
    </row>
    <row r="530" ht="15.75" customHeight="1">
      <c r="A530" s="39"/>
    </row>
    <row r="531" ht="15.75" customHeight="1">
      <c r="A531" s="39"/>
    </row>
    <row r="532" ht="15.75" customHeight="1">
      <c r="A532" s="39"/>
    </row>
    <row r="533" ht="15.75" customHeight="1">
      <c r="A533" s="39"/>
    </row>
    <row r="534" ht="15.75" customHeight="1">
      <c r="A534" s="39"/>
    </row>
    <row r="535" ht="15.75" customHeight="1">
      <c r="A535" s="39"/>
    </row>
    <row r="536" ht="15.75" customHeight="1">
      <c r="A536" s="39"/>
    </row>
    <row r="537" ht="15.75" customHeight="1">
      <c r="A537" s="39"/>
    </row>
    <row r="538" ht="15.75" customHeight="1">
      <c r="A538" s="39"/>
    </row>
    <row r="539" ht="15.75" customHeight="1">
      <c r="A539" s="39"/>
    </row>
    <row r="540" ht="15.75" customHeight="1">
      <c r="A540" s="39"/>
    </row>
    <row r="541" ht="15.75" customHeight="1">
      <c r="A541" s="39"/>
    </row>
    <row r="542" ht="15.75" customHeight="1">
      <c r="A542" s="39"/>
    </row>
    <row r="543" ht="15.75" customHeight="1">
      <c r="A543" s="39"/>
    </row>
    <row r="544" ht="15.75" customHeight="1">
      <c r="A544" s="39"/>
    </row>
    <row r="545" ht="15.75" customHeight="1">
      <c r="A545" s="39"/>
    </row>
    <row r="546" ht="15.75" customHeight="1">
      <c r="A546" s="39"/>
    </row>
    <row r="547" ht="15.75" customHeight="1">
      <c r="A547" s="39"/>
    </row>
    <row r="548" ht="15.75" customHeight="1">
      <c r="A548" s="39"/>
    </row>
    <row r="549" ht="15.75" customHeight="1">
      <c r="A549" s="39"/>
    </row>
    <row r="550" ht="15.75" customHeight="1">
      <c r="A550" s="39"/>
    </row>
    <row r="551" ht="15.75" customHeight="1">
      <c r="A551" s="39"/>
    </row>
    <row r="552" ht="15.75" customHeight="1">
      <c r="A552" s="39"/>
    </row>
    <row r="553" ht="15.75" customHeight="1">
      <c r="A553" s="39"/>
    </row>
    <row r="554" ht="15.75" customHeight="1">
      <c r="A554" s="39"/>
    </row>
    <row r="555" ht="15.75" customHeight="1">
      <c r="A555" s="39"/>
    </row>
    <row r="556" ht="15.75" customHeight="1">
      <c r="A556" s="39"/>
    </row>
    <row r="557" ht="15.75" customHeight="1">
      <c r="A557" s="39"/>
    </row>
    <row r="558" ht="15.75" customHeight="1">
      <c r="A558" s="39"/>
    </row>
    <row r="559" ht="15.75" customHeight="1">
      <c r="A559" s="39"/>
    </row>
    <row r="560" ht="15.75" customHeight="1">
      <c r="A560" s="39"/>
    </row>
    <row r="561" ht="15.75" customHeight="1">
      <c r="A561" s="39"/>
    </row>
    <row r="562" ht="15.75" customHeight="1">
      <c r="A562" s="39"/>
    </row>
    <row r="563" ht="15.75" customHeight="1">
      <c r="A563" s="39"/>
    </row>
    <row r="564" ht="15.75" customHeight="1">
      <c r="A564" s="39"/>
    </row>
    <row r="565" ht="15.75" customHeight="1">
      <c r="A565" s="39"/>
    </row>
    <row r="566" ht="15.75" customHeight="1">
      <c r="A566" s="39"/>
    </row>
    <row r="567" ht="15.75" customHeight="1">
      <c r="A567" s="39"/>
    </row>
    <row r="568" ht="15.75" customHeight="1">
      <c r="A568" s="39"/>
    </row>
    <row r="569" ht="15.75" customHeight="1">
      <c r="A569" s="39"/>
    </row>
    <row r="570" ht="15.75" customHeight="1">
      <c r="A570" s="39"/>
    </row>
    <row r="571" ht="15.75" customHeight="1">
      <c r="A571" s="39"/>
    </row>
    <row r="572" ht="15.75" customHeight="1">
      <c r="A572" s="39"/>
    </row>
    <row r="573" ht="15.75" customHeight="1">
      <c r="A573" s="39"/>
    </row>
    <row r="574" ht="15.75" customHeight="1">
      <c r="A574" s="39"/>
    </row>
    <row r="575" ht="15.75" customHeight="1">
      <c r="A575" s="39"/>
    </row>
    <row r="576" ht="15.75" customHeight="1">
      <c r="A576" s="39"/>
    </row>
    <row r="577" ht="15.75" customHeight="1">
      <c r="A577" s="39"/>
    </row>
    <row r="578" ht="15.75" customHeight="1">
      <c r="A578" s="39"/>
    </row>
    <row r="579" ht="15.75" customHeight="1">
      <c r="A579" s="39"/>
    </row>
    <row r="580" ht="15.75" customHeight="1">
      <c r="A580" s="39"/>
    </row>
    <row r="581" ht="15.75" customHeight="1">
      <c r="A581" s="39"/>
    </row>
    <row r="582" ht="15.75" customHeight="1">
      <c r="A582" s="39"/>
    </row>
    <row r="583" ht="15.75" customHeight="1">
      <c r="A583" s="39"/>
    </row>
    <row r="584" ht="15.75" customHeight="1">
      <c r="A584" s="39"/>
    </row>
    <row r="585" ht="15.75" customHeight="1">
      <c r="A585" s="39"/>
    </row>
    <row r="586" ht="15.75" customHeight="1">
      <c r="A586" s="39"/>
    </row>
    <row r="587" ht="15.75" customHeight="1">
      <c r="A587" s="39"/>
    </row>
    <row r="588" ht="15.75" customHeight="1">
      <c r="A588" s="39"/>
    </row>
    <row r="589" ht="15.75" customHeight="1">
      <c r="A589" s="39"/>
    </row>
    <row r="590" ht="15.75" customHeight="1">
      <c r="A590" s="39"/>
    </row>
    <row r="591" ht="15.75" customHeight="1">
      <c r="A591" s="39"/>
    </row>
    <row r="592" ht="15.75" customHeight="1">
      <c r="A592" s="39"/>
    </row>
    <row r="593" ht="15.75" customHeight="1">
      <c r="A593" s="39"/>
    </row>
    <row r="594" ht="15.75" customHeight="1">
      <c r="A594" s="39"/>
    </row>
    <row r="595" ht="15.75" customHeight="1">
      <c r="A595" s="39"/>
    </row>
    <row r="596" ht="15.75" customHeight="1">
      <c r="A596" s="39"/>
    </row>
    <row r="597" ht="15.75" customHeight="1">
      <c r="A597" s="39"/>
    </row>
    <row r="598" ht="15.75" customHeight="1">
      <c r="A598" s="39"/>
    </row>
    <row r="599" ht="15.75" customHeight="1">
      <c r="A599" s="39"/>
    </row>
    <row r="600" ht="15.75" customHeight="1">
      <c r="A600" s="39"/>
    </row>
    <row r="601" ht="15.75" customHeight="1">
      <c r="A601" s="39"/>
    </row>
    <row r="602" ht="15.75" customHeight="1">
      <c r="A602" s="39"/>
    </row>
    <row r="603" ht="15.75" customHeight="1">
      <c r="A603" s="39"/>
    </row>
    <row r="604" ht="15.75" customHeight="1">
      <c r="A604" s="39"/>
    </row>
    <row r="605" ht="15.75" customHeight="1">
      <c r="A605" s="39"/>
    </row>
    <row r="606" ht="15.75" customHeight="1">
      <c r="A606" s="39"/>
    </row>
    <row r="607" ht="15.75" customHeight="1">
      <c r="A607" s="39"/>
    </row>
    <row r="608" ht="15.75" customHeight="1">
      <c r="A608" s="39"/>
    </row>
    <row r="609" ht="15.75" customHeight="1">
      <c r="A609" s="39"/>
    </row>
    <row r="610" ht="15.75" customHeight="1">
      <c r="A610" s="39"/>
    </row>
    <row r="611" ht="15.75" customHeight="1">
      <c r="A611" s="39"/>
    </row>
    <row r="612" ht="15.75" customHeight="1">
      <c r="A612" s="39"/>
    </row>
    <row r="613" ht="15.75" customHeight="1">
      <c r="A613" s="39"/>
    </row>
    <row r="614" ht="15.75" customHeight="1">
      <c r="A614" s="39"/>
    </row>
    <row r="615" ht="15.75" customHeight="1">
      <c r="A615" s="39"/>
    </row>
    <row r="616" ht="15.75" customHeight="1">
      <c r="A616" s="39"/>
    </row>
    <row r="617" ht="15.75" customHeight="1">
      <c r="A617" s="39"/>
    </row>
    <row r="618" ht="15.75" customHeight="1">
      <c r="A618" s="39"/>
    </row>
    <row r="619" ht="15.75" customHeight="1">
      <c r="A619" s="39"/>
    </row>
    <row r="620" ht="15.75" customHeight="1">
      <c r="A620" s="39"/>
    </row>
    <row r="621" ht="15.75" customHeight="1">
      <c r="A621" s="39"/>
    </row>
    <row r="622" ht="15.75" customHeight="1">
      <c r="A622" s="39"/>
    </row>
    <row r="623" ht="15.75" customHeight="1">
      <c r="A623" s="39"/>
    </row>
    <row r="624" ht="15.75" customHeight="1">
      <c r="A624" s="39"/>
    </row>
    <row r="625" ht="15.75" customHeight="1">
      <c r="A625" s="39"/>
    </row>
    <row r="626" ht="15.75" customHeight="1">
      <c r="A626" s="39"/>
    </row>
    <row r="627" ht="15.75" customHeight="1">
      <c r="A627" s="39"/>
    </row>
    <row r="628" ht="15.75" customHeight="1">
      <c r="A628" s="39"/>
    </row>
    <row r="629" ht="15.75" customHeight="1">
      <c r="A629" s="39"/>
    </row>
    <row r="630" ht="15.75" customHeight="1">
      <c r="A630" s="39"/>
    </row>
    <row r="631" ht="15.75" customHeight="1">
      <c r="A631" s="39"/>
    </row>
    <row r="632" ht="15.75" customHeight="1">
      <c r="A632" s="39"/>
    </row>
    <row r="633" ht="15.75" customHeight="1">
      <c r="A633" s="39"/>
    </row>
    <row r="634" ht="15.75" customHeight="1">
      <c r="A634" s="39"/>
    </row>
    <row r="635" ht="15.75" customHeight="1">
      <c r="A635" s="39"/>
    </row>
    <row r="636" ht="15.75" customHeight="1">
      <c r="A636" s="39"/>
    </row>
    <row r="637" ht="15.75" customHeight="1">
      <c r="A637" s="39"/>
    </row>
    <row r="638" ht="15.75" customHeight="1">
      <c r="A638" s="39"/>
    </row>
    <row r="639" ht="15.75" customHeight="1">
      <c r="A639" s="39"/>
    </row>
    <row r="640" ht="15.75" customHeight="1">
      <c r="A640" s="39"/>
    </row>
    <row r="641" ht="15.75" customHeight="1">
      <c r="A641" s="39"/>
    </row>
    <row r="642" ht="15.75" customHeight="1">
      <c r="A642" s="39"/>
    </row>
    <row r="643" ht="15.75" customHeight="1">
      <c r="A643" s="39"/>
    </row>
    <row r="644" ht="15.75" customHeight="1">
      <c r="A644" s="39"/>
    </row>
    <row r="645" ht="15.75" customHeight="1">
      <c r="A645" s="39"/>
    </row>
    <row r="646" ht="15.75" customHeight="1">
      <c r="A646" s="39"/>
    </row>
    <row r="647" ht="15.75" customHeight="1">
      <c r="A647" s="39"/>
    </row>
    <row r="648" ht="15.75" customHeight="1">
      <c r="A648" s="39"/>
    </row>
    <row r="649" ht="15.75" customHeight="1">
      <c r="A649" s="39"/>
    </row>
    <row r="650" ht="15.75" customHeight="1">
      <c r="A650" s="39"/>
    </row>
    <row r="651" ht="15.75" customHeight="1">
      <c r="A651" s="39"/>
    </row>
    <row r="652" ht="15.75" customHeight="1">
      <c r="A652" s="39"/>
    </row>
    <row r="653" ht="15.75" customHeight="1">
      <c r="A653" s="39"/>
    </row>
    <row r="654" ht="15.75" customHeight="1">
      <c r="A654" s="39"/>
    </row>
    <row r="655" ht="15.75" customHeight="1">
      <c r="A655" s="39"/>
    </row>
    <row r="656" ht="15.75" customHeight="1">
      <c r="A656" s="39"/>
    </row>
    <row r="657" ht="15.75" customHeight="1">
      <c r="A657" s="39"/>
    </row>
    <row r="658" ht="15.75" customHeight="1">
      <c r="A658" s="39"/>
    </row>
    <row r="659" ht="15.75" customHeight="1">
      <c r="A659" s="39"/>
    </row>
    <row r="660" ht="15.75" customHeight="1">
      <c r="A660" s="39"/>
    </row>
    <row r="661" ht="15.75" customHeight="1">
      <c r="A661" s="39"/>
    </row>
    <row r="662" ht="15.75" customHeight="1">
      <c r="A662" s="39"/>
    </row>
    <row r="663" ht="15.75" customHeight="1">
      <c r="A663" s="39"/>
    </row>
    <row r="664" ht="15.75" customHeight="1">
      <c r="A664" s="39"/>
    </row>
    <row r="665" ht="15.75" customHeight="1">
      <c r="A665" s="39"/>
    </row>
    <row r="666" ht="15.75" customHeight="1">
      <c r="A666" s="39"/>
    </row>
    <row r="667" ht="15.75" customHeight="1">
      <c r="A667" s="39"/>
    </row>
    <row r="668" ht="15.75" customHeight="1">
      <c r="A668" s="39"/>
    </row>
    <row r="669" ht="15.75" customHeight="1">
      <c r="A669" s="39"/>
    </row>
    <row r="670" ht="15.75" customHeight="1">
      <c r="A670" s="39"/>
    </row>
    <row r="671" ht="15.75" customHeight="1">
      <c r="A671" s="39"/>
    </row>
    <row r="672" ht="15.75" customHeight="1">
      <c r="A672" s="39"/>
    </row>
    <row r="673" ht="15.75" customHeight="1">
      <c r="A673" s="39"/>
    </row>
    <row r="674" ht="15.75" customHeight="1">
      <c r="A674" s="39"/>
    </row>
    <row r="675" ht="15.75" customHeight="1">
      <c r="A675" s="39"/>
    </row>
    <row r="676" ht="15.75" customHeight="1">
      <c r="A676" s="39"/>
    </row>
    <row r="677" ht="15.75" customHeight="1">
      <c r="A677" s="39"/>
    </row>
    <row r="678" ht="15.75" customHeight="1">
      <c r="A678" s="39"/>
    </row>
    <row r="679" ht="15.75" customHeight="1">
      <c r="A679" s="39"/>
    </row>
    <row r="680" ht="15.75" customHeight="1">
      <c r="A680" s="39"/>
    </row>
    <row r="681" ht="15.75" customHeight="1">
      <c r="A681" s="39"/>
    </row>
    <row r="682" ht="15.75" customHeight="1">
      <c r="A682" s="39"/>
    </row>
    <row r="683" ht="15.75" customHeight="1">
      <c r="A683" s="39"/>
    </row>
    <row r="684" ht="15.75" customHeight="1">
      <c r="A684" s="39"/>
    </row>
    <row r="685" ht="15.75" customHeight="1">
      <c r="A685" s="39"/>
    </row>
    <row r="686" ht="15.75" customHeight="1">
      <c r="A686" s="39"/>
    </row>
    <row r="687" ht="15.75" customHeight="1">
      <c r="A687" s="39"/>
    </row>
    <row r="688" ht="15.75" customHeight="1">
      <c r="A688" s="39"/>
    </row>
    <row r="689" ht="15.75" customHeight="1">
      <c r="A689" s="39"/>
    </row>
    <row r="690" ht="15.75" customHeight="1">
      <c r="A690" s="39"/>
    </row>
    <row r="691" ht="15.75" customHeight="1">
      <c r="A691" s="39"/>
    </row>
    <row r="692" ht="15.75" customHeight="1">
      <c r="A692" s="39"/>
    </row>
    <row r="693" ht="15.75" customHeight="1">
      <c r="A693" s="39"/>
    </row>
    <row r="694" ht="15.75" customHeight="1">
      <c r="A694" s="39"/>
    </row>
    <row r="695" ht="15.75" customHeight="1">
      <c r="A695" s="39"/>
    </row>
    <row r="696" ht="15.75" customHeight="1">
      <c r="A696" s="39"/>
    </row>
    <row r="697" ht="15.75" customHeight="1">
      <c r="A697" s="39"/>
    </row>
    <row r="698" ht="15.75" customHeight="1">
      <c r="A698" s="39"/>
    </row>
    <row r="699" ht="15.75" customHeight="1">
      <c r="A699" s="39"/>
    </row>
    <row r="700" ht="15.75" customHeight="1">
      <c r="A700" s="39"/>
    </row>
    <row r="701" ht="15.75" customHeight="1">
      <c r="A701" s="39"/>
    </row>
    <row r="702" ht="15.75" customHeight="1">
      <c r="A702" s="39"/>
    </row>
    <row r="703" ht="15.75" customHeight="1">
      <c r="A703" s="39"/>
    </row>
    <row r="704" ht="15.75" customHeight="1">
      <c r="A704" s="39"/>
    </row>
    <row r="705" ht="15.75" customHeight="1">
      <c r="A705" s="39"/>
    </row>
    <row r="706" ht="15.75" customHeight="1">
      <c r="A706" s="39"/>
    </row>
    <row r="707" ht="15.75" customHeight="1">
      <c r="A707" s="39"/>
    </row>
    <row r="708" ht="15.75" customHeight="1">
      <c r="A708" s="39"/>
    </row>
    <row r="709" ht="15.75" customHeight="1">
      <c r="A709" s="39"/>
    </row>
    <row r="710" ht="15.75" customHeight="1">
      <c r="A710" s="39"/>
    </row>
    <row r="711" ht="15.75" customHeight="1">
      <c r="A711" s="39"/>
    </row>
    <row r="712" ht="15.75" customHeight="1">
      <c r="A712" s="39"/>
    </row>
    <row r="713" ht="15.75" customHeight="1">
      <c r="A713" s="39"/>
    </row>
    <row r="714" ht="15.75" customHeight="1">
      <c r="A714" s="39"/>
    </row>
    <row r="715" ht="15.75" customHeight="1">
      <c r="A715" s="39"/>
    </row>
    <row r="716" ht="15.75" customHeight="1">
      <c r="A716" s="39"/>
    </row>
    <row r="717" ht="15.75" customHeight="1">
      <c r="A717" s="39"/>
    </row>
    <row r="718" ht="15.75" customHeight="1">
      <c r="A718" s="39"/>
    </row>
    <row r="719" ht="15.75" customHeight="1">
      <c r="A719" s="39"/>
    </row>
    <row r="720" ht="15.75" customHeight="1">
      <c r="A720" s="39"/>
    </row>
    <row r="721" ht="15.75" customHeight="1">
      <c r="A721" s="39"/>
    </row>
    <row r="722" ht="15.75" customHeight="1">
      <c r="A722" s="39"/>
    </row>
    <row r="723" ht="15.75" customHeight="1">
      <c r="A723" s="39"/>
    </row>
    <row r="724" ht="15.75" customHeight="1">
      <c r="A724" s="39"/>
    </row>
    <row r="725" ht="15.75" customHeight="1">
      <c r="A725" s="39"/>
    </row>
    <row r="726" ht="15.75" customHeight="1">
      <c r="A726" s="39"/>
    </row>
    <row r="727" ht="15.75" customHeight="1">
      <c r="A727" s="39"/>
    </row>
    <row r="728" ht="15.75" customHeight="1">
      <c r="A728" s="39"/>
    </row>
    <row r="729" ht="15.75" customHeight="1">
      <c r="A729" s="39"/>
    </row>
    <row r="730" ht="15.75" customHeight="1">
      <c r="A730" s="39"/>
    </row>
    <row r="731" ht="15.75" customHeight="1">
      <c r="A731" s="39"/>
    </row>
    <row r="732" ht="15.75" customHeight="1">
      <c r="A732" s="39"/>
    </row>
    <row r="733" ht="15.75" customHeight="1">
      <c r="A733" s="39"/>
    </row>
    <row r="734" ht="15.75" customHeight="1">
      <c r="A734" s="39"/>
    </row>
    <row r="735" ht="15.75" customHeight="1">
      <c r="A735" s="39"/>
    </row>
    <row r="736" ht="15.75" customHeight="1">
      <c r="A736" s="39"/>
    </row>
    <row r="737" ht="15.75" customHeight="1">
      <c r="A737" s="39"/>
    </row>
    <row r="738" ht="15.75" customHeight="1">
      <c r="A738" s="39"/>
    </row>
    <row r="739" ht="15.75" customHeight="1">
      <c r="A739" s="39"/>
    </row>
    <row r="740" ht="15.75" customHeight="1">
      <c r="A740" s="39"/>
    </row>
    <row r="741" ht="15.75" customHeight="1">
      <c r="A741" s="39"/>
    </row>
    <row r="742" ht="15.75" customHeight="1">
      <c r="A742" s="39"/>
    </row>
    <row r="743" ht="15.75" customHeight="1">
      <c r="A743" s="39"/>
    </row>
    <row r="744" ht="15.75" customHeight="1">
      <c r="A744" s="39"/>
    </row>
    <row r="745" ht="15.75" customHeight="1">
      <c r="A745" s="39"/>
    </row>
    <row r="746" ht="15.75" customHeight="1">
      <c r="A746" s="39"/>
    </row>
    <row r="747" ht="15.75" customHeight="1">
      <c r="A747" s="39"/>
    </row>
    <row r="748" ht="15.75" customHeight="1">
      <c r="A748" s="39"/>
    </row>
    <row r="749" ht="15.75" customHeight="1">
      <c r="A749" s="39"/>
    </row>
    <row r="750" ht="15.75" customHeight="1">
      <c r="A750" s="39"/>
    </row>
    <row r="751" ht="15.75" customHeight="1">
      <c r="A751" s="39"/>
    </row>
    <row r="752" ht="15.75" customHeight="1">
      <c r="A752" s="39"/>
    </row>
    <row r="753" ht="15.75" customHeight="1">
      <c r="A753" s="39"/>
    </row>
    <row r="754" ht="15.75" customHeight="1">
      <c r="A754" s="39"/>
    </row>
    <row r="755" ht="15.75" customHeight="1">
      <c r="A755" s="39"/>
    </row>
    <row r="756" ht="15.75" customHeight="1">
      <c r="A756" s="39"/>
    </row>
    <row r="757" ht="15.75" customHeight="1">
      <c r="A757" s="39"/>
    </row>
    <row r="758" ht="15.75" customHeight="1">
      <c r="A758" s="39"/>
    </row>
    <row r="759" ht="15.75" customHeight="1">
      <c r="A759" s="39"/>
    </row>
    <row r="760" ht="15.75" customHeight="1">
      <c r="A760" s="39"/>
    </row>
    <row r="761" ht="15.75" customHeight="1">
      <c r="A761" s="39"/>
    </row>
    <row r="762" ht="15.75" customHeight="1">
      <c r="A762" s="39"/>
    </row>
    <row r="763" ht="15.75" customHeight="1">
      <c r="A763" s="39"/>
    </row>
    <row r="764" ht="15.75" customHeight="1">
      <c r="A764" s="39"/>
    </row>
    <row r="765" ht="15.75" customHeight="1">
      <c r="A765" s="39"/>
    </row>
    <row r="766" ht="15.75" customHeight="1">
      <c r="A766" s="39"/>
    </row>
    <row r="767" ht="15.75" customHeight="1">
      <c r="A767" s="39"/>
    </row>
    <row r="768" ht="15.75" customHeight="1">
      <c r="A768" s="39"/>
    </row>
    <row r="769" ht="15.75" customHeight="1">
      <c r="A769" s="39"/>
    </row>
    <row r="770" ht="15.75" customHeight="1">
      <c r="A770" s="39"/>
    </row>
    <row r="771" ht="15.75" customHeight="1">
      <c r="A771" s="39"/>
    </row>
    <row r="772" ht="15.75" customHeight="1">
      <c r="A772" s="39"/>
    </row>
    <row r="773" ht="15.75" customHeight="1">
      <c r="A773" s="39"/>
    </row>
    <row r="774" ht="15.75" customHeight="1">
      <c r="A774" s="39"/>
    </row>
    <row r="775" ht="15.75" customHeight="1">
      <c r="A775" s="39"/>
    </row>
    <row r="776" ht="15.75" customHeight="1">
      <c r="A776" s="39"/>
    </row>
    <row r="777" ht="15.75" customHeight="1">
      <c r="A777" s="39"/>
    </row>
    <row r="778" ht="15.75" customHeight="1">
      <c r="A778" s="39"/>
    </row>
    <row r="779" ht="15.75" customHeight="1">
      <c r="A779" s="39"/>
    </row>
    <row r="780" ht="15.75" customHeight="1">
      <c r="A780" s="39"/>
    </row>
    <row r="781" ht="15.75" customHeight="1">
      <c r="A781" s="39"/>
    </row>
    <row r="782" ht="15.75" customHeight="1">
      <c r="A782" s="39"/>
    </row>
    <row r="783" ht="15.75" customHeight="1">
      <c r="A783" s="39"/>
    </row>
    <row r="784" ht="15.75" customHeight="1">
      <c r="A784" s="39"/>
    </row>
    <row r="785" ht="15.75" customHeight="1">
      <c r="A785" s="39"/>
    </row>
    <row r="786" ht="15.75" customHeight="1">
      <c r="A786" s="39"/>
    </row>
    <row r="787" ht="15.75" customHeight="1">
      <c r="A787" s="39"/>
    </row>
    <row r="788" ht="15.75" customHeight="1">
      <c r="A788" s="39"/>
    </row>
    <row r="789" ht="15.75" customHeight="1">
      <c r="A789" s="39"/>
    </row>
    <row r="790" ht="15.75" customHeight="1">
      <c r="A790" s="39"/>
    </row>
    <row r="791" ht="15.75" customHeight="1">
      <c r="A791" s="39"/>
    </row>
    <row r="792" ht="15.75" customHeight="1">
      <c r="A792" s="39"/>
    </row>
    <row r="793" ht="15.75" customHeight="1">
      <c r="A793" s="39"/>
    </row>
    <row r="794" ht="15.75" customHeight="1">
      <c r="A794" s="39"/>
    </row>
    <row r="795" ht="15.75" customHeight="1">
      <c r="A795" s="39"/>
    </row>
    <row r="796" ht="15.75" customHeight="1">
      <c r="A796" s="39"/>
    </row>
    <row r="797" ht="15.75" customHeight="1">
      <c r="A797" s="39"/>
    </row>
    <row r="798" ht="15.75" customHeight="1">
      <c r="A798" s="39"/>
    </row>
    <row r="799" ht="15.75" customHeight="1">
      <c r="A799" s="39"/>
    </row>
    <row r="800" ht="15.75" customHeight="1">
      <c r="A800" s="39"/>
    </row>
    <row r="801" ht="15.75" customHeight="1">
      <c r="A801" s="39"/>
    </row>
    <row r="802" ht="15.75" customHeight="1">
      <c r="A802" s="39"/>
    </row>
    <row r="803" ht="15.75" customHeight="1">
      <c r="A803" s="39"/>
    </row>
    <row r="804" ht="15.75" customHeight="1">
      <c r="A804" s="39"/>
    </row>
    <row r="805" ht="15.75" customHeight="1">
      <c r="A805" s="39"/>
    </row>
    <row r="806" ht="15.75" customHeight="1">
      <c r="A806" s="39"/>
    </row>
    <row r="807" ht="15.75" customHeight="1">
      <c r="A807" s="39"/>
    </row>
    <row r="808" ht="15.75" customHeight="1">
      <c r="A808" s="39"/>
    </row>
    <row r="809" ht="15.75" customHeight="1">
      <c r="A809" s="39"/>
    </row>
    <row r="810" ht="15.75" customHeight="1">
      <c r="A810" s="39"/>
    </row>
    <row r="811" ht="15.75" customHeight="1">
      <c r="A811" s="39"/>
    </row>
    <row r="812" ht="15.75" customHeight="1">
      <c r="A812" s="39"/>
    </row>
    <row r="813" ht="15.75" customHeight="1">
      <c r="A813" s="39"/>
    </row>
    <row r="814" ht="15.75" customHeight="1">
      <c r="A814" s="39"/>
    </row>
    <row r="815" ht="15.75" customHeight="1">
      <c r="A815" s="39"/>
    </row>
    <row r="816" ht="15.75" customHeight="1">
      <c r="A816" s="39"/>
    </row>
    <row r="817" ht="15.75" customHeight="1">
      <c r="A817" s="39"/>
    </row>
    <row r="818" ht="15.75" customHeight="1">
      <c r="A818" s="39"/>
    </row>
    <row r="819" ht="15.75" customHeight="1">
      <c r="A819" s="39"/>
    </row>
    <row r="820" ht="15.75" customHeight="1">
      <c r="A820" s="39"/>
    </row>
    <row r="821" ht="15.75" customHeight="1">
      <c r="A821" s="39"/>
    </row>
    <row r="822" ht="15.75" customHeight="1">
      <c r="A822" s="39"/>
    </row>
    <row r="823" ht="15.75" customHeight="1">
      <c r="A823" s="39"/>
    </row>
    <row r="824" ht="15.75" customHeight="1">
      <c r="A824" s="39"/>
    </row>
    <row r="825" ht="15.75" customHeight="1">
      <c r="A825" s="39"/>
    </row>
    <row r="826" ht="15.75" customHeight="1">
      <c r="A826" s="39"/>
    </row>
    <row r="827" ht="15.75" customHeight="1">
      <c r="A827" s="39"/>
    </row>
    <row r="828" ht="15.75" customHeight="1">
      <c r="A828" s="39"/>
    </row>
    <row r="829" ht="15.75" customHeight="1">
      <c r="A829" s="39"/>
    </row>
    <row r="830" ht="15.75" customHeight="1">
      <c r="A830" s="39"/>
    </row>
    <row r="831" ht="15.75" customHeight="1">
      <c r="A831" s="39"/>
    </row>
    <row r="832" ht="15.75" customHeight="1">
      <c r="A832" s="39"/>
    </row>
    <row r="833" ht="15.75" customHeight="1">
      <c r="A833" s="39"/>
    </row>
    <row r="834" ht="15.75" customHeight="1">
      <c r="A834" s="39"/>
    </row>
    <row r="835" ht="15.75" customHeight="1">
      <c r="A835" s="39"/>
    </row>
    <row r="836" ht="15.75" customHeight="1">
      <c r="A836" s="39"/>
    </row>
    <row r="837" ht="15.75" customHeight="1">
      <c r="A837" s="39"/>
    </row>
    <row r="838" ht="15.75" customHeight="1">
      <c r="A838" s="39"/>
    </row>
    <row r="839" ht="15.75" customHeight="1">
      <c r="A839" s="39"/>
    </row>
    <row r="840" ht="15.75" customHeight="1">
      <c r="A840" s="39"/>
    </row>
    <row r="841" ht="15.75" customHeight="1">
      <c r="A841" s="39"/>
    </row>
    <row r="842" ht="15.75" customHeight="1">
      <c r="A842" s="39"/>
    </row>
    <row r="843" ht="15.75" customHeight="1">
      <c r="A843" s="39"/>
    </row>
    <row r="844" ht="15.75" customHeight="1">
      <c r="A844" s="39"/>
    </row>
    <row r="845" ht="15.75" customHeight="1">
      <c r="A845" s="39"/>
    </row>
    <row r="846" ht="15.75" customHeight="1">
      <c r="A846" s="39"/>
    </row>
    <row r="847" ht="15.75" customHeight="1">
      <c r="A847" s="39"/>
    </row>
    <row r="848" ht="15.75" customHeight="1">
      <c r="A848" s="39"/>
    </row>
    <row r="849" ht="15.75" customHeight="1">
      <c r="A849" s="39"/>
    </row>
    <row r="850" ht="15.75" customHeight="1">
      <c r="A850" s="39"/>
    </row>
    <row r="851" ht="15.75" customHeight="1">
      <c r="A851" s="39"/>
    </row>
    <row r="852" ht="15.75" customHeight="1">
      <c r="A852" s="39"/>
    </row>
    <row r="853" ht="15.75" customHeight="1">
      <c r="A853" s="39"/>
    </row>
    <row r="854" ht="15.75" customHeight="1">
      <c r="A854" s="39"/>
    </row>
    <row r="855" ht="15.75" customHeight="1">
      <c r="A855" s="39"/>
    </row>
    <row r="856" ht="15.75" customHeight="1">
      <c r="A856" s="39"/>
    </row>
    <row r="857" ht="15.75" customHeight="1">
      <c r="A857" s="39"/>
    </row>
    <row r="858" ht="15.75" customHeight="1">
      <c r="A858" s="39"/>
    </row>
    <row r="859" ht="15.75" customHeight="1">
      <c r="A859" s="39"/>
    </row>
    <row r="860" ht="15.75" customHeight="1">
      <c r="A860" s="39"/>
    </row>
    <row r="861" ht="15.75" customHeight="1">
      <c r="A861" s="39"/>
    </row>
    <row r="862" ht="15.75" customHeight="1">
      <c r="A862" s="39"/>
    </row>
    <row r="863" ht="15.75" customHeight="1">
      <c r="A863" s="39"/>
    </row>
    <row r="864" ht="15.75" customHeight="1">
      <c r="A864" s="39"/>
    </row>
    <row r="865" ht="15.75" customHeight="1">
      <c r="A865" s="39"/>
    </row>
    <row r="866" ht="15.75" customHeight="1">
      <c r="A866" s="39"/>
    </row>
    <row r="867" ht="15.75" customHeight="1">
      <c r="A867" s="39"/>
    </row>
    <row r="868" ht="15.75" customHeight="1">
      <c r="A868" s="39"/>
    </row>
    <row r="869" ht="15.75" customHeight="1">
      <c r="A869" s="39"/>
    </row>
    <row r="870" ht="15.75" customHeight="1">
      <c r="A870" s="39"/>
    </row>
    <row r="871" ht="15.75" customHeight="1">
      <c r="A871" s="39"/>
    </row>
    <row r="872" ht="15.75" customHeight="1">
      <c r="A872" s="39"/>
    </row>
    <row r="873" ht="15.75" customHeight="1">
      <c r="A873" s="39"/>
    </row>
    <row r="874" ht="15.75" customHeight="1">
      <c r="A874" s="39"/>
    </row>
    <row r="875" ht="15.75" customHeight="1">
      <c r="A875" s="39"/>
    </row>
    <row r="876" ht="15.75" customHeight="1">
      <c r="A876" s="39"/>
    </row>
    <row r="877" ht="15.75" customHeight="1">
      <c r="A877" s="39"/>
    </row>
    <row r="878" ht="15.75" customHeight="1">
      <c r="A878" s="39"/>
    </row>
    <row r="879" ht="15.75" customHeight="1">
      <c r="A879" s="39"/>
    </row>
    <row r="880" ht="15.75" customHeight="1">
      <c r="A880" s="39"/>
    </row>
    <row r="881" ht="15.75" customHeight="1">
      <c r="A881" s="39"/>
    </row>
    <row r="882" ht="15.75" customHeight="1">
      <c r="A882" s="39"/>
    </row>
    <row r="883" ht="15.75" customHeight="1">
      <c r="A883" s="39"/>
    </row>
    <row r="884" ht="15.75" customHeight="1">
      <c r="A884" s="39"/>
    </row>
    <row r="885" ht="15.75" customHeight="1">
      <c r="A885" s="39"/>
    </row>
    <row r="886" ht="15.75" customHeight="1">
      <c r="A886" s="39"/>
    </row>
    <row r="887" ht="15.75" customHeight="1">
      <c r="A887" s="39"/>
    </row>
    <row r="888" ht="15.75" customHeight="1">
      <c r="A888" s="39"/>
    </row>
    <row r="889" ht="15.75" customHeight="1">
      <c r="A889" s="39"/>
    </row>
    <row r="890" ht="15.75" customHeight="1">
      <c r="A890" s="39"/>
    </row>
    <row r="891" ht="15.75" customHeight="1">
      <c r="A891" s="39"/>
    </row>
    <row r="892" ht="15.75" customHeight="1">
      <c r="A892" s="39"/>
    </row>
    <row r="893" ht="15.75" customHeight="1">
      <c r="A893" s="39"/>
    </row>
    <row r="894" ht="15.75" customHeight="1">
      <c r="A894" s="39"/>
    </row>
    <row r="895" ht="15.75" customHeight="1">
      <c r="A895" s="39"/>
    </row>
    <row r="896" ht="15.75" customHeight="1">
      <c r="A896" s="39"/>
    </row>
    <row r="897" ht="15.75" customHeight="1">
      <c r="A897" s="39"/>
    </row>
    <row r="898" ht="15.75" customHeight="1">
      <c r="A898" s="39"/>
    </row>
    <row r="899" ht="15.75" customHeight="1">
      <c r="A899" s="39"/>
    </row>
    <row r="900" ht="15.75" customHeight="1">
      <c r="A900" s="39"/>
    </row>
    <row r="901" ht="15.75" customHeight="1">
      <c r="A901" s="39"/>
    </row>
    <row r="902" ht="15.75" customHeight="1">
      <c r="A902" s="39"/>
    </row>
    <row r="903" ht="15.75" customHeight="1">
      <c r="A903" s="39"/>
    </row>
    <row r="904" ht="15.75" customHeight="1">
      <c r="A904" s="39"/>
    </row>
    <row r="905" ht="15.75" customHeight="1">
      <c r="A905" s="39"/>
    </row>
    <row r="906" ht="15.75" customHeight="1">
      <c r="A906" s="39"/>
    </row>
    <row r="907" ht="15.75" customHeight="1">
      <c r="A907" s="39"/>
    </row>
    <row r="908" ht="15.75" customHeight="1">
      <c r="A908" s="39"/>
    </row>
    <row r="909" ht="15.75" customHeight="1">
      <c r="A909" s="39"/>
    </row>
    <row r="910" ht="15.75" customHeight="1">
      <c r="A910" s="39"/>
    </row>
    <row r="911" ht="15.75" customHeight="1">
      <c r="A911" s="39"/>
    </row>
    <row r="912" ht="15.75" customHeight="1">
      <c r="A912" s="39"/>
    </row>
    <row r="913" ht="15.75" customHeight="1">
      <c r="A913" s="39"/>
    </row>
    <row r="914" ht="15.75" customHeight="1">
      <c r="A914" s="39"/>
    </row>
    <row r="915" ht="15.75" customHeight="1">
      <c r="A915" s="39"/>
    </row>
    <row r="916" ht="15.75" customHeight="1">
      <c r="A916" s="39"/>
    </row>
    <row r="917" ht="15.75" customHeight="1">
      <c r="A917" s="39"/>
    </row>
    <row r="918" ht="15.75" customHeight="1">
      <c r="A918" s="39"/>
    </row>
    <row r="919" ht="15.75" customHeight="1">
      <c r="A919" s="39"/>
    </row>
    <row r="920" ht="15.75" customHeight="1">
      <c r="A920" s="39"/>
    </row>
    <row r="921" ht="15.75" customHeight="1">
      <c r="A921" s="39"/>
    </row>
    <row r="922" ht="15.75" customHeight="1">
      <c r="A922" s="39"/>
    </row>
    <row r="923" ht="15.75" customHeight="1">
      <c r="A923" s="39"/>
    </row>
    <row r="924" ht="15.75" customHeight="1">
      <c r="A924" s="39"/>
    </row>
    <row r="925" ht="15.75" customHeight="1">
      <c r="A925" s="39"/>
    </row>
    <row r="926" ht="15.75" customHeight="1">
      <c r="A926" s="39"/>
    </row>
    <row r="927" ht="15.75" customHeight="1">
      <c r="A927" s="39"/>
    </row>
    <row r="928" ht="15.75" customHeight="1">
      <c r="A928" s="39"/>
    </row>
    <row r="929" ht="15.75" customHeight="1">
      <c r="A929" s="39"/>
    </row>
    <row r="930" ht="15.75" customHeight="1">
      <c r="A930" s="39"/>
    </row>
    <row r="931" ht="15.75" customHeight="1">
      <c r="A931" s="39"/>
    </row>
    <row r="932" ht="15.75" customHeight="1">
      <c r="A932" s="39"/>
    </row>
    <row r="933" ht="15.75" customHeight="1">
      <c r="A933" s="39"/>
    </row>
    <row r="934" ht="15.75" customHeight="1">
      <c r="A934" s="39"/>
    </row>
    <row r="935" ht="15.75" customHeight="1">
      <c r="A935" s="39"/>
    </row>
    <row r="936" ht="15.75" customHeight="1">
      <c r="A936" s="39"/>
    </row>
    <row r="937" ht="15.75" customHeight="1">
      <c r="A937" s="39"/>
    </row>
    <row r="938" ht="15.75" customHeight="1">
      <c r="A938" s="39"/>
    </row>
    <row r="939" ht="15.75" customHeight="1">
      <c r="A939" s="39"/>
    </row>
    <row r="940" ht="15.75" customHeight="1">
      <c r="A940" s="39"/>
    </row>
    <row r="941" ht="15.75" customHeight="1">
      <c r="A941" s="39"/>
    </row>
    <row r="942" ht="15.75" customHeight="1">
      <c r="A942" s="39"/>
    </row>
    <row r="943" ht="15.75" customHeight="1">
      <c r="A943" s="39"/>
    </row>
    <row r="944" ht="15.75" customHeight="1">
      <c r="A944" s="39"/>
    </row>
    <row r="945" ht="15.75" customHeight="1">
      <c r="A945" s="39"/>
    </row>
    <row r="946" ht="15.75" customHeight="1">
      <c r="A946" s="39"/>
    </row>
    <row r="947" ht="15.75" customHeight="1">
      <c r="A947" s="39"/>
    </row>
    <row r="948" ht="15.75" customHeight="1">
      <c r="A948" s="39"/>
    </row>
    <row r="949" ht="15.75" customHeight="1">
      <c r="A949" s="39"/>
    </row>
    <row r="950" ht="15.75" customHeight="1">
      <c r="A950" s="39"/>
    </row>
    <row r="951" ht="15.75" customHeight="1">
      <c r="A951" s="39"/>
    </row>
    <row r="952" ht="15.75" customHeight="1">
      <c r="A952" s="39"/>
    </row>
    <row r="953" ht="15.75" customHeight="1">
      <c r="A953" s="39"/>
    </row>
    <row r="954" ht="15.75" customHeight="1">
      <c r="A954" s="39"/>
    </row>
    <row r="955" ht="15.75" customHeight="1">
      <c r="A955" s="39"/>
    </row>
    <row r="956" ht="15.75" customHeight="1">
      <c r="A956" s="39"/>
    </row>
    <row r="957" ht="15.75" customHeight="1">
      <c r="A957" s="39"/>
    </row>
    <row r="958" ht="15.75" customHeight="1">
      <c r="A958" s="39"/>
    </row>
    <row r="959" ht="15.75" customHeight="1">
      <c r="A959" s="39"/>
    </row>
    <row r="960" ht="15.75" customHeight="1">
      <c r="A960" s="39"/>
    </row>
    <row r="961" ht="15.75" customHeight="1">
      <c r="A961" s="39"/>
    </row>
    <row r="962" ht="15.75" customHeight="1">
      <c r="A962" s="39"/>
    </row>
    <row r="963" ht="15.75" customHeight="1">
      <c r="A963" s="39"/>
    </row>
    <row r="964" ht="15.75" customHeight="1">
      <c r="A964" s="39"/>
    </row>
    <row r="965" ht="15.75" customHeight="1">
      <c r="A965" s="39"/>
    </row>
    <row r="966" ht="15.75" customHeight="1">
      <c r="A966" s="39"/>
    </row>
    <row r="967" ht="15.75" customHeight="1">
      <c r="A967" s="39"/>
    </row>
    <row r="968" ht="15.75" customHeight="1">
      <c r="A968" s="39"/>
    </row>
    <row r="969" ht="15.75" customHeight="1">
      <c r="A969" s="39"/>
    </row>
    <row r="970" ht="15.75" customHeight="1">
      <c r="A970" s="39"/>
    </row>
    <row r="971" ht="15.75" customHeight="1">
      <c r="A971" s="39"/>
    </row>
    <row r="972" ht="15.75" customHeight="1">
      <c r="A972" s="39"/>
    </row>
    <row r="973" ht="15.75" customHeight="1">
      <c r="A973" s="39"/>
    </row>
    <row r="974" ht="15.75" customHeight="1">
      <c r="A974" s="39"/>
    </row>
    <row r="975" ht="15.75" customHeight="1">
      <c r="A975" s="39"/>
    </row>
    <row r="976" ht="15.75" customHeight="1">
      <c r="A976" s="39"/>
    </row>
    <row r="977" ht="15.75" customHeight="1">
      <c r="A977" s="39"/>
    </row>
    <row r="978" ht="15.75" customHeight="1">
      <c r="A978" s="39"/>
    </row>
    <row r="979" ht="15.75" customHeight="1">
      <c r="A979" s="39"/>
    </row>
    <row r="980" ht="15.75" customHeight="1">
      <c r="A980" s="39"/>
    </row>
    <row r="981" ht="15.75" customHeight="1">
      <c r="A981" s="39"/>
    </row>
    <row r="982" ht="15.75" customHeight="1">
      <c r="A982" s="39"/>
    </row>
    <row r="983" ht="15.75" customHeight="1">
      <c r="A983" s="39"/>
    </row>
    <row r="984" ht="15.75" customHeight="1">
      <c r="A984" s="39"/>
    </row>
    <row r="985" ht="15.75" customHeight="1">
      <c r="A985" s="39"/>
    </row>
    <row r="986" ht="15.75" customHeight="1">
      <c r="A986" s="39"/>
    </row>
    <row r="987" ht="15.75" customHeight="1">
      <c r="A987" s="39"/>
    </row>
    <row r="988" ht="15.75" customHeight="1">
      <c r="A988" s="39"/>
    </row>
    <row r="989" ht="15.75" customHeight="1">
      <c r="A989" s="39"/>
    </row>
    <row r="990" ht="15.75" customHeight="1">
      <c r="A990" s="39"/>
    </row>
    <row r="991" ht="15.75" customHeight="1">
      <c r="A991" s="39"/>
    </row>
    <row r="992" ht="15.75" customHeight="1">
      <c r="A992" s="39"/>
    </row>
    <row r="993" ht="15.75" customHeight="1">
      <c r="A993" s="39"/>
    </row>
    <row r="994" ht="15.75" customHeight="1">
      <c r="A994" s="39"/>
    </row>
    <row r="995" ht="15.75" customHeight="1">
      <c r="A995" s="39"/>
    </row>
    <row r="996" ht="15.75" customHeight="1">
      <c r="A996" s="39"/>
    </row>
    <row r="997" ht="15.75" customHeight="1">
      <c r="A997" s="39"/>
    </row>
    <row r="998" ht="15.75" customHeight="1">
      <c r="A998" s="39"/>
    </row>
    <row r="999" ht="15.75" customHeight="1">
      <c r="A999" s="39"/>
    </row>
    <row r="1000" ht="15.75" customHeight="1">
      <c r="A1000" s="39"/>
    </row>
  </sheetData>
  <mergeCells count="3">
    <mergeCell ref="E2:F2"/>
    <mergeCell ref="G2:I2"/>
    <mergeCell ref="J2:N2"/>
  </mergeCells>
  <printOptions/>
  <pageMargins bottom="0.75" footer="0.0" header="0.0" left="0.699305555555556" right="0.699305555555556"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9"/>
      <c r="B1" s="39"/>
      <c r="C1" s="39"/>
      <c r="D1" s="39"/>
      <c r="E1" s="79"/>
      <c r="F1" s="39"/>
      <c r="G1" s="79"/>
      <c r="H1" s="39"/>
      <c r="I1" s="80"/>
      <c r="J1" s="39"/>
      <c r="K1" s="39"/>
      <c r="L1" s="39"/>
      <c r="M1" s="39"/>
      <c r="N1" s="39"/>
      <c r="O1" s="39"/>
      <c r="P1" s="80"/>
    </row>
    <row r="2">
      <c r="A2" s="39"/>
      <c r="B2" s="81" t="s">
        <v>0</v>
      </c>
      <c r="C2" s="81" t="s">
        <v>1</v>
      </c>
      <c r="D2" s="81" t="s">
        <v>2</v>
      </c>
      <c r="E2" s="82" t="s">
        <v>3</v>
      </c>
      <c r="G2" s="82" t="s">
        <v>4</v>
      </c>
      <c r="I2" s="8"/>
      <c r="J2" s="83" t="s">
        <v>5</v>
      </c>
      <c r="P2" s="80"/>
    </row>
    <row r="3">
      <c r="A3" s="84" t="s">
        <v>6</v>
      </c>
      <c r="B3" s="85"/>
      <c r="C3" s="85"/>
      <c r="D3" s="85"/>
      <c r="E3" s="86" t="s">
        <v>7</v>
      </c>
      <c r="F3" s="85" t="s">
        <v>8</v>
      </c>
      <c r="G3" s="86" t="s">
        <v>7</v>
      </c>
      <c r="H3" s="85" t="s">
        <v>8</v>
      </c>
      <c r="I3" s="87" t="s">
        <v>9</v>
      </c>
      <c r="J3" s="85" t="s">
        <v>10</v>
      </c>
      <c r="K3" s="85" t="s">
        <v>11</v>
      </c>
      <c r="L3" s="85" t="s">
        <v>12</v>
      </c>
      <c r="M3" s="85" t="s">
        <v>13</v>
      </c>
      <c r="N3" s="85" t="s">
        <v>14</v>
      </c>
      <c r="O3" s="85" t="s">
        <v>15</v>
      </c>
      <c r="P3" s="88" t="s">
        <v>16</v>
      </c>
    </row>
    <row r="4">
      <c r="A4" s="54">
        <v>2.0</v>
      </c>
      <c r="B4" s="89" t="s">
        <v>17</v>
      </c>
      <c r="C4" s="89" t="s">
        <v>662</v>
      </c>
      <c r="D4" s="54">
        <v>0.985</v>
      </c>
      <c r="E4" s="90" t="s">
        <v>20</v>
      </c>
      <c r="F4" s="89" t="s">
        <v>21</v>
      </c>
      <c r="G4" s="79"/>
      <c r="H4" s="39" t="s">
        <v>22</v>
      </c>
      <c r="I4" s="80"/>
      <c r="J4" s="39"/>
      <c r="K4" s="39" t="s">
        <v>22</v>
      </c>
      <c r="L4" s="39"/>
      <c r="M4" s="39"/>
      <c r="N4" s="39"/>
      <c r="O4" s="39"/>
      <c r="P4" s="80"/>
    </row>
    <row r="5">
      <c r="A5" s="54">
        <v>3.0</v>
      </c>
      <c r="B5" s="89" t="s">
        <v>23</v>
      </c>
      <c r="C5" s="89" t="s">
        <v>663</v>
      </c>
      <c r="D5" s="54">
        <v>0.004</v>
      </c>
      <c r="E5" s="90" t="s">
        <v>20</v>
      </c>
      <c r="F5" s="89" t="s">
        <v>26</v>
      </c>
      <c r="G5" s="79"/>
      <c r="H5" s="39" t="s">
        <v>22</v>
      </c>
      <c r="I5" s="80"/>
      <c r="J5" s="39"/>
      <c r="K5" s="39"/>
      <c r="L5" s="39"/>
      <c r="M5" s="39"/>
      <c r="N5" s="39"/>
      <c r="O5" s="39"/>
      <c r="P5" s="80" t="s">
        <v>852</v>
      </c>
    </row>
    <row r="6">
      <c r="A6" s="54">
        <v>4.0</v>
      </c>
      <c r="B6" s="89" t="s">
        <v>28</v>
      </c>
      <c r="C6" s="89" t="s">
        <v>664</v>
      </c>
      <c r="D6" s="54">
        <v>0.972</v>
      </c>
      <c r="E6" s="90" t="s">
        <v>31</v>
      </c>
      <c r="F6" s="89" t="s">
        <v>21</v>
      </c>
      <c r="G6" s="79"/>
      <c r="H6" s="39" t="s">
        <v>22</v>
      </c>
      <c r="I6" s="80"/>
      <c r="J6" s="39"/>
      <c r="K6" s="39"/>
      <c r="L6" s="39"/>
      <c r="M6" s="39"/>
      <c r="N6" s="39"/>
      <c r="O6" s="39" t="s">
        <v>22</v>
      </c>
      <c r="P6" s="80"/>
    </row>
    <row r="7">
      <c r="A7" s="54">
        <v>5.0</v>
      </c>
      <c r="B7" s="89" t="s">
        <v>32</v>
      </c>
      <c r="C7" s="89" t="s">
        <v>665</v>
      </c>
      <c r="D7" s="54">
        <v>0.55</v>
      </c>
      <c r="E7" s="90" t="s">
        <v>20</v>
      </c>
      <c r="F7" s="89" t="s">
        <v>21</v>
      </c>
      <c r="G7" s="79" t="s">
        <v>22</v>
      </c>
      <c r="H7" s="39"/>
      <c r="I7" s="80"/>
      <c r="J7" s="39"/>
      <c r="K7" s="39" t="s">
        <v>22</v>
      </c>
      <c r="L7" s="39"/>
      <c r="M7" s="39"/>
      <c r="N7" s="39"/>
      <c r="O7" s="39"/>
      <c r="P7" s="80"/>
    </row>
    <row r="8">
      <c r="A8" s="54">
        <v>6.0</v>
      </c>
      <c r="B8" s="89" t="s">
        <v>36</v>
      </c>
      <c r="C8" s="89" t="s">
        <v>666</v>
      </c>
      <c r="D8" s="54">
        <v>0.913</v>
      </c>
      <c r="E8" s="90" t="s">
        <v>20</v>
      </c>
      <c r="F8" s="89" t="s">
        <v>21</v>
      </c>
      <c r="G8" s="79"/>
      <c r="H8" s="39"/>
      <c r="I8" s="80" t="s">
        <v>22</v>
      </c>
      <c r="J8" s="39"/>
      <c r="K8" s="39" t="s">
        <v>22</v>
      </c>
      <c r="L8" s="39"/>
      <c r="M8" s="39"/>
      <c r="N8" s="39"/>
      <c r="O8" s="39"/>
      <c r="P8" s="80"/>
    </row>
    <row r="9">
      <c r="A9" s="54">
        <v>7.0</v>
      </c>
      <c r="B9" s="89" t="s">
        <v>40</v>
      </c>
      <c r="C9" s="89" t="s">
        <v>668</v>
      </c>
      <c r="D9" s="54">
        <v>0.047</v>
      </c>
      <c r="E9" s="90" t="s">
        <v>21</v>
      </c>
      <c r="F9" s="89" t="s">
        <v>20</v>
      </c>
      <c r="G9" s="79" t="s">
        <v>22</v>
      </c>
      <c r="H9" s="39"/>
      <c r="I9" s="80"/>
      <c r="J9" s="39"/>
      <c r="K9" s="39" t="s">
        <v>22</v>
      </c>
      <c r="L9" s="39"/>
      <c r="M9" s="39"/>
      <c r="N9" s="39"/>
      <c r="O9" s="39"/>
      <c r="P9" s="80"/>
    </row>
    <row r="10">
      <c r="A10" s="54">
        <v>8.0</v>
      </c>
      <c r="B10" s="89" t="s">
        <v>43</v>
      </c>
      <c r="C10" s="89" t="s">
        <v>669</v>
      </c>
      <c r="D10" s="54">
        <v>0.033</v>
      </c>
      <c r="E10" s="90" t="s">
        <v>21</v>
      </c>
      <c r="F10" s="89" t="s">
        <v>20</v>
      </c>
      <c r="G10" s="79" t="s">
        <v>22</v>
      </c>
      <c r="H10" s="39"/>
      <c r="I10" s="80"/>
      <c r="J10" s="39"/>
      <c r="K10" s="39" t="s">
        <v>22</v>
      </c>
      <c r="L10" s="39"/>
      <c r="M10" s="39"/>
      <c r="N10" s="39"/>
      <c r="O10" s="39"/>
      <c r="P10" s="80"/>
    </row>
    <row r="11">
      <c r="A11" s="54">
        <v>9.0</v>
      </c>
      <c r="B11" s="89" t="s">
        <v>46</v>
      </c>
      <c r="C11" s="89" t="s">
        <v>670</v>
      </c>
      <c r="D11" s="54">
        <v>0.771</v>
      </c>
      <c r="E11" s="90" t="s">
        <v>31</v>
      </c>
      <c r="F11" s="89" t="s">
        <v>21</v>
      </c>
      <c r="G11" s="79"/>
      <c r="H11" s="39" t="s">
        <v>22</v>
      </c>
      <c r="I11" s="80"/>
      <c r="J11" s="39"/>
      <c r="K11" s="39"/>
      <c r="L11" s="39"/>
      <c r="M11" s="39"/>
      <c r="N11" s="39"/>
      <c r="O11" s="39" t="s">
        <v>22</v>
      </c>
      <c r="P11" s="80"/>
    </row>
    <row r="12">
      <c r="A12" s="54">
        <v>10.0</v>
      </c>
      <c r="B12" s="89" t="s">
        <v>49</v>
      </c>
      <c r="C12" s="89" t="s">
        <v>671</v>
      </c>
      <c r="D12" s="54">
        <v>0.049</v>
      </c>
      <c r="E12" s="90" t="s">
        <v>21</v>
      </c>
      <c r="F12" s="89" t="s">
        <v>20</v>
      </c>
      <c r="G12" s="79" t="s">
        <v>22</v>
      </c>
      <c r="H12" s="39"/>
      <c r="I12" s="80"/>
      <c r="J12" s="39"/>
      <c r="K12" s="39" t="s">
        <v>22</v>
      </c>
      <c r="L12" s="39"/>
      <c r="M12" s="39"/>
      <c r="N12" s="39"/>
      <c r="O12" s="39"/>
      <c r="P12" s="80"/>
    </row>
    <row r="13">
      <c r="A13" s="54">
        <v>11.0</v>
      </c>
      <c r="B13" s="89" t="s">
        <v>52</v>
      </c>
      <c r="C13" s="89" t="s">
        <v>672</v>
      </c>
      <c r="D13" s="54">
        <v>0.967</v>
      </c>
      <c r="E13" s="90" t="s">
        <v>20</v>
      </c>
      <c r="F13" s="89" t="s">
        <v>21</v>
      </c>
      <c r="G13" s="79"/>
      <c r="H13" s="39" t="s">
        <v>22</v>
      </c>
      <c r="I13" s="80"/>
      <c r="J13" s="39"/>
      <c r="K13" s="39"/>
      <c r="L13" s="39"/>
      <c r="M13" s="39"/>
      <c r="N13" s="39" t="s">
        <v>22</v>
      </c>
      <c r="O13" s="39"/>
      <c r="P13" s="80"/>
    </row>
    <row r="14">
      <c r="A14" s="54">
        <v>12.0</v>
      </c>
      <c r="B14" s="89" t="s">
        <v>55</v>
      </c>
      <c r="C14" s="89" t="s">
        <v>673</v>
      </c>
      <c r="D14" s="54">
        <v>0.973</v>
      </c>
      <c r="E14" s="90" t="s">
        <v>31</v>
      </c>
      <c r="F14" s="89" t="s">
        <v>21</v>
      </c>
      <c r="G14" s="79"/>
      <c r="H14" s="39" t="s">
        <v>22</v>
      </c>
      <c r="I14" s="80"/>
      <c r="J14" s="39"/>
      <c r="K14" s="39"/>
      <c r="L14" s="39"/>
      <c r="M14" s="39"/>
      <c r="N14" s="39"/>
      <c r="O14" s="39" t="s">
        <v>22</v>
      </c>
      <c r="P14" s="80"/>
    </row>
    <row r="15">
      <c r="A15" s="54">
        <v>13.0</v>
      </c>
      <c r="B15" s="89" t="s">
        <v>58</v>
      </c>
      <c r="C15" s="89" t="s">
        <v>674</v>
      </c>
      <c r="D15" s="54">
        <v>0.722</v>
      </c>
      <c r="E15" s="90" t="s">
        <v>20</v>
      </c>
      <c r="F15" s="89" t="s">
        <v>21</v>
      </c>
      <c r="G15" s="79"/>
      <c r="H15" s="39"/>
      <c r="I15" s="80" t="s">
        <v>22</v>
      </c>
      <c r="J15" s="39"/>
      <c r="K15" s="39"/>
      <c r="L15" s="39" t="s">
        <v>22</v>
      </c>
      <c r="M15" s="39"/>
      <c r="N15" s="39"/>
      <c r="O15" s="39"/>
      <c r="P15" s="80"/>
    </row>
    <row r="16">
      <c r="A16" s="54">
        <v>14.0</v>
      </c>
      <c r="B16" s="89" t="s">
        <v>62</v>
      </c>
      <c r="C16" s="89" t="s">
        <v>676</v>
      </c>
      <c r="D16" s="54">
        <v>0.003</v>
      </c>
      <c r="E16" s="90" t="s">
        <v>20</v>
      </c>
      <c r="F16" s="89" t="s">
        <v>26</v>
      </c>
      <c r="G16" s="79"/>
      <c r="H16" s="39" t="s">
        <v>22</v>
      </c>
      <c r="I16" s="80"/>
      <c r="J16" s="39"/>
      <c r="K16" s="39"/>
      <c r="L16" s="39"/>
      <c r="M16" s="39" t="s">
        <v>22</v>
      </c>
      <c r="N16" s="39"/>
      <c r="O16" s="39"/>
      <c r="P16" s="80"/>
    </row>
    <row r="17">
      <c r="A17" s="54">
        <v>15.0</v>
      </c>
      <c r="B17" s="89" t="s">
        <v>66</v>
      </c>
      <c r="C17" s="89" t="s">
        <v>677</v>
      </c>
      <c r="D17" s="54">
        <v>0.047</v>
      </c>
      <c r="E17" s="90" t="s">
        <v>21</v>
      </c>
      <c r="F17" s="89" t="s">
        <v>20</v>
      </c>
      <c r="G17" s="79" t="s">
        <v>22</v>
      </c>
      <c r="H17" s="39"/>
      <c r="I17" s="80"/>
      <c r="J17" s="39"/>
      <c r="K17" s="39" t="s">
        <v>22</v>
      </c>
      <c r="L17" s="39"/>
      <c r="M17" s="39"/>
      <c r="N17" s="39"/>
      <c r="O17" s="39"/>
      <c r="P17" s="80"/>
    </row>
    <row r="18">
      <c r="A18" s="54">
        <v>16.0</v>
      </c>
      <c r="B18" s="89" t="s">
        <v>68</v>
      </c>
      <c r="C18" s="89" t="s">
        <v>678</v>
      </c>
      <c r="D18" s="54">
        <v>0.742</v>
      </c>
      <c r="E18" s="90" t="s">
        <v>20</v>
      </c>
      <c r="F18" s="89" t="s">
        <v>21</v>
      </c>
      <c r="G18" s="79"/>
      <c r="H18" s="39" t="s">
        <v>22</v>
      </c>
      <c r="I18" s="80"/>
      <c r="J18" s="39"/>
      <c r="K18" s="39"/>
      <c r="L18" s="39"/>
      <c r="M18" s="39"/>
      <c r="N18" s="39" t="s">
        <v>22</v>
      </c>
      <c r="O18" s="39"/>
      <c r="P18" s="80"/>
    </row>
    <row r="19">
      <c r="A19" s="54">
        <v>17.0</v>
      </c>
      <c r="B19" s="89" t="s">
        <v>72</v>
      </c>
      <c r="C19" s="89" t="s">
        <v>679</v>
      </c>
      <c r="D19" s="54">
        <v>0.682</v>
      </c>
      <c r="E19" s="90" t="s">
        <v>20</v>
      </c>
      <c r="F19" s="89" t="s">
        <v>21</v>
      </c>
      <c r="G19" s="79"/>
      <c r="H19" s="39" t="s">
        <v>22</v>
      </c>
      <c r="I19" s="80"/>
      <c r="J19" s="39"/>
      <c r="K19" s="39"/>
      <c r="L19" s="39"/>
      <c r="M19" s="39"/>
      <c r="N19" s="39" t="s">
        <v>22</v>
      </c>
      <c r="O19" s="39"/>
      <c r="P19" s="80"/>
    </row>
    <row r="20">
      <c r="A20" s="54">
        <v>18.0</v>
      </c>
      <c r="B20" s="89" t="s">
        <v>75</v>
      </c>
      <c r="C20" s="89" t="s">
        <v>680</v>
      </c>
      <c r="D20" s="54">
        <v>0.022</v>
      </c>
      <c r="E20" s="90" t="s">
        <v>21</v>
      </c>
      <c r="F20" s="89" t="s">
        <v>20</v>
      </c>
      <c r="G20" s="79" t="s">
        <v>22</v>
      </c>
      <c r="H20" s="39"/>
      <c r="I20" s="80"/>
      <c r="J20" s="39"/>
      <c r="K20" s="39" t="s">
        <v>22</v>
      </c>
      <c r="L20" s="39"/>
      <c r="M20" s="39"/>
      <c r="N20" s="39"/>
      <c r="O20" s="39"/>
      <c r="P20" s="80"/>
    </row>
    <row r="21">
      <c r="A21" s="54">
        <v>19.0</v>
      </c>
      <c r="B21" s="89" t="s">
        <v>78</v>
      </c>
      <c r="C21" s="89" t="s">
        <v>681</v>
      </c>
      <c r="D21" s="54">
        <v>0.977</v>
      </c>
      <c r="E21" s="90" t="s">
        <v>20</v>
      </c>
      <c r="F21" s="89" t="s">
        <v>21</v>
      </c>
      <c r="G21" s="79"/>
      <c r="H21" s="39" t="s">
        <v>22</v>
      </c>
      <c r="I21" s="80"/>
      <c r="J21" s="39"/>
      <c r="K21" s="39"/>
      <c r="L21" s="39" t="s">
        <v>22</v>
      </c>
      <c r="M21" s="39"/>
      <c r="N21" s="39"/>
      <c r="O21" s="39"/>
      <c r="P21" s="80"/>
    </row>
    <row r="22">
      <c r="A22" s="54">
        <v>20.0</v>
      </c>
      <c r="B22" s="89" t="s">
        <v>81</v>
      </c>
      <c r="C22" s="89" t="s">
        <v>673</v>
      </c>
      <c r="D22" s="54">
        <v>0.977</v>
      </c>
      <c r="E22" s="90" t="s">
        <v>31</v>
      </c>
      <c r="F22" s="89" t="s">
        <v>21</v>
      </c>
      <c r="G22" s="79"/>
      <c r="H22" s="39" t="s">
        <v>22</v>
      </c>
      <c r="I22" s="80"/>
      <c r="J22" s="39"/>
      <c r="K22" s="39"/>
      <c r="L22" s="39"/>
      <c r="M22" s="39"/>
      <c r="N22" s="39"/>
      <c r="O22" s="39" t="s">
        <v>22</v>
      </c>
      <c r="P22" s="80"/>
    </row>
    <row r="23">
      <c r="A23" s="54">
        <v>21.0</v>
      </c>
      <c r="B23" s="89" t="s">
        <v>83</v>
      </c>
      <c r="C23" s="89" t="s">
        <v>682</v>
      </c>
      <c r="D23" s="54">
        <v>0.984</v>
      </c>
      <c r="E23" s="90" t="s">
        <v>20</v>
      </c>
      <c r="F23" s="89" t="s">
        <v>21</v>
      </c>
      <c r="G23" s="79"/>
      <c r="H23" s="39" t="s">
        <v>22</v>
      </c>
      <c r="I23" s="80"/>
      <c r="J23" s="39"/>
      <c r="K23" s="39"/>
      <c r="L23" s="39"/>
      <c r="M23" s="39"/>
      <c r="N23" s="39" t="s">
        <v>22</v>
      </c>
      <c r="O23" s="39"/>
      <c r="P23" s="80"/>
    </row>
    <row r="24">
      <c r="A24" s="54">
        <v>22.0</v>
      </c>
      <c r="B24" s="89" t="s">
        <v>86</v>
      </c>
      <c r="C24" s="89" t="s">
        <v>683</v>
      </c>
      <c r="D24" s="54">
        <v>0.005</v>
      </c>
      <c r="E24" s="90" t="s">
        <v>21</v>
      </c>
      <c r="F24" s="89" t="s">
        <v>31</v>
      </c>
      <c r="G24" s="79"/>
      <c r="H24" s="39"/>
      <c r="I24" s="80" t="s">
        <v>22</v>
      </c>
      <c r="J24" s="39"/>
      <c r="K24" s="39"/>
      <c r="L24" s="39"/>
      <c r="M24" s="39"/>
      <c r="N24" s="39"/>
      <c r="O24" s="39"/>
      <c r="P24" s="80" t="s">
        <v>853</v>
      </c>
    </row>
    <row r="25">
      <c r="A25" s="54">
        <v>23.0</v>
      </c>
      <c r="B25" s="89" t="s">
        <v>90</v>
      </c>
      <c r="C25" s="89" t="s">
        <v>685</v>
      </c>
      <c r="D25" s="54">
        <v>0.949</v>
      </c>
      <c r="E25" s="90" t="s">
        <v>31</v>
      </c>
      <c r="F25" s="89" t="s">
        <v>21</v>
      </c>
      <c r="G25" s="79"/>
      <c r="H25" s="39" t="s">
        <v>22</v>
      </c>
      <c r="I25" s="80"/>
      <c r="J25" s="39"/>
      <c r="K25" s="39"/>
      <c r="L25" s="39" t="s">
        <v>22</v>
      </c>
      <c r="M25" s="39"/>
      <c r="N25" s="39"/>
      <c r="O25" s="39"/>
      <c r="P25" s="80"/>
    </row>
    <row r="26">
      <c r="A26" s="54">
        <v>24.0</v>
      </c>
      <c r="B26" s="89" t="s">
        <v>93</v>
      </c>
      <c r="C26" s="89" t="s">
        <v>686</v>
      </c>
      <c r="D26" s="54">
        <v>0.002</v>
      </c>
      <c r="E26" s="90" t="s">
        <v>21</v>
      </c>
      <c r="F26" s="89" t="s">
        <v>20</v>
      </c>
      <c r="G26" s="79"/>
      <c r="H26" s="39" t="s">
        <v>22</v>
      </c>
      <c r="I26" s="80"/>
      <c r="J26" s="39" t="s">
        <v>22</v>
      </c>
      <c r="K26" s="39"/>
      <c r="L26" s="39"/>
      <c r="M26" s="39"/>
      <c r="N26" s="39"/>
      <c r="O26" s="39"/>
      <c r="P26" s="80"/>
    </row>
    <row r="27">
      <c r="A27" s="54">
        <v>25.0</v>
      </c>
      <c r="B27" s="89" t="s">
        <v>97</v>
      </c>
      <c r="C27" s="89" t="s">
        <v>688</v>
      </c>
      <c r="D27" s="54">
        <v>0.887</v>
      </c>
      <c r="E27" s="90" t="s">
        <v>20</v>
      </c>
      <c r="F27" s="89" t="s">
        <v>21</v>
      </c>
      <c r="G27" s="79"/>
      <c r="H27" s="39"/>
      <c r="I27" s="80" t="s">
        <v>22</v>
      </c>
      <c r="J27" s="39"/>
      <c r="K27" s="39" t="s">
        <v>22</v>
      </c>
      <c r="L27" s="39"/>
      <c r="M27" s="39"/>
      <c r="N27" s="39"/>
      <c r="O27" s="39"/>
      <c r="P27" s="80"/>
    </row>
    <row r="28">
      <c r="A28" s="54">
        <v>27.0</v>
      </c>
      <c r="B28" s="89" t="s">
        <v>101</v>
      </c>
      <c r="C28" s="89" t="s">
        <v>690</v>
      </c>
      <c r="D28" s="54">
        <v>0.717</v>
      </c>
      <c r="E28" s="90" t="s">
        <v>20</v>
      </c>
      <c r="F28" s="89" t="s">
        <v>21</v>
      </c>
      <c r="G28" s="79"/>
      <c r="H28" s="39" t="s">
        <v>22</v>
      </c>
      <c r="I28" s="80"/>
      <c r="J28" s="39"/>
      <c r="K28" s="39" t="s">
        <v>22</v>
      </c>
      <c r="L28" s="39"/>
      <c r="M28" s="39"/>
      <c r="N28" s="39"/>
      <c r="O28" s="39"/>
      <c r="P28" s="80"/>
    </row>
    <row r="29">
      <c r="A29" s="54">
        <v>28.0</v>
      </c>
      <c r="B29" s="89" t="s">
        <v>105</v>
      </c>
      <c r="C29" s="89" t="s">
        <v>692</v>
      </c>
      <c r="D29" s="54">
        <v>0.976</v>
      </c>
      <c r="E29" s="90" t="s">
        <v>31</v>
      </c>
      <c r="F29" s="89" t="s">
        <v>21</v>
      </c>
      <c r="G29" s="79"/>
      <c r="H29" s="39" t="s">
        <v>22</v>
      </c>
      <c r="I29" s="80"/>
      <c r="J29" s="39"/>
      <c r="K29" s="39"/>
      <c r="L29" s="39"/>
      <c r="M29" s="39"/>
      <c r="N29" s="39"/>
      <c r="O29" s="39" t="s">
        <v>22</v>
      </c>
      <c r="P29" s="80"/>
    </row>
    <row r="30">
      <c r="A30" s="54">
        <v>29.0</v>
      </c>
      <c r="B30" s="89" t="s">
        <v>108</v>
      </c>
      <c r="C30" s="89" t="s">
        <v>693</v>
      </c>
      <c r="D30" s="54">
        <v>0.006</v>
      </c>
      <c r="E30" s="90" t="s">
        <v>20</v>
      </c>
      <c r="F30" s="89" t="s">
        <v>26</v>
      </c>
      <c r="G30" s="79"/>
      <c r="H30" s="39"/>
      <c r="I30" s="80" t="s">
        <v>22</v>
      </c>
      <c r="J30" s="39"/>
      <c r="K30" s="39"/>
      <c r="L30" s="39"/>
      <c r="M30" s="39"/>
      <c r="N30" s="39"/>
      <c r="O30" s="39"/>
      <c r="P30" s="80" t="s">
        <v>854</v>
      </c>
    </row>
    <row r="31">
      <c r="A31" s="54">
        <v>30.0</v>
      </c>
      <c r="B31" s="89" t="s">
        <v>112</v>
      </c>
      <c r="C31" s="89" t="s">
        <v>694</v>
      </c>
      <c r="D31" s="54">
        <v>0.122</v>
      </c>
      <c r="E31" s="90" t="s">
        <v>21</v>
      </c>
      <c r="F31" s="89" t="s">
        <v>20</v>
      </c>
      <c r="G31" s="79" t="s">
        <v>22</v>
      </c>
      <c r="H31" s="39"/>
      <c r="I31" s="80"/>
      <c r="J31" s="39"/>
      <c r="K31" s="39" t="s">
        <v>22</v>
      </c>
      <c r="L31" s="39"/>
      <c r="M31" s="39"/>
      <c r="N31" s="39"/>
      <c r="O31" s="39"/>
      <c r="P31" s="80"/>
    </row>
    <row r="32">
      <c r="A32" s="54">
        <v>31.0</v>
      </c>
      <c r="B32" s="89" t="s">
        <v>115</v>
      </c>
      <c r="C32" s="89" t="s">
        <v>695</v>
      </c>
      <c r="D32" s="54">
        <v>0.971</v>
      </c>
      <c r="E32" s="90" t="s">
        <v>31</v>
      </c>
      <c r="F32" s="89" t="s">
        <v>21</v>
      </c>
      <c r="G32" s="79"/>
      <c r="H32" s="39" t="s">
        <v>22</v>
      </c>
      <c r="I32" s="80"/>
      <c r="J32" s="39"/>
      <c r="K32" s="39"/>
      <c r="L32" s="39"/>
      <c r="M32" s="39"/>
      <c r="N32" s="39"/>
      <c r="O32" s="39" t="s">
        <v>22</v>
      </c>
      <c r="P32" s="80"/>
    </row>
    <row r="33">
      <c r="A33" s="54">
        <v>33.0</v>
      </c>
      <c r="B33" s="89" t="s">
        <v>118</v>
      </c>
      <c r="C33" s="89" t="s">
        <v>696</v>
      </c>
      <c r="D33" s="54">
        <v>0.03</v>
      </c>
      <c r="E33" s="90" t="s">
        <v>21</v>
      </c>
      <c r="F33" s="89" t="s">
        <v>20</v>
      </c>
      <c r="G33" s="79" t="s">
        <v>22</v>
      </c>
      <c r="H33" s="39"/>
      <c r="I33" s="80"/>
      <c r="J33" s="39"/>
      <c r="K33" s="39" t="s">
        <v>22</v>
      </c>
      <c r="L33" s="39"/>
      <c r="M33" s="39"/>
      <c r="N33" s="39"/>
      <c r="O33" s="39"/>
      <c r="P33" s="80"/>
    </row>
    <row r="34">
      <c r="A34" s="54">
        <v>34.0</v>
      </c>
      <c r="B34" s="89" t="s">
        <v>121</v>
      </c>
      <c r="C34" s="89" t="s">
        <v>697</v>
      </c>
      <c r="D34" s="54">
        <v>0.854</v>
      </c>
      <c r="E34" s="90" t="s">
        <v>20</v>
      </c>
      <c r="F34" s="89" t="s">
        <v>21</v>
      </c>
      <c r="G34" s="79"/>
      <c r="H34" s="39" t="s">
        <v>22</v>
      </c>
      <c r="I34" s="80"/>
      <c r="J34" s="39"/>
      <c r="K34" s="39" t="s">
        <v>22</v>
      </c>
      <c r="L34" s="39"/>
      <c r="M34" s="39"/>
      <c r="N34" s="39"/>
      <c r="O34" s="39"/>
      <c r="P34" s="80"/>
    </row>
    <row r="35">
      <c r="A35" s="54">
        <v>36.0</v>
      </c>
      <c r="B35" s="89" t="s">
        <v>125</v>
      </c>
      <c r="C35" s="89" t="s">
        <v>699</v>
      </c>
      <c r="D35" s="54">
        <v>0.137</v>
      </c>
      <c r="E35" s="90" t="s">
        <v>21</v>
      </c>
      <c r="F35" s="89" t="s">
        <v>20</v>
      </c>
      <c r="G35" s="79" t="s">
        <v>22</v>
      </c>
      <c r="H35" s="39"/>
      <c r="I35" s="80"/>
      <c r="J35" s="39"/>
      <c r="K35" s="39" t="s">
        <v>22</v>
      </c>
      <c r="L35" s="39"/>
      <c r="M35" s="39"/>
      <c r="N35" s="39"/>
      <c r="O35" s="39"/>
      <c r="P35" s="80"/>
    </row>
    <row r="36">
      <c r="A36" s="54">
        <v>37.0</v>
      </c>
      <c r="B36" s="89" t="s">
        <v>128</v>
      </c>
      <c r="C36" s="89" t="s">
        <v>700</v>
      </c>
      <c r="D36" s="54">
        <v>0.003</v>
      </c>
      <c r="E36" s="90" t="s">
        <v>21</v>
      </c>
      <c r="F36" s="89" t="s">
        <v>20</v>
      </c>
      <c r="G36" s="79" t="s">
        <v>22</v>
      </c>
      <c r="H36" s="39"/>
      <c r="I36" s="80"/>
      <c r="J36" s="39"/>
      <c r="K36" s="39" t="s">
        <v>22</v>
      </c>
      <c r="L36" s="39"/>
      <c r="M36" s="39"/>
      <c r="N36" s="39"/>
      <c r="O36" s="39"/>
      <c r="P36" s="80"/>
    </row>
    <row r="37">
      <c r="A37" s="54">
        <v>38.0</v>
      </c>
      <c r="B37" s="89" t="s">
        <v>130</v>
      </c>
      <c r="C37" s="89" t="s">
        <v>701</v>
      </c>
      <c r="D37" s="54">
        <v>0.121</v>
      </c>
      <c r="E37" s="90" t="s">
        <v>21</v>
      </c>
      <c r="F37" s="89" t="s">
        <v>20</v>
      </c>
      <c r="G37" s="79" t="s">
        <v>22</v>
      </c>
      <c r="H37" s="39"/>
      <c r="I37" s="80"/>
      <c r="J37" s="39"/>
      <c r="K37" s="39" t="s">
        <v>22</v>
      </c>
      <c r="L37" s="39"/>
      <c r="M37" s="39"/>
      <c r="N37" s="39"/>
      <c r="O37" s="39"/>
      <c r="P37" s="80"/>
    </row>
    <row r="38">
      <c r="A38" s="54">
        <v>40.0</v>
      </c>
      <c r="B38" s="89" t="s">
        <v>133</v>
      </c>
      <c r="C38" s="89" t="s">
        <v>688</v>
      </c>
      <c r="D38" s="54">
        <v>0.955</v>
      </c>
      <c r="E38" s="90" t="s">
        <v>31</v>
      </c>
      <c r="F38" s="89" t="s">
        <v>21</v>
      </c>
      <c r="G38" s="79"/>
      <c r="H38" s="39" t="s">
        <v>22</v>
      </c>
      <c r="I38" s="80"/>
      <c r="J38" s="39"/>
      <c r="K38" s="39"/>
      <c r="L38" s="39"/>
      <c r="M38" s="39"/>
      <c r="N38" s="39"/>
      <c r="O38" s="39" t="s">
        <v>22</v>
      </c>
      <c r="P38" s="80"/>
    </row>
    <row r="39">
      <c r="A39" s="54">
        <v>41.0</v>
      </c>
      <c r="B39" s="89" t="s">
        <v>135</v>
      </c>
      <c r="C39" s="89" t="s">
        <v>702</v>
      </c>
      <c r="D39" s="54">
        <v>0.061</v>
      </c>
      <c r="E39" s="90" t="s">
        <v>21</v>
      </c>
      <c r="F39" s="89" t="s">
        <v>31</v>
      </c>
      <c r="G39" s="79"/>
      <c r="H39" s="39"/>
      <c r="I39" s="80" t="s">
        <v>22</v>
      </c>
      <c r="J39" s="39"/>
      <c r="K39" s="39"/>
      <c r="L39" s="39" t="s">
        <v>22</v>
      </c>
      <c r="M39" s="39"/>
      <c r="N39" s="39"/>
      <c r="O39" s="39"/>
      <c r="P39" s="80"/>
    </row>
    <row r="40">
      <c r="A40" s="54">
        <v>42.0</v>
      </c>
      <c r="B40" s="89" t="s">
        <v>139</v>
      </c>
      <c r="C40" s="89" t="s">
        <v>703</v>
      </c>
      <c r="D40" s="54">
        <v>0.895</v>
      </c>
      <c r="E40" s="90" t="s">
        <v>31</v>
      </c>
      <c r="F40" s="89" t="s">
        <v>21</v>
      </c>
      <c r="G40" s="79"/>
      <c r="H40" s="39" t="s">
        <v>22</v>
      </c>
      <c r="I40" s="80"/>
      <c r="J40" s="39"/>
      <c r="K40" s="39"/>
      <c r="L40" s="39"/>
      <c r="M40" s="39"/>
      <c r="N40" s="39"/>
      <c r="O40" s="39" t="s">
        <v>22</v>
      </c>
      <c r="P40" s="80"/>
    </row>
    <row r="41">
      <c r="A41" s="54">
        <v>43.0</v>
      </c>
      <c r="B41" s="89" t="s">
        <v>143</v>
      </c>
      <c r="C41" s="89" t="s">
        <v>705</v>
      </c>
      <c r="D41" s="54">
        <v>0.928</v>
      </c>
      <c r="E41" s="90" t="s">
        <v>20</v>
      </c>
      <c r="F41" s="89" t="s">
        <v>21</v>
      </c>
      <c r="G41" s="79"/>
      <c r="H41" s="39" t="s">
        <v>22</v>
      </c>
      <c r="I41" s="80"/>
      <c r="J41" s="39" t="s">
        <v>22</v>
      </c>
      <c r="K41" s="39"/>
      <c r="L41" s="39"/>
      <c r="M41" s="39"/>
      <c r="N41" s="39"/>
      <c r="O41" s="39"/>
      <c r="P41" s="80"/>
    </row>
    <row r="42">
      <c r="A42" s="54">
        <v>44.0</v>
      </c>
      <c r="B42" s="89" t="s">
        <v>146</v>
      </c>
      <c r="C42" s="89" t="s">
        <v>706</v>
      </c>
      <c r="D42" s="54">
        <v>0.165</v>
      </c>
      <c r="E42" s="90" t="s">
        <v>21</v>
      </c>
      <c r="F42" s="89" t="s">
        <v>20</v>
      </c>
      <c r="G42" s="79" t="s">
        <v>22</v>
      </c>
      <c r="H42" s="39"/>
      <c r="I42" s="80"/>
      <c r="J42" s="39"/>
      <c r="K42" s="39" t="s">
        <v>22</v>
      </c>
      <c r="L42" s="39"/>
      <c r="M42" s="39"/>
      <c r="N42" s="39"/>
      <c r="O42" s="39"/>
      <c r="P42" s="80"/>
    </row>
    <row r="43">
      <c r="A43" s="54">
        <v>45.0</v>
      </c>
      <c r="B43" s="89" t="s">
        <v>149</v>
      </c>
      <c r="C43" s="89" t="s">
        <v>707</v>
      </c>
      <c r="D43" s="54">
        <v>0.935</v>
      </c>
      <c r="E43" s="90" t="s">
        <v>20</v>
      </c>
      <c r="F43" s="89" t="s">
        <v>21</v>
      </c>
      <c r="G43" s="79"/>
      <c r="H43" s="39"/>
      <c r="I43" s="80" t="s">
        <v>22</v>
      </c>
      <c r="J43" s="39"/>
      <c r="K43" s="39" t="s">
        <v>22</v>
      </c>
      <c r="L43" s="39"/>
      <c r="M43" s="39"/>
      <c r="N43" s="39"/>
      <c r="O43" s="39"/>
      <c r="P43" s="80"/>
    </row>
    <row r="44">
      <c r="A44" s="54">
        <v>46.0</v>
      </c>
      <c r="B44" s="89" t="s">
        <v>153</v>
      </c>
      <c r="C44" s="89" t="s">
        <v>708</v>
      </c>
      <c r="D44" s="54">
        <v>0.047</v>
      </c>
      <c r="E44" s="90" t="s">
        <v>21</v>
      </c>
      <c r="F44" s="89" t="s">
        <v>20</v>
      </c>
      <c r="G44" s="79" t="s">
        <v>22</v>
      </c>
      <c r="H44" s="39"/>
      <c r="I44" s="80"/>
      <c r="J44" s="39"/>
      <c r="K44" s="39" t="s">
        <v>22</v>
      </c>
      <c r="L44" s="39"/>
      <c r="M44" s="39"/>
      <c r="N44" s="39"/>
      <c r="O44" s="39"/>
      <c r="P44" s="80"/>
    </row>
    <row r="45">
      <c r="A45" s="54">
        <v>47.0</v>
      </c>
      <c r="B45" s="89" t="s">
        <v>155</v>
      </c>
      <c r="C45" s="89" t="s">
        <v>709</v>
      </c>
      <c r="D45" s="54">
        <v>0.052</v>
      </c>
      <c r="E45" s="90" t="s">
        <v>21</v>
      </c>
      <c r="F45" s="89" t="s">
        <v>20</v>
      </c>
      <c r="G45" s="79" t="s">
        <v>22</v>
      </c>
      <c r="H45" s="39"/>
      <c r="I45" s="80"/>
      <c r="J45" s="39"/>
      <c r="K45" s="39" t="s">
        <v>22</v>
      </c>
      <c r="L45" s="39"/>
      <c r="M45" s="39"/>
      <c r="N45" s="39"/>
      <c r="O45" s="39"/>
      <c r="P45" s="80"/>
    </row>
    <row r="46">
      <c r="A46" s="54">
        <v>48.0</v>
      </c>
      <c r="B46" s="89" t="s">
        <v>158</v>
      </c>
      <c r="C46" s="89" t="s">
        <v>710</v>
      </c>
      <c r="D46" s="54">
        <v>0.455</v>
      </c>
      <c r="E46" s="90" t="s">
        <v>20</v>
      </c>
      <c r="F46" s="89" t="s">
        <v>21</v>
      </c>
      <c r="G46" s="79" t="s">
        <v>22</v>
      </c>
      <c r="H46" s="39"/>
      <c r="I46" s="80"/>
      <c r="J46" s="39" t="s">
        <v>22</v>
      </c>
      <c r="K46" s="39"/>
      <c r="L46" s="39"/>
      <c r="M46" s="39"/>
      <c r="N46" s="39"/>
      <c r="O46" s="39"/>
      <c r="P46" s="80"/>
    </row>
    <row r="47">
      <c r="A47" s="54">
        <v>49.0</v>
      </c>
      <c r="B47" s="89" t="s">
        <v>162</v>
      </c>
      <c r="C47" s="89" t="s">
        <v>711</v>
      </c>
      <c r="D47" s="54">
        <v>0.594</v>
      </c>
      <c r="E47" s="90" t="s">
        <v>20</v>
      </c>
      <c r="F47" s="89" t="s">
        <v>21</v>
      </c>
      <c r="G47" s="79"/>
      <c r="H47" s="39"/>
      <c r="I47" s="80" t="s">
        <v>22</v>
      </c>
      <c r="J47" s="39"/>
      <c r="K47" s="39" t="s">
        <v>22</v>
      </c>
      <c r="L47" s="39"/>
      <c r="M47" s="39"/>
      <c r="N47" s="39"/>
      <c r="O47" s="39"/>
      <c r="P47" s="80"/>
    </row>
    <row r="48">
      <c r="A48" s="54">
        <v>51.0</v>
      </c>
      <c r="B48" s="89" t="s">
        <v>166</v>
      </c>
      <c r="C48" s="89" t="s">
        <v>713</v>
      </c>
      <c r="D48" s="54">
        <v>0.346</v>
      </c>
      <c r="E48" s="90" t="s">
        <v>21</v>
      </c>
      <c r="F48" s="89" t="s">
        <v>31</v>
      </c>
      <c r="G48" s="79" t="s">
        <v>22</v>
      </c>
      <c r="H48" s="39"/>
      <c r="I48" s="80"/>
      <c r="J48" s="39"/>
      <c r="K48" s="39"/>
      <c r="L48" s="39"/>
      <c r="M48" s="39"/>
      <c r="N48" s="39"/>
      <c r="O48" s="39" t="s">
        <v>22</v>
      </c>
      <c r="P48" s="80"/>
    </row>
    <row r="49">
      <c r="A49" s="54">
        <v>52.0</v>
      </c>
      <c r="B49" s="89" t="s">
        <v>170</v>
      </c>
      <c r="C49" s="89" t="s">
        <v>714</v>
      </c>
      <c r="D49" s="54">
        <v>0.959</v>
      </c>
      <c r="E49" s="90" t="s">
        <v>20</v>
      </c>
      <c r="F49" s="89" t="s">
        <v>21</v>
      </c>
      <c r="G49" s="79"/>
      <c r="H49" s="39" t="s">
        <v>22</v>
      </c>
      <c r="I49" s="80"/>
      <c r="J49" s="39"/>
      <c r="K49" s="39"/>
      <c r="L49" s="39"/>
      <c r="M49" s="39"/>
      <c r="N49" s="39" t="s">
        <v>22</v>
      </c>
      <c r="O49" s="39"/>
      <c r="P49" s="80"/>
    </row>
    <row r="50">
      <c r="A50" s="54">
        <v>54.0</v>
      </c>
      <c r="B50" s="89" t="s">
        <v>173</v>
      </c>
      <c r="C50" s="89" t="s">
        <v>715</v>
      </c>
      <c r="D50" s="54">
        <v>0.943</v>
      </c>
      <c r="E50" s="90" t="s">
        <v>20</v>
      </c>
      <c r="F50" s="89" t="s">
        <v>21</v>
      </c>
      <c r="G50" s="79"/>
      <c r="H50" s="39" t="s">
        <v>22</v>
      </c>
      <c r="I50" s="80"/>
      <c r="J50" s="39"/>
      <c r="K50" s="39"/>
      <c r="L50" s="39" t="s">
        <v>22</v>
      </c>
      <c r="M50" s="39"/>
      <c r="N50" s="39"/>
      <c r="O50" s="39"/>
      <c r="P50" s="80"/>
    </row>
    <row r="51">
      <c r="A51" s="54">
        <v>55.0</v>
      </c>
      <c r="B51" s="89" t="s">
        <v>176</v>
      </c>
      <c r="C51" s="89" t="s">
        <v>716</v>
      </c>
      <c r="D51" s="54">
        <v>0.03</v>
      </c>
      <c r="E51" s="90" t="s">
        <v>21</v>
      </c>
      <c r="F51" s="89" t="s">
        <v>20</v>
      </c>
      <c r="G51" s="79" t="s">
        <v>22</v>
      </c>
      <c r="H51" s="39"/>
      <c r="I51" s="80"/>
      <c r="J51" s="39"/>
      <c r="K51" s="39" t="s">
        <v>22</v>
      </c>
      <c r="L51" s="39"/>
      <c r="M51" s="39"/>
      <c r="N51" s="39"/>
      <c r="O51" s="39"/>
      <c r="P51" s="80"/>
    </row>
    <row r="52">
      <c r="A52" s="54">
        <v>56.0</v>
      </c>
      <c r="B52" s="89" t="s">
        <v>178</v>
      </c>
      <c r="C52" s="89" t="s">
        <v>717</v>
      </c>
      <c r="D52" s="54">
        <v>0.01</v>
      </c>
      <c r="E52" s="90" t="s">
        <v>20</v>
      </c>
      <c r="F52" s="89" t="s">
        <v>26</v>
      </c>
      <c r="G52" s="79"/>
      <c r="H52" s="39" t="s">
        <v>22</v>
      </c>
      <c r="I52" s="80"/>
      <c r="J52" s="39"/>
      <c r="K52" s="39"/>
      <c r="L52" s="39"/>
      <c r="M52" s="39" t="s">
        <v>22</v>
      </c>
      <c r="N52" s="39"/>
      <c r="O52" s="39"/>
      <c r="P52" s="80"/>
    </row>
    <row r="53">
      <c r="A53" s="54">
        <v>57.0</v>
      </c>
      <c r="B53" s="89" t="s">
        <v>182</v>
      </c>
      <c r="C53" s="89" t="s">
        <v>718</v>
      </c>
      <c r="D53" s="54">
        <v>0.209</v>
      </c>
      <c r="E53" s="90" t="s">
        <v>21</v>
      </c>
      <c r="F53" s="89" t="s">
        <v>20</v>
      </c>
      <c r="G53" s="79" t="s">
        <v>22</v>
      </c>
      <c r="H53" s="39"/>
      <c r="I53" s="80"/>
      <c r="J53" s="39"/>
      <c r="K53" s="39" t="s">
        <v>22</v>
      </c>
      <c r="L53" s="39"/>
      <c r="M53" s="39"/>
      <c r="N53" s="39"/>
      <c r="O53" s="39"/>
      <c r="P53" s="80"/>
    </row>
    <row r="54">
      <c r="A54" s="54">
        <v>58.0</v>
      </c>
      <c r="B54" s="89" t="s">
        <v>185</v>
      </c>
      <c r="C54" s="89" t="s">
        <v>719</v>
      </c>
      <c r="D54" s="54">
        <v>0.862</v>
      </c>
      <c r="E54" s="90" t="s">
        <v>31</v>
      </c>
      <c r="F54" s="89" t="s">
        <v>21</v>
      </c>
      <c r="G54" s="79"/>
      <c r="H54" s="39" t="s">
        <v>22</v>
      </c>
      <c r="I54" s="80"/>
      <c r="J54" s="39"/>
      <c r="K54" s="39"/>
      <c r="L54" s="39"/>
      <c r="M54" s="39"/>
      <c r="N54" s="39"/>
      <c r="O54" s="39" t="s">
        <v>22</v>
      </c>
      <c r="P54" s="80"/>
    </row>
    <row r="55">
      <c r="A55" s="54">
        <v>59.0</v>
      </c>
      <c r="B55" s="89" t="s">
        <v>188</v>
      </c>
      <c r="C55" s="89" t="s">
        <v>720</v>
      </c>
      <c r="D55" s="54">
        <v>0.834</v>
      </c>
      <c r="E55" s="90" t="s">
        <v>20</v>
      </c>
      <c r="F55" s="89" t="s">
        <v>21</v>
      </c>
      <c r="G55" s="79"/>
      <c r="H55" s="39" t="s">
        <v>22</v>
      </c>
      <c r="I55" s="80"/>
      <c r="J55" s="39"/>
      <c r="K55" s="39"/>
      <c r="L55" s="39"/>
      <c r="M55" s="39"/>
      <c r="N55" s="39" t="s">
        <v>22</v>
      </c>
      <c r="O55" s="39"/>
      <c r="P55" s="80"/>
    </row>
    <row r="56">
      <c r="A56" s="54">
        <v>61.0</v>
      </c>
      <c r="B56" s="89" t="s">
        <v>191</v>
      </c>
      <c r="C56" s="89" t="s">
        <v>721</v>
      </c>
      <c r="D56" s="54">
        <v>0.003</v>
      </c>
      <c r="E56" s="90" t="s">
        <v>20</v>
      </c>
      <c r="F56" s="89" t="s">
        <v>26</v>
      </c>
      <c r="G56" s="79"/>
      <c r="H56" s="39" t="s">
        <v>22</v>
      </c>
      <c r="I56" s="80"/>
      <c r="J56" s="39"/>
      <c r="K56" s="39"/>
      <c r="L56" s="39"/>
      <c r="M56" s="39"/>
      <c r="N56" s="39"/>
      <c r="O56" s="39"/>
      <c r="P56" s="91" t="s">
        <v>855</v>
      </c>
    </row>
    <row r="57">
      <c r="A57" s="54">
        <v>62.0</v>
      </c>
      <c r="B57" s="89" t="s">
        <v>194</v>
      </c>
      <c r="C57" s="89" t="s">
        <v>722</v>
      </c>
      <c r="D57" s="54">
        <v>0.047</v>
      </c>
      <c r="E57" s="90" t="s">
        <v>21</v>
      </c>
      <c r="F57" s="89" t="s">
        <v>20</v>
      </c>
      <c r="G57" s="79" t="s">
        <v>22</v>
      </c>
      <c r="H57" s="39"/>
      <c r="I57" s="80"/>
      <c r="J57" s="39"/>
      <c r="K57" s="39" t="s">
        <v>22</v>
      </c>
      <c r="L57" s="39"/>
      <c r="M57" s="39"/>
      <c r="N57" s="39"/>
      <c r="O57" s="39"/>
      <c r="P57" s="80"/>
    </row>
    <row r="58">
      <c r="A58" s="54">
        <v>63.0</v>
      </c>
      <c r="B58" s="89" t="s">
        <v>196</v>
      </c>
      <c r="C58" s="89" t="s">
        <v>723</v>
      </c>
      <c r="D58" s="54">
        <v>0.205</v>
      </c>
      <c r="E58" s="90" t="s">
        <v>21</v>
      </c>
      <c r="F58" s="89" t="s">
        <v>20</v>
      </c>
      <c r="G58" s="79" t="s">
        <v>22</v>
      </c>
      <c r="H58" s="39"/>
      <c r="I58" s="80"/>
      <c r="J58" s="39"/>
      <c r="K58" s="39" t="s">
        <v>22</v>
      </c>
      <c r="L58" s="39"/>
      <c r="M58" s="39"/>
      <c r="N58" s="39"/>
      <c r="O58" s="39"/>
      <c r="P58" s="80"/>
    </row>
    <row r="59">
      <c r="A59" s="54">
        <v>64.0</v>
      </c>
      <c r="B59" s="89" t="s">
        <v>199</v>
      </c>
      <c r="C59" s="89" t="s">
        <v>724</v>
      </c>
      <c r="D59" s="54">
        <v>0.901</v>
      </c>
      <c r="E59" s="90" t="s">
        <v>20</v>
      </c>
      <c r="F59" s="89" t="s">
        <v>21</v>
      </c>
      <c r="G59" s="79"/>
      <c r="H59" s="39" t="s">
        <v>22</v>
      </c>
      <c r="I59" s="80"/>
      <c r="J59" s="39"/>
      <c r="K59" s="39"/>
      <c r="L59" s="39"/>
      <c r="M59" s="39"/>
      <c r="N59" s="39" t="s">
        <v>22</v>
      </c>
      <c r="O59" s="39"/>
      <c r="P59" s="80"/>
    </row>
    <row r="60">
      <c r="A60" s="54">
        <v>66.0</v>
      </c>
      <c r="B60" s="89" t="s">
        <v>202</v>
      </c>
      <c r="C60" s="89" t="s">
        <v>725</v>
      </c>
      <c r="D60" s="54">
        <v>0.029</v>
      </c>
      <c r="E60" s="90" t="s">
        <v>21</v>
      </c>
      <c r="F60" s="89" t="s">
        <v>20</v>
      </c>
      <c r="G60" s="79" t="s">
        <v>22</v>
      </c>
      <c r="H60" s="39"/>
      <c r="I60" s="80"/>
      <c r="J60" s="39"/>
      <c r="K60" s="39" t="s">
        <v>22</v>
      </c>
      <c r="L60" s="39"/>
      <c r="M60" s="39"/>
      <c r="N60" s="39"/>
      <c r="O60" s="39"/>
      <c r="P60" s="80"/>
    </row>
    <row r="61">
      <c r="A61" s="54">
        <v>67.0</v>
      </c>
      <c r="B61" s="89" t="s">
        <v>205</v>
      </c>
      <c r="C61" s="89" t="s">
        <v>726</v>
      </c>
      <c r="D61" s="54">
        <v>0.003</v>
      </c>
      <c r="E61" s="90" t="s">
        <v>26</v>
      </c>
      <c r="F61" s="89" t="s">
        <v>20</v>
      </c>
      <c r="G61" s="79"/>
      <c r="H61" s="39" t="s">
        <v>22</v>
      </c>
      <c r="I61" s="80"/>
      <c r="J61" s="39"/>
      <c r="K61" s="39"/>
      <c r="L61" s="39"/>
      <c r="M61" s="39"/>
      <c r="N61" s="39"/>
      <c r="O61" s="39" t="s">
        <v>22</v>
      </c>
      <c r="P61" s="80"/>
    </row>
    <row r="62">
      <c r="A62" s="54">
        <v>69.0</v>
      </c>
      <c r="B62" s="89" t="s">
        <v>207</v>
      </c>
      <c r="C62" s="89" t="s">
        <v>727</v>
      </c>
      <c r="D62" s="54">
        <v>0.012</v>
      </c>
      <c r="E62" s="90" t="s">
        <v>21</v>
      </c>
      <c r="F62" s="89" t="s">
        <v>31</v>
      </c>
      <c r="G62" s="79"/>
      <c r="H62" s="39" t="s">
        <v>22</v>
      </c>
      <c r="I62" s="80"/>
      <c r="J62" s="39"/>
      <c r="K62" s="39"/>
      <c r="L62" s="39" t="s">
        <v>22</v>
      </c>
      <c r="M62" s="39"/>
      <c r="N62" s="39"/>
      <c r="O62" s="39"/>
      <c r="P62" s="80"/>
    </row>
    <row r="63">
      <c r="A63" s="54">
        <v>70.0</v>
      </c>
      <c r="B63" s="89" t="s">
        <v>210</v>
      </c>
      <c r="C63" s="89" t="s">
        <v>728</v>
      </c>
      <c r="D63" s="54">
        <v>0.97</v>
      </c>
      <c r="E63" s="90" t="s">
        <v>31</v>
      </c>
      <c r="F63" s="89" t="s">
        <v>21</v>
      </c>
      <c r="G63" s="79"/>
      <c r="H63" s="39" t="s">
        <v>22</v>
      </c>
      <c r="I63" s="80"/>
      <c r="J63" s="39"/>
      <c r="K63" s="39"/>
      <c r="L63" s="39"/>
      <c r="M63" s="39"/>
      <c r="N63" s="39"/>
      <c r="O63" s="39" t="s">
        <v>22</v>
      </c>
      <c r="P63" s="80"/>
    </row>
    <row r="64">
      <c r="A64" s="54">
        <v>71.0</v>
      </c>
      <c r="B64" s="89" t="s">
        <v>213</v>
      </c>
      <c r="C64" s="89" t="s">
        <v>682</v>
      </c>
      <c r="D64" s="54">
        <v>0.976</v>
      </c>
      <c r="E64" s="90" t="s">
        <v>31</v>
      </c>
      <c r="F64" s="89" t="s">
        <v>21</v>
      </c>
      <c r="G64" s="79"/>
      <c r="H64" s="39" t="s">
        <v>22</v>
      </c>
      <c r="I64" s="80"/>
      <c r="J64" s="39"/>
      <c r="K64" s="39"/>
      <c r="L64" s="39"/>
      <c r="M64" s="39"/>
      <c r="N64" s="39"/>
      <c r="O64" s="39" t="s">
        <v>22</v>
      </c>
      <c r="P64" s="80"/>
    </row>
    <row r="65">
      <c r="A65" s="54">
        <v>72.0</v>
      </c>
      <c r="B65" s="89" t="s">
        <v>214</v>
      </c>
      <c r="C65" s="89" t="s">
        <v>729</v>
      </c>
      <c r="D65" s="54">
        <v>0.001</v>
      </c>
      <c r="E65" s="90" t="s">
        <v>20</v>
      </c>
      <c r="F65" s="89" t="s">
        <v>26</v>
      </c>
      <c r="G65" s="79"/>
      <c r="H65" s="39" t="s">
        <v>22</v>
      </c>
      <c r="I65" s="80"/>
      <c r="J65" s="39"/>
      <c r="K65" s="39"/>
      <c r="L65" s="39"/>
      <c r="M65" s="39" t="s">
        <v>22</v>
      </c>
      <c r="N65" s="39"/>
      <c r="O65" s="39"/>
      <c r="P65" s="80"/>
    </row>
    <row r="66">
      <c r="A66" s="54">
        <v>73.0</v>
      </c>
      <c r="B66" s="89" t="s">
        <v>218</v>
      </c>
      <c r="C66" s="89" t="s">
        <v>730</v>
      </c>
      <c r="D66" s="54">
        <v>0.966</v>
      </c>
      <c r="E66" s="90" t="s">
        <v>20</v>
      </c>
      <c r="F66" s="89" t="s">
        <v>21</v>
      </c>
      <c r="G66" s="79"/>
      <c r="H66" s="39" t="s">
        <v>22</v>
      </c>
      <c r="I66" s="80"/>
      <c r="J66" s="39"/>
      <c r="K66" s="39"/>
      <c r="L66" s="39"/>
      <c r="M66" s="39"/>
      <c r="N66" s="39" t="s">
        <v>22</v>
      </c>
      <c r="O66" s="39"/>
      <c r="P66" s="80"/>
    </row>
    <row r="67">
      <c r="A67" s="54">
        <v>74.0</v>
      </c>
      <c r="B67" s="89" t="s">
        <v>221</v>
      </c>
      <c r="C67" s="89" t="s">
        <v>731</v>
      </c>
      <c r="D67" s="54">
        <v>0.975</v>
      </c>
      <c r="E67" s="90" t="s">
        <v>20</v>
      </c>
      <c r="F67" s="89" t="s">
        <v>21</v>
      </c>
      <c r="G67" s="79"/>
      <c r="H67" s="39"/>
      <c r="I67" s="80" t="s">
        <v>22</v>
      </c>
      <c r="J67" s="39"/>
      <c r="K67" s="39"/>
      <c r="L67" s="39"/>
      <c r="M67" s="39"/>
      <c r="N67" s="39"/>
      <c r="O67" s="39"/>
      <c r="P67" s="80" t="s">
        <v>856</v>
      </c>
    </row>
    <row r="68">
      <c r="A68" s="54">
        <v>75.0</v>
      </c>
      <c r="B68" s="89" t="s">
        <v>225</v>
      </c>
      <c r="C68" s="89" t="s">
        <v>733</v>
      </c>
      <c r="D68" s="54">
        <v>0.154</v>
      </c>
      <c r="E68" s="90" t="s">
        <v>21</v>
      </c>
      <c r="F68" s="89" t="s">
        <v>20</v>
      </c>
      <c r="G68" s="79" t="s">
        <v>22</v>
      </c>
      <c r="H68" s="39"/>
      <c r="I68" s="80"/>
      <c r="J68" s="39"/>
      <c r="K68" s="39" t="s">
        <v>22</v>
      </c>
      <c r="L68" s="39"/>
      <c r="M68" s="39"/>
      <c r="N68" s="39"/>
      <c r="O68" s="39"/>
      <c r="P68" s="80"/>
    </row>
    <row r="69">
      <c r="A69" s="54">
        <v>76.0</v>
      </c>
      <c r="B69" s="89" t="s">
        <v>228</v>
      </c>
      <c r="C69" s="89" t="s">
        <v>734</v>
      </c>
      <c r="D69" s="54">
        <v>0.97</v>
      </c>
      <c r="E69" s="90" t="s">
        <v>20</v>
      </c>
      <c r="F69" s="89" t="s">
        <v>21</v>
      </c>
      <c r="G69" s="79"/>
      <c r="H69" s="39" t="s">
        <v>22</v>
      </c>
      <c r="I69" s="80"/>
      <c r="J69" s="39"/>
      <c r="K69" s="39"/>
      <c r="L69" s="39"/>
      <c r="M69" s="39"/>
      <c r="N69" s="39" t="s">
        <v>22</v>
      </c>
      <c r="O69" s="39"/>
      <c r="P69" s="80"/>
    </row>
    <row r="70">
      <c r="A70" s="54">
        <v>77.0</v>
      </c>
      <c r="B70" s="89" t="s">
        <v>230</v>
      </c>
      <c r="C70" s="89" t="s">
        <v>735</v>
      </c>
      <c r="D70" s="54">
        <v>0.053</v>
      </c>
      <c r="E70" s="90" t="s">
        <v>21</v>
      </c>
      <c r="F70" s="89" t="s">
        <v>20</v>
      </c>
      <c r="G70" s="79" t="s">
        <v>22</v>
      </c>
      <c r="H70" s="39"/>
      <c r="I70" s="80"/>
      <c r="J70" s="39"/>
      <c r="K70" s="39" t="s">
        <v>22</v>
      </c>
      <c r="L70" s="39"/>
      <c r="M70" s="39"/>
      <c r="N70" s="39"/>
      <c r="O70" s="39"/>
      <c r="P70" s="80"/>
    </row>
    <row r="71">
      <c r="A71" s="54">
        <v>78.0</v>
      </c>
      <c r="B71" s="89" t="s">
        <v>233</v>
      </c>
      <c r="C71" s="89" t="s">
        <v>736</v>
      </c>
      <c r="D71" s="54">
        <v>0.006</v>
      </c>
      <c r="E71" s="90" t="s">
        <v>21</v>
      </c>
      <c r="F71" s="89" t="s">
        <v>31</v>
      </c>
      <c r="G71" s="79" t="s">
        <v>22</v>
      </c>
      <c r="H71" s="39"/>
      <c r="I71" s="80"/>
      <c r="J71" s="39"/>
      <c r="K71" s="39" t="s">
        <v>22</v>
      </c>
      <c r="L71" s="39"/>
      <c r="M71" s="39"/>
      <c r="N71" s="39"/>
      <c r="O71" s="39"/>
      <c r="P71" s="80"/>
    </row>
    <row r="72">
      <c r="A72" s="54">
        <v>79.0</v>
      </c>
      <c r="B72" s="89" t="s">
        <v>236</v>
      </c>
      <c r="C72" s="89" t="s">
        <v>715</v>
      </c>
      <c r="D72" s="54">
        <v>0.004</v>
      </c>
      <c r="E72" s="90" t="s">
        <v>21</v>
      </c>
      <c r="F72" s="89" t="s">
        <v>20</v>
      </c>
      <c r="G72" s="79" t="s">
        <v>22</v>
      </c>
      <c r="H72" s="39"/>
      <c r="I72" s="80"/>
      <c r="J72" s="39"/>
      <c r="K72" s="39" t="s">
        <v>22</v>
      </c>
      <c r="L72" s="39"/>
      <c r="M72" s="39"/>
      <c r="N72" s="39"/>
      <c r="O72" s="39"/>
      <c r="P72" s="80"/>
    </row>
    <row r="73">
      <c r="A73" s="54">
        <v>80.0</v>
      </c>
      <c r="B73" s="89" t="s">
        <v>237</v>
      </c>
      <c r="C73" s="89" t="s">
        <v>673</v>
      </c>
      <c r="D73" s="54">
        <v>0.962</v>
      </c>
      <c r="E73" s="90" t="s">
        <v>31</v>
      </c>
      <c r="F73" s="89" t="s">
        <v>21</v>
      </c>
      <c r="G73" s="79"/>
      <c r="H73" s="39" t="s">
        <v>22</v>
      </c>
      <c r="I73" s="80"/>
      <c r="J73" s="39"/>
      <c r="K73" s="39"/>
      <c r="L73" s="39"/>
      <c r="M73" s="39"/>
      <c r="N73" s="39"/>
      <c r="O73" s="39" t="s">
        <v>22</v>
      </c>
      <c r="P73" s="80"/>
    </row>
    <row r="74">
      <c r="A74" s="54">
        <v>81.0</v>
      </c>
      <c r="B74" s="89" t="s">
        <v>240</v>
      </c>
      <c r="C74" s="89" t="s">
        <v>737</v>
      </c>
      <c r="D74" s="54">
        <v>0.652</v>
      </c>
      <c r="E74" s="90" t="s">
        <v>20</v>
      </c>
      <c r="F74" s="89" t="s">
        <v>21</v>
      </c>
      <c r="G74" s="79"/>
      <c r="H74" s="39" t="s">
        <v>22</v>
      </c>
      <c r="I74" s="80"/>
      <c r="J74" s="39"/>
      <c r="K74" s="39"/>
      <c r="L74" s="39" t="s">
        <v>22</v>
      </c>
      <c r="M74" s="39"/>
      <c r="N74" s="39"/>
      <c r="O74" s="39"/>
      <c r="P74" s="80"/>
    </row>
    <row r="75">
      <c r="A75" s="54">
        <v>82.0</v>
      </c>
      <c r="B75" s="89" t="s">
        <v>244</v>
      </c>
      <c r="C75" s="89" t="s">
        <v>738</v>
      </c>
      <c r="D75" s="54">
        <v>0.963</v>
      </c>
      <c r="E75" s="90" t="s">
        <v>20</v>
      </c>
      <c r="F75" s="89" t="s">
        <v>21</v>
      </c>
      <c r="G75" s="79"/>
      <c r="H75" s="39" t="s">
        <v>22</v>
      </c>
      <c r="I75" s="80"/>
      <c r="J75" s="39"/>
      <c r="K75" s="39"/>
      <c r="L75" s="39" t="s">
        <v>22</v>
      </c>
      <c r="M75" s="39"/>
      <c r="N75" s="39"/>
      <c r="O75" s="39"/>
      <c r="P75" s="80"/>
    </row>
    <row r="76">
      <c r="A76" s="54">
        <v>83.0</v>
      </c>
      <c r="B76" s="89" t="s">
        <v>248</v>
      </c>
      <c r="C76" s="89" t="s">
        <v>739</v>
      </c>
      <c r="D76" s="54">
        <v>0.873</v>
      </c>
      <c r="E76" s="90" t="s">
        <v>20</v>
      </c>
      <c r="F76" s="89" t="s">
        <v>21</v>
      </c>
      <c r="G76" s="79"/>
      <c r="H76" s="39"/>
      <c r="I76" s="80" t="s">
        <v>22</v>
      </c>
      <c r="J76" s="39"/>
      <c r="K76" s="39" t="s">
        <v>22</v>
      </c>
      <c r="L76" s="39"/>
      <c r="M76" s="39"/>
      <c r="N76" s="39"/>
      <c r="O76" s="39"/>
      <c r="P76" s="80"/>
    </row>
    <row r="77">
      <c r="A77" s="54">
        <v>86.0</v>
      </c>
      <c r="B77" s="89" t="s">
        <v>252</v>
      </c>
      <c r="C77" s="89" t="s">
        <v>740</v>
      </c>
      <c r="D77" s="54">
        <v>0.784</v>
      </c>
      <c r="E77" s="90" t="s">
        <v>20</v>
      </c>
      <c r="F77" s="89" t="s">
        <v>21</v>
      </c>
      <c r="G77" s="79"/>
      <c r="H77" s="39"/>
      <c r="I77" s="80" t="s">
        <v>22</v>
      </c>
      <c r="J77" s="39"/>
      <c r="K77" s="39" t="s">
        <v>22</v>
      </c>
      <c r="L77" s="39"/>
      <c r="M77" s="39"/>
      <c r="N77" s="39"/>
      <c r="O77" s="39"/>
      <c r="P77" s="80"/>
    </row>
    <row r="78">
      <c r="A78" s="54">
        <v>89.0</v>
      </c>
      <c r="B78" s="89" t="s">
        <v>256</v>
      </c>
      <c r="C78" s="89" t="s">
        <v>688</v>
      </c>
      <c r="D78" s="54">
        <v>0.966</v>
      </c>
      <c r="E78" s="90" t="s">
        <v>31</v>
      </c>
      <c r="F78" s="89" t="s">
        <v>21</v>
      </c>
      <c r="G78" s="79"/>
      <c r="H78" s="39" t="s">
        <v>22</v>
      </c>
      <c r="I78" s="80"/>
      <c r="J78" s="39"/>
      <c r="K78" s="39"/>
      <c r="L78" s="39"/>
      <c r="M78" s="39"/>
      <c r="N78" s="39"/>
      <c r="O78" s="39" t="s">
        <v>22</v>
      </c>
      <c r="P78" s="80"/>
    </row>
    <row r="79">
      <c r="A79" s="54">
        <v>90.0</v>
      </c>
      <c r="B79" s="89" t="s">
        <v>257</v>
      </c>
      <c r="C79" s="89" t="s">
        <v>741</v>
      </c>
      <c r="D79" s="54">
        <v>0.0</v>
      </c>
      <c r="E79" s="90" t="s">
        <v>20</v>
      </c>
      <c r="F79" s="89" t="s">
        <v>26</v>
      </c>
      <c r="G79" s="79" t="s">
        <v>22</v>
      </c>
      <c r="H79" s="39"/>
      <c r="I79" s="80"/>
      <c r="J79" s="39"/>
      <c r="K79" s="39" t="s">
        <v>22</v>
      </c>
      <c r="L79" s="39"/>
      <c r="M79" s="39"/>
      <c r="N79" s="39"/>
      <c r="O79" s="39"/>
      <c r="P79" s="80"/>
    </row>
    <row r="80">
      <c r="A80" s="54">
        <v>91.0</v>
      </c>
      <c r="B80" s="89" t="s">
        <v>261</v>
      </c>
      <c r="C80" s="89" t="s">
        <v>742</v>
      </c>
      <c r="D80" s="54">
        <v>0.873</v>
      </c>
      <c r="E80" s="90" t="s">
        <v>20</v>
      </c>
      <c r="F80" s="89" t="s">
        <v>21</v>
      </c>
      <c r="G80" s="79"/>
      <c r="H80" s="39" t="s">
        <v>22</v>
      </c>
      <c r="I80" s="80"/>
      <c r="J80" s="39"/>
      <c r="K80" s="39"/>
      <c r="L80" s="39"/>
      <c r="M80" s="39"/>
      <c r="N80" s="39" t="s">
        <v>22</v>
      </c>
      <c r="O80" s="39"/>
      <c r="P80" s="80"/>
    </row>
    <row r="81">
      <c r="A81" s="54">
        <v>92.0</v>
      </c>
      <c r="B81" s="89" t="s">
        <v>264</v>
      </c>
      <c r="C81" s="89" t="s">
        <v>743</v>
      </c>
      <c r="D81" s="54">
        <v>0.434</v>
      </c>
      <c r="E81" s="90" t="s">
        <v>20</v>
      </c>
      <c r="F81" s="89" t="s">
        <v>31</v>
      </c>
      <c r="G81" s="79"/>
      <c r="H81" s="39"/>
      <c r="I81" s="80" t="s">
        <v>22</v>
      </c>
      <c r="J81" s="39"/>
      <c r="K81" s="39"/>
      <c r="L81" s="39"/>
      <c r="M81" s="39"/>
      <c r="N81" s="39"/>
      <c r="O81" s="39"/>
      <c r="P81" s="80" t="s">
        <v>857</v>
      </c>
    </row>
    <row r="82">
      <c r="A82" s="54">
        <v>94.0</v>
      </c>
      <c r="B82" s="89" t="s">
        <v>268</v>
      </c>
      <c r="C82" s="89" t="s">
        <v>744</v>
      </c>
      <c r="D82" s="54">
        <v>0.932</v>
      </c>
      <c r="E82" s="90" t="s">
        <v>20</v>
      </c>
      <c r="F82" s="89" t="s">
        <v>21</v>
      </c>
      <c r="G82" s="79"/>
      <c r="H82" s="39"/>
      <c r="I82" s="92" t="s">
        <v>22</v>
      </c>
      <c r="J82" s="39"/>
      <c r="K82" s="39" t="s">
        <v>22</v>
      </c>
      <c r="L82" s="39"/>
      <c r="M82" s="39"/>
      <c r="N82" s="39"/>
      <c r="O82" s="39"/>
      <c r="P82" s="80"/>
    </row>
    <row r="83">
      <c r="A83" s="54">
        <v>95.0</v>
      </c>
      <c r="B83" s="89" t="s">
        <v>271</v>
      </c>
      <c r="C83" s="89" t="s">
        <v>726</v>
      </c>
      <c r="D83" s="54">
        <v>0.952</v>
      </c>
      <c r="E83" s="90" t="s">
        <v>31</v>
      </c>
      <c r="F83" s="89" t="s">
        <v>21</v>
      </c>
      <c r="G83" s="79"/>
      <c r="H83" s="39" t="s">
        <v>22</v>
      </c>
      <c r="I83" s="80"/>
      <c r="J83" s="39"/>
      <c r="K83" s="39"/>
      <c r="L83" s="39"/>
      <c r="M83" s="39"/>
      <c r="N83" s="39"/>
      <c r="O83" s="39" t="s">
        <v>22</v>
      </c>
      <c r="P83" s="80"/>
    </row>
    <row r="84">
      <c r="A84" s="54">
        <v>96.0</v>
      </c>
      <c r="B84" s="89" t="s">
        <v>273</v>
      </c>
      <c r="C84" s="89" t="s">
        <v>745</v>
      </c>
      <c r="D84" s="54">
        <v>0.054</v>
      </c>
      <c r="E84" s="90" t="s">
        <v>21</v>
      </c>
      <c r="F84" s="89" t="s">
        <v>20</v>
      </c>
      <c r="G84" s="79" t="s">
        <v>22</v>
      </c>
      <c r="H84" s="39"/>
      <c r="I84" s="80"/>
      <c r="J84" s="39"/>
      <c r="K84" s="39" t="s">
        <v>22</v>
      </c>
      <c r="L84" s="39"/>
      <c r="M84" s="39"/>
      <c r="N84" s="39"/>
      <c r="O84" s="39"/>
      <c r="P84" s="80"/>
    </row>
    <row r="85">
      <c r="A85" s="54">
        <v>98.0</v>
      </c>
      <c r="B85" s="89" t="s">
        <v>277</v>
      </c>
      <c r="C85" s="89" t="s">
        <v>746</v>
      </c>
      <c r="D85" s="54">
        <v>0.147</v>
      </c>
      <c r="E85" s="90" t="s">
        <v>21</v>
      </c>
      <c r="F85" s="89" t="s">
        <v>20</v>
      </c>
      <c r="G85" s="79" t="s">
        <v>22</v>
      </c>
      <c r="H85" s="39"/>
      <c r="I85" s="80"/>
      <c r="J85" s="39"/>
      <c r="K85" s="39" t="s">
        <v>22</v>
      </c>
      <c r="L85" s="39"/>
      <c r="M85" s="39"/>
      <c r="N85" s="39"/>
      <c r="O85" s="39"/>
      <c r="P85" s="80"/>
    </row>
    <row r="86">
      <c r="A86" s="54">
        <v>99.0</v>
      </c>
      <c r="B86" s="89" t="s">
        <v>281</v>
      </c>
      <c r="C86" s="89" t="s">
        <v>747</v>
      </c>
      <c r="D86" s="54">
        <v>0.973</v>
      </c>
      <c r="E86" s="90" t="s">
        <v>31</v>
      </c>
      <c r="F86" s="89" t="s">
        <v>21</v>
      </c>
      <c r="G86" s="79"/>
      <c r="H86" s="39" t="s">
        <v>22</v>
      </c>
      <c r="I86" s="80"/>
      <c r="J86" s="39"/>
      <c r="K86" s="39"/>
      <c r="L86" s="39"/>
      <c r="M86" s="39"/>
      <c r="N86" s="39"/>
      <c r="O86" s="39" t="s">
        <v>22</v>
      </c>
      <c r="P86" s="80"/>
    </row>
    <row r="87">
      <c r="A87" s="54">
        <v>100.0</v>
      </c>
      <c r="B87" s="89" t="s">
        <v>283</v>
      </c>
      <c r="C87" s="89" t="s">
        <v>748</v>
      </c>
      <c r="D87" s="54">
        <v>0.024</v>
      </c>
      <c r="E87" s="90" t="s">
        <v>21</v>
      </c>
      <c r="F87" s="89" t="s">
        <v>20</v>
      </c>
      <c r="G87" s="79" t="s">
        <v>22</v>
      </c>
      <c r="H87" s="39"/>
      <c r="I87" s="80"/>
      <c r="J87" s="39"/>
      <c r="K87" s="39" t="s">
        <v>22</v>
      </c>
      <c r="L87" s="39"/>
      <c r="M87" s="39"/>
      <c r="N87" s="39"/>
      <c r="O87" s="39"/>
      <c r="P87" s="80"/>
    </row>
    <row r="88">
      <c r="A88" s="54">
        <v>101.0</v>
      </c>
      <c r="B88" s="89" t="s">
        <v>286</v>
      </c>
      <c r="C88" s="89" t="s">
        <v>749</v>
      </c>
      <c r="D88" s="54">
        <v>0.913</v>
      </c>
      <c r="E88" s="90" t="s">
        <v>31</v>
      </c>
      <c r="F88" s="89" t="s">
        <v>21</v>
      </c>
      <c r="G88" s="79"/>
      <c r="H88" s="39" t="s">
        <v>22</v>
      </c>
      <c r="I88" s="80"/>
      <c r="J88" s="39"/>
      <c r="K88" s="39"/>
      <c r="L88" s="39"/>
      <c r="M88" s="39"/>
      <c r="N88" s="39"/>
      <c r="O88" s="39" t="s">
        <v>22</v>
      </c>
      <c r="P88" s="80"/>
    </row>
    <row r="89">
      <c r="A89" s="54">
        <v>102.0</v>
      </c>
      <c r="B89" s="89" t="s">
        <v>288</v>
      </c>
      <c r="C89" s="89" t="s">
        <v>750</v>
      </c>
      <c r="D89" s="54">
        <v>0.918</v>
      </c>
      <c r="E89" s="90" t="s">
        <v>20</v>
      </c>
      <c r="F89" s="89" t="s">
        <v>21</v>
      </c>
      <c r="G89" s="79"/>
      <c r="H89" s="39"/>
      <c r="I89" s="80" t="s">
        <v>22</v>
      </c>
      <c r="J89" s="39"/>
      <c r="K89" s="39" t="s">
        <v>22</v>
      </c>
      <c r="L89" s="39"/>
      <c r="M89" s="39"/>
      <c r="N89" s="39"/>
      <c r="O89" s="39"/>
      <c r="P89" s="80"/>
    </row>
    <row r="90">
      <c r="A90" s="54">
        <v>103.0</v>
      </c>
      <c r="B90" s="89" t="s">
        <v>292</v>
      </c>
      <c r="C90" s="89" t="s">
        <v>752</v>
      </c>
      <c r="D90" s="54">
        <v>0.082</v>
      </c>
      <c r="E90" s="90" t="s">
        <v>21</v>
      </c>
      <c r="F90" s="89" t="s">
        <v>31</v>
      </c>
      <c r="G90" s="79"/>
      <c r="H90" s="39" t="s">
        <v>22</v>
      </c>
      <c r="I90" s="80"/>
      <c r="J90" s="39"/>
      <c r="K90" s="39"/>
      <c r="L90" s="39"/>
      <c r="M90" s="39"/>
      <c r="N90" s="39"/>
      <c r="O90" s="39"/>
      <c r="P90" s="80" t="s">
        <v>858</v>
      </c>
    </row>
    <row r="91">
      <c r="A91" s="54">
        <v>104.0</v>
      </c>
      <c r="B91" s="89" t="s">
        <v>296</v>
      </c>
      <c r="C91" s="89" t="s">
        <v>753</v>
      </c>
      <c r="D91" s="54">
        <v>0.874</v>
      </c>
      <c r="E91" s="90" t="s">
        <v>20</v>
      </c>
      <c r="F91" s="89" t="s">
        <v>21</v>
      </c>
      <c r="G91" s="79" t="s">
        <v>22</v>
      </c>
      <c r="H91" s="39"/>
      <c r="I91" s="80"/>
      <c r="J91" s="39" t="s">
        <v>22</v>
      </c>
      <c r="K91" s="39"/>
      <c r="L91" s="39"/>
      <c r="M91" s="39"/>
      <c r="N91" s="39"/>
      <c r="O91" s="39"/>
      <c r="P91" s="80"/>
    </row>
    <row r="92">
      <c r="A92" s="54">
        <v>105.0</v>
      </c>
      <c r="B92" s="89" t="s">
        <v>300</v>
      </c>
      <c r="C92" s="89" t="s">
        <v>754</v>
      </c>
      <c r="D92" s="54">
        <v>0.739</v>
      </c>
      <c r="E92" s="90" t="s">
        <v>20</v>
      </c>
      <c r="F92" s="89" t="s">
        <v>21</v>
      </c>
      <c r="G92" s="79"/>
      <c r="H92" s="39" t="s">
        <v>22</v>
      </c>
      <c r="I92" s="80"/>
      <c r="J92" s="39"/>
      <c r="K92" s="39"/>
      <c r="L92" s="39" t="s">
        <v>22</v>
      </c>
      <c r="M92" s="39"/>
      <c r="N92" s="39"/>
      <c r="O92" s="39"/>
      <c r="P92" s="80"/>
    </row>
    <row r="93">
      <c r="A93" s="54">
        <v>106.0</v>
      </c>
      <c r="B93" s="89" t="s">
        <v>304</v>
      </c>
      <c r="C93" s="89" t="s">
        <v>755</v>
      </c>
      <c r="D93" s="54">
        <v>0.004</v>
      </c>
      <c r="E93" s="90" t="s">
        <v>26</v>
      </c>
      <c r="F93" s="89" t="s">
        <v>20</v>
      </c>
      <c r="G93" s="79"/>
      <c r="H93" s="39" t="s">
        <v>22</v>
      </c>
      <c r="I93" s="80"/>
      <c r="J93" s="39"/>
      <c r="K93" s="39"/>
      <c r="L93" s="39"/>
      <c r="M93" s="39"/>
      <c r="N93" s="39"/>
      <c r="O93" s="39" t="s">
        <v>22</v>
      </c>
      <c r="P93" s="80"/>
    </row>
    <row r="94">
      <c r="A94" s="54">
        <v>107.0</v>
      </c>
      <c r="B94" s="89" t="s">
        <v>307</v>
      </c>
      <c r="C94" s="89" t="s">
        <v>756</v>
      </c>
      <c r="D94" s="54">
        <v>0.624</v>
      </c>
      <c r="E94" s="90" t="s">
        <v>20</v>
      </c>
      <c r="F94" s="89" t="s">
        <v>21</v>
      </c>
      <c r="G94" s="79"/>
      <c r="H94" s="39" t="s">
        <v>22</v>
      </c>
      <c r="I94" s="80"/>
      <c r="J94" s="39"/>
      <c r="K94" s="39"/>
      <c r="L94" s="39" t="s">
        <v>22</v>
      </c>
      <c r="M94" s="39"/>
      <c r="N94" s="39"/>
      <c r="O94" s="39"/>
      <c r="P94" s="80"/>
    </row>
    <row r="95">
      <c r="A95" s="54">
        <v>110.0</v>
      </c>
      <c r="B95" s="89" t="s">
        <v>310</v>
      </c>
      <c r="C95" s="89" t="s">
        <v>757</v>
      </c>
      <c r="D95" s="54">
        <v>0.035</v>
      </c>
      <c r="E95" s="90" t="s">
        <v>21</v>
      </c>
      <c r="F95" s="89" t="s">
        <v>20</v>
      </c>
      <c r="G95" s="79"/>
      <c r="H95" s="39"/>
      <c r="I95" s="80"/>
      <c r="J95" s="39"/>
      <c r="K95" s="39"/>
      <c r="L95" s="39"/>
      <c r="M95" s="39"/>
      <c r="N95" s="39"/>
      <c r="O95" s="39"/>
      <c r="P95" s="80"/>
    </row>
    <row r="96">
      <c r="A96" s="54">
        <v>111.0</v>
      </c>
      <c r="B96" s="89" t="s">
        <v>314</v>
      </c>
      <c r="C96" s="89" t="s">
        <v>758</v>
      </c>
      <c r="D96" s="54">
        <v>0.811</v>
      </c>
      <c r="E96" s="90" t="s">
        <v>20</v>
      </c>
      <c r="F96" s="89" t="s">
        <v>21</v>
      </c>
      <c r="G96" s="79"/>
      <c r="H96" s="39" t="s">
        <v>22</v>
      </c>
      <c r="I96" s="80"/>
      <c r="J96" s="39"/>
      <c r="K96" s="39"/>
      <c r="L96" s="39"/>
      <c r="M96" s="39"/>
      <c r="N96" s="39" t="s">
        <v>22</v>
      </c>
      <c r="O96" s="39"/>
      <c r="P96" s="80"/>
    </row>
    <row r="97">
      <c r="A97" s="54">
        <v>112.0</v>
      </c>
      <c r="B97" s="89" t="s">
        <v>317</v>
      </c>
      <c r="C97" s="89" t="s">
        <v>756</v>
      </c>
      <c r="D97" s="54">
        <v>0.001</v>
      </c>
      <c r="E97" s="90" t="s">
        <v>26</v>
      </c>
      <c r="F97" s="89" t="s">
        <v>20</v>
      </c>
      <c r="G97" s="79"/>
      <c r="H97" s="39"/>
      <c r="I97" s="80" t="s">
        <v>22</v>
      </c>
      <c r="J97" s="39" t="s">
        <v>22</v>
      </c>
      <c r="K97" s="39"/>
      <c r="L97" s="39"/>
      <c r="M97" s="39"/>
      <c r="N97" s="39"/>
      <c r="O97" s="39"/>
      <c r="P97" s="80"/>
    </row>
    <row r="98">
      <c r="A98" s="54">
        <v>113.0</v>
      </c>
      <c r="B98" s="89" t="s">
        <v>318</v>
      </c>
      <c r="C98" s="89" t="s">
        <v>759</v>
      </c>
      <c r="D98" s="54">
        <v>0.002</v>
      </c>
      <c r="E98" s="90" t="s">
        <v>21</v>
      </c>
      <c r="F98" s="89" t="s">
        <v>20</v>
      </c>
      <c r="G98" s="79" t="s">
        <v>22</v>
      </c>
      <c r="H98" s="39"/>
      <c r="I98" s="80"/>
      <c r="J98" s="39"/>
      <c r="K98" s="39" t="s">
        <v>22</v>
      </c>
      <c r="L98" s="39"/>
      <c r="M98" s="39"/>
      <c r="N98" s="39"/>
      <c r="O98" s="39"/>
      <c r="P98" s="80"/>
    </row>
    <row r="99">
      <c r="A99" s="54">
        <v>114.0</v>
      </c>
      <c r="B99" s="89" t="s">
        <v>321</v>
      </c>
      <c r="C99" s="89" t="s">
        <v>760</v>
      </c>
      <c r="D99" s="54">
        <v>0.025</v>
      </c>
      <c r="E99" s="90" t="s">
        <v>26</v>
      </c>
      <c r="F99" s="89" t="s">
        <v>20</v>
      </c>
      <c r="G99" s="79"/>
      <c r="H99" s="39" t="s">
        <v>22</v>
      </c>
      <c r="I99" s="80"/>
      <c r="J99" s="39"/>
      <c r="K99" s="39"/>
      <c r="L99" s="39"/>
      <c r="M99" s="39"/>
      <c r="N99" s="39"/>
      <c r="O99" s="39" t="s">
        <v>22</v>
      </c>
      <c r="P99" s="80"/>
    </row>
    <row r="100">
      <c r="A100" s="93">
        <v>115.0</v>
      </c>
      <c r="B100" s="89" t="s">
        <v>325</v>
      </c>
      <c r="C100" s="89" t="s">
        <v>762</v>
      </c>
      <c r="D100" s="54">
        <v>0.979</v>
      </c>
      <c r="E100" s="90" t="s">
        <v>26</v>
      </c>
      <c r="F100" s="89" t="s">
        <v>21</v>
      </c>
      <c r="G100" s="79"/>
      <c r="H100" s="39" t="s">
        <v>22</v>
      </c>
      <c r="I100" s="80"/>
      <c r="J100" s="39"/>
      <c r="K100" s="39"/>
      <c r="L100" s="39"/>
      <c r="M100" s="39"/>
      <c r="N100" s="39" t="s">
        <v>22</v>
      </c>
      <c r="O100" s="39" t="s">
        <v>22</v>
      </c>
      <c r="P100" s="80"/>
    </row>
    <row r="101">
      <c r="A101" s="93">
        <v>116.0</v>
      </c>
      <c r="B101" s="89" t="s">
        <v>329</v>
      </c>
      <c r="C101" s="89" t="s">
        <v>763</v>
      </c>
      <c r="D101" s="54">
        <v>0.611</v>
      </c>
      <c r="E101" s="90" t="s">
        <v>26</v>
      </c>
      <c r="F101" s="89" t="s">
        <v>21</v>
      </c>
      <c r="G101" s="79"/>
      <c r="H101" s="39" t="s">
        <v>22</v>
      </c>
      <c r="I101" s="80"/>
      <c r="J101" s="39"/>
      <c r="K101" s="39"/>
      <c r="L101" s="39"/>
      <c r="M101" s="39"/>
      <c r="N101" s="39" t="s">
        <v>22</v>
      </c>
      <c r="O101" s="39" t="s">
        <v>22</v>
      </c>
      <c r="P101" s="80"/>
    </row>
    <row r="102">
      <c r="A102" s="93">
        <v>117.0</v>
      </c>
      <c r="B102" s="89" t="s">
        <v>333</v>
      </c>
      <c r="C102" s="89" t="s">
        <v>764</v>
      </c>
      <c r="D102" s="54">
        <v>0.006</v>
      </c>
      <c r="E102" s="90" t="s">
        <v>26</v>
      </c>
      <c r="F102" s="89" t="s">
        <v>20</v>
      </c>
      <c r="G102" s="79"/>
      <c r="H102" s="39" t="s">
        <v>22</v>
      </c>
      <c r="I102" s="80"/>
      <c r="J102" s="39"/>
      <c r="K102" s="39"/>
      <c r="L102" s="39"/>
      <c r="M102" s="39"/>
      <c r="N102" s="39"/>
      <c r="O102" s="39" t="s">
        <v>22</v>
      </c>
      <c r="P102" s="80"/>
    </row>
    <row r="103">
      <c r="A103" s="94">
        <v>118.0</v>
      </c>
      <c r="B103" s="95" t="s">
        <v>336</v>
      </c>
      <c r="C103" s="95" t="s">
        <v>765</v>
      </c>
      <c r="D103" s="76">
        <v>0.968</v>
      </c>
      <c r="E103" s="96" t="s">
        <v>26</v>
      </c>
      <c r="F103" s="95" t="s">
        <v>21</v>
      </c>
      <c r="G103" s="86"/>
      <c r="H103" s="85" t="s">
        <v>22</v>
      </c>
      <c r="I103" s="87"/>
      <c r="J103" s="85"/>
      <c r="K103" s="85"/>
      <c r="L103" s="85"/>
      <c r="M103" s="85"/>
      <c r="N103" s="85" t="s">
        <v>22</v>
      </c>
      <c r="O103" s="85" t="s">
        <v>22</v>
      </c>
      <c r="P103" s="87"/>
    </row>
    <row r="104">
      <c r="A104" s="39"/>
      <c r="B104" s="39"/>
      <c r="C104" s="39"/>
      <c r="D104" s="39"/>
      <c r="E104" s="39"/>
      <c r="F104" s="39"/>
      <c r="G104" s="39"/>
      <c r="H104" s="39"/>
      <c r="I104" s="39"/>
      <c r="J104" s="39"/>
      <c r="K104" s="39"/>
      <c r="L104" s="39"/>
      <c r="M104" s="39"/>
      <c r="N104" s="39"/>
      <c r="O104" s="39"/>
      <c r="P104" s="39"/>
    </row>
    <row r="105">
      <c r="A105" s="39"/>
      <c r="B105" s="39"/>
      <c r="C105" s="39"/>
      <c r="D105" s="39"/>
      <c r="E105" s="39"/>
      <c r="F105" s="39"/>
      <c r="G105" s="60">
        <f t="shared" ref="G105:O105" si="1">COUNTIF(G4:G103,"x")</f>
        <v>31</v>
      </c>
      <c r="H105" s="39">
        <f t="shared" si="1"/>
        <v>53</v>
      </c>
      <c r="I105" s="60">
        <f t="shared" si="1"/>
        <v>15</v>
      </c>
      <c r="J105" s="39">
        <f t="shared" si="1"/>
        <v>5</v>
      </c>
      <c r="K105" s="39">
        <f t="shared" si="1"/>
        <v>39</v>
      </c>
      <c r="L105" s="97">
        <f t="shared" si="1"/>
        <v>10</v>
      </c>
      <c r="M105" s="39">
        <f t="shared" si="1"/>
        <v>3</v>
      </c>
      <c r="N105" s="39">
        <f t="shared" si="1"/>
        <v>14</v>
      </c>
      <c r="O105" s="39">
        <f t="shared" si="1"/>
        <v>24</v>
      </c>
      <c r="P105" s="39"/>
    </row>
  </sheetData>
  <mergeCells count="3">
    <mergeCell ref="E2:F2"/>
    <mergeCell ref="G2:I2"/>
    <mergeCell ref="J2:O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sheetData>
    <row r="1">
      <c r="A1" s="39"/>
      <c r="B1" s="39"/>
      <c r="C1" s="39"/>
      <c r="D1" s="39"/>
      <c r="E1" s="79"/>
      <c r="F1" s="39"/>
      <c r="G1" s="79"/>
      <c r="H1" s="39"/>
      <c r="I1" s="80"/>
      <c r="J1" s="39"/>
      <c r="K1" s="39"/>
      <c r="L1" s="39"/>
      <c r="M1" s="39"/>
      <c r="N1" s="39"/>
      <c r="O1" s="39"/>
      <c r="P1" s="80"/>
    </row>
    <row r="2">
      <c r="A2" s="39"/>
      <c r="B2" s="81" t="s">
        <v>0</v>
      </c>
      <c r="C2" s="81" t="s">
        <v>1</v>
      </c>
      <c r="D2" s="81" t="s">
        <v>2</v>
      </c>
      <c r="E2" s="82" t="s">
        <v>3</v>
      </c>
      <c r="G2" s="82" t="s">
        <v>4</v>
      </c>
      <c r="I2" s="8"/>
      <c r="J2" s="83" t="s">
        <v>5</v>
      </c>
      <c r="P2" s="80"/>
    </row>
    <row r="3">
      <c r="A3" s="84" t="s">
        <v>6</v>
      </c>
      <c r="B3" s="85"/>
      <c r="C3" s="85"/>
      <c r="D3" s="85"/>
      <c r="E3" s="86" t="s">
        <v>7</v>
      </c>
      <c r="F3" s="85" t="s">
        <v>8</v>
      </c>
      <c r="G3" s="86" t="s">
        <v>7</v>
      </c>
      <c r="H3" s="85" t="s">
        <v>8</v>
      </c>
      <c r="I3" s="87" t="s">
        <v>9</v>
      </c>
      <c r="J3" s="85" t="s">
        <v>10</v>
      </c>
      <c r="K3" s="85" t="s">
        <v>11</v>
      </c>
      <c r="L3" s="85" t="s">
        <v>12</v>
      </c>
      <c r="M3" s="85" t="s">
        <v>13</v>
      </c>
      <c r="N3" s="85" t="s">
        <v>14</v>
      </c>
      <c r="O3" s="85" t="s">
        <v>15</v>
      </c>
      <c r="P3" s="88" t="s">
        <v>16</v>
      </c>
      <c r="Q3" s="98" t="s">
        <v>766</v>
      </c>
    </row>
    <row r="4">
      <c r="A4" s="54">
        <v>38.0</v>
      </c>
      <c r="B4" s="89" t="s">
        <v>130</v>
      </c>
      <c r="C4" s="89" t="s">
        <v>701</v>
      </c>
      <c r="D4" s="54">
        <v>0.121</v>
      </c>
      <c r="E4" s="90" t="s">
        <v>21</v>
      </c>
      <c r="F4" s="89" t="s">
        <v>20</v>
      </c>
      <c r="G4" s="79" t="s">
        <v>22</v>
      </c>
      <c r="H4" s="39"/>
      <c r="I4" s="80"/>
      <c r="J4" s="39"/>
      <c r="K4" s="39" t="s">
        <v>22</v>
      </c>
      <c r="L4" s="39"/>
      <c r="M4" s="39"/>
      <c r="N4" s="39"/>
      <c r="O4" s="39"/>
      <c r="P4" s="80"/>
      <c r="Q4" s="99">
        <f>random_key!A34</f>
        <v>0.00126792185</v>
      </c>
    </row>
    <row r="5">
      <c r="A5" s="54">
        <v>36.0</v>
      </c>
      <c r="B5" s="89" t="s">
        <v>125</v>
      </c>
      <c r="C5" s="89" t="s">
        <v>699</v>
      </c>
      <c r="D5" s="54">
        <v>0.137</v>
      </c>
      <c r="E5" s="90" t="s">
        <v>21</v>
      </c>
      <c r="F5" s="89" t="s">
        <v>20</v>
      </c>
      <c r="G5" s="79" t="s">
        <v>22</v>
      </c>
      <c r="H5" s="39"/>
      <c r="I5" s="80"/>
      <c r="J5" s="39"/>
      <c r="K5" s="39" t="s">
        <v>22</v>
      </c>
      <c r="L5" s="39"/>
      <c r="M5" s="39"/>
      <c r="N5" s="39"/>
      <c r="O5" s="39"/>
      <c r="P5" s="80"/>
      <c r="Q5" s="99">
        <f>random_key!A32</f>
        <v>0.014775109</v>
      </c>
    </row>
    <row r="6">
      <c r="A6" s="54">
        <v>92.0</v>
      </c>
      <c r="B6" s="89" t="s">
        <v>264</v>
      </c>
      <c r="C6" s="89" t="s">
        <v>743</v>
      </c>
      <c r="D6" s="54">
        <v>0.434</v>
      </c>
      <c r="E6" s="90" t="s">
        <v>20</v>
      </c>
      <c r="F6" s="89" t="s">
        <v>31</v>
      </c>
      <c r="G6" s="79"/>
      <c r="H6" s="39"/>
      <c r="I6" s="80" t="s">
        <v>22</v>
      </c>
      <c r="J6" s="39"/>
      <c r="K6" s="39"/>
      <c r="L6" s="39"/>
      <c r="M6" s="39"/>
      <c r="N6" s="39"/>
      <c r="O6" s="39"/>
      <c r="P6" s="80" t="s">
        <v>857</v>
      </c>
      <c r="Q6" s="99">
        <f>random_key!A78</f>
        <v>0.02361814938</v>
      </c>
    </row>
    <row r="7">
      <c r="A7" s="54">
        <v>25.0</v>
      </c>
      <c r="B7" s="89" t="s">
        <v>97</v>
      </c>
      <c r="C7" s="89" t="s">
        <v>688</v>
      </c>
      <c r="D7" s="54">
        <v>0.887</v>
      </c>
      <c r="E7" s="90" t="s">
        <v>20</v>
      </c>
      <c r="F7" s="89" t="s">
        <v>21</v>
      </c>
      <c r="G7" s="79"/>
      <c r="H7" s="39"/>
      <c r="I7" s="80" t="s">
        <v>22</v>
      </c>
      <c r="J7" s="39"/>
      <c r="K7" s="39" t="s">
        <v>22</v>
      </c>
      <c r="L7" s="39"/>
      <c r="M7" s="39"/>
      <c r="N7" s="39"/>
      <c r="O7" s="39"/>
      <c r="P7" s="80"/>
      <c r="Q7" s="99">
        <f>random_key!A24</f>
        <v>0.0411164938</v>
      </c>
    </row>
    <row r="8">
      <c r="A8" s="54">
        <v>70.0</v>
      </c>
      <c r="B8" s="89" t="s">
        <v>210</v>
      </c>
      <c r="C8" s="89" t="s">
        <v>728</v>
      </c>
      <c r="D8" s="54">
        <v>0.97</v>
      </c>
      <c r="E8" s="90" t="s">
        <v>31</v>
      </c>
      <c r="F8" s="89" t="s">
        <v>21</v>
      </c>
      <c r="G8" s="79"/>
      <c r="H8" s="39" t="s">
        <v>22</v>
      </c>
      <c r="I8" s="80"/>
      <c r="J8" s="39"/>
      <c r="K8" s="39"/>
      <c r="L8" s="39"/>
      <c r="M8" s="39"/>
      <c r="N8" s="39"/>
      <c r="O8" s="39" t="s">
        <v>22</v>
      </c>
      <c r="P8" s="80"/>
      <c r="Q8" s="99">
        <f>random_key!A60</f>
        <v>0.04241728525</v>
      </c>
    </row>
    <row r="9">
      <c r="A9" s="54">
        <v>34.0</v>
      </c>
      <c r="B9" s="89" t="s">
        <v>121</v>
      </c>
      <c r="C9" s="89" t="s">
        <v>697</v>
      </c>
      <c r="D9" s="54">
        <v>0.854</v>
      </c>
      <c r="E9" s="90" t="s">
        <v>20</v>
      </c>
      <c r="F9" s="89" t="s">
        <v>21</v>
      </c>
      <c r="G9" s="79"/>
      <c r="H9" s="39" t="s">
        <v>22</v>
      </c>
      <c r="I9" s="80"/>
      <c r="J9" s="39"/>
      <c r="K9" s="39" t="s">
        <v>22</v>
      </c>
      <c r="L9" s="39"/>
      <c r="M9" s="39"/>
      <c r="N9" s="39"/>
      <c r="O9" s="39"/>
      <c r="P9" s="80"/>
      <c r="Q9" s="99">
        <f>random_key!A31</f>
        <v>0.04729217204</v>
      </c>
    </row>
    <row r="10">
      <c r="A10" s="54">
        <v>64.0</v>
      </c>
      <c r="B10" s="89" t="s">
        <v>199</v>
      </c>
      <c r="C10" s="89" t="s">
        <v>724</v>
      </c>
      <c r="D10" s="54">
        <v>0.901</v>
      </c>
      <c r="E10" s="90" t="s">
        <v>20</v>
      </c>
      <c r="F10" s="89" t="s">
        <v>21</v>
      </c>
      <c r="G10" s="79"/>
      <c r="H10" s="39" t="s">
        <v>22</v>
      </c>
      <c r="I10" s="80"/>
      <c r="J10" s="39"/>
      <c r="K10" s="39"/>
      <c r="L10" s="39"/>
      <c r="M10" s="39"/>
      <c r="N10" s="39" t="s">
        <v>22</v>
      </c>
      <c r="O10" s="39"/>
      <c r="P10" s="80"/>
      <c r="Q10" s="99">
        <f>random_key!A56</f>
        <v>0.07656247635</v>
      </c>
    </row>
    <row r="11">
      <c r="A11" s="54">
        <v>16.0</v>
      </c>
      <c r="B11" s="89" t="s">
        <v>68</v>
      </c>
      <c r="C11" s="89" t="s">
        <v>678</v>
      </c>
      <c r="D11" s="54">
        <v>0.742</v>
      </c>
      <c r="E11" s="90" t="s">
        <v>20</v>
      </c>
      <c r="F11" s="89" t="s">
        <v>21</v>
      </c>
      <c r="G11" s="79"/>
      <c r="H11" s="39" t="s">
        <v>22</v>
      </c>
      <c r="I11" s="80"/>
      <c r="J11" s="39"/>
      <c r="K11" s="39"/>
      <c r="L11" s="39"/>
      <c r="M11" s="39"/>
      <c r="N11" s="39" t="s">
        <v>22</v>
      </c>
      <c r="O11" s="39"/>
      <c r="P11" s="80"/>
      <c r="Q11" s="99">
        <f>random_key!A15</f>
        <v>0.0980610577</v>
      </c>
    </row>
    <row r="12">
      <c r="A12" s="54">
        <v>59.0</v>
      </c>
      <c r="B12" s="89" t="s">
        <v>188</v>
      </c>
      <c r="C12" s="89" t="s">
        <v>720</v>
      </c>
      <c r="D12" s="54">
        <v>0.834</v>
      </c>
      <c r="E12" s="90" t="s">
        <v>20</v>
      </c>
      <c r="F12" s="89" t="s">
        <v>21</v>
      </c>
      <c r="G12" s="79"/>
      <c r="H12" s="39" t="s">
        <v>22</v>
      </c>
      <c r="I12" s="80"/>
      <c r="J12" s="39"/>
      <c r="K12" s="39"/>
      <c r="L12" s="39"/>
      <c r="M12" s="39"/>
      <c r="N12" s="39" t="s">
        <v>22</v>
      </c>
      <c r="O12" s="39"/>
      <c r="P12" s="80"/>
      <c r="Q12" s="99">
        <f>random_key!A52</f>
        <v>0.1163449744</v>
      </c>
    </row>
    <row r="13">
      <c r="A13" s="54">
        <v>110.0</v>
      </c>
      <c r="B13" s="89" t="s">
        <v>310</v>
      </c>
      <c r="C13" s="89" t="s">
        <v>757</v>
      </c>
      <c r="D13" s="54">
        <v>0.035</v>
      </c>
      <c r="E13" s="90" t="s">
        <v>21</v>
      </c>
      <c r="F13" s="89" t="s">
        <v>20</v>
      </c>
      <c r="G13" s="79"/>
      <c r="H13" s="39"/>
      <c r="I13" s="80"/>
      <c r="J13" s="39"/>
      <c r="K13" s="39"/>
      <c r="L13" s="39"/>
      <c r="M13" s="39"/>
      <c r="N13" s="39"/>
      <c r="O13" s="39"/>
      <c r="P13" s="80"/>
      <c r="Q13" s="99">
        <f>random_key!A92</f>
        <v>0.1176876676</v>
      </c>
    </row>
    <row r="14">
      <c r="A14" s="54">
        <v>41.0</v>
      </c>
      <c r="B14" s="89" t="s">
        <v>135</v>
      </c>
      <c r="C14" s="89" t="s">
        <v>702</v>
      </c>
      <c r="D14" s="54">
        <v>0.061</v>
      </c>
      <c r="E14" s="90" t="s">
        <v>21</v>
      </c>
      <c r="F14" s="89" t="s">
        <v>31</v>
      </c>
      <c r="G14" s="79"/>
      <c r="H14" s="39"/>
      <c r="I14" s="80" t="s">
        <v>22</v>
      </c>
      <c r="J14" s="39"/>
      <c r="K14" s="39"/>
      <c r="L14" s="39" t="s">
        <v>22</v>
      </c>
      <c r="M14" s="39"/>
      <c r="N14" s="39"/>
      <c r="O14" s="39"/>
      <c r="P14" s="80"/>
      <c r="Q14" s="99">
        <f>random_key!A36</f>
        <v>0.1197756392</v>
      </c>
    </row>
    <row r="15">
      <c r="A15" s="54">
        <v>103.0</v>
      </c>
      <c r="B15" s="89" t="s">
        <v>292</v>
      </c>
      <c r="C15" s="89" t="s">
        <v>752</v>
      </c>
      <c r="D15" s="54">
        <v>0.082</v>
      </c>
      <c r="E15" s="90" t="s">
        <v>21</v>
      </c>
      <c r="F15" s="89" t="s">
        <v>31</v>
      </c>
      <c r="G15" s="79"/>
      <c r="H15" s="39" t="s">
        <v>22</v>
      </c>
      <c r="I15" s="80"/>
      <c r="J15" s="39"/>
      <c r="K15" s="39"/>
      <c r="L15" s="39"/>
      <c r="M15" s="39"/>
      <c r="N15" s="39"/>
      <c r="O15" s="39"/>
      <c r="P15" s="80" t="s">
        <v>858</v>
      </c>
      <c r="Q15" s="99">
        <f>random_key!A87</f>
        <v>0.1801476423</v>
      </c>
    </row>
    <row r="16">
      <c r="A16" s="54">
        <v>10.0</v>
      </c>
      <c r="B16" s="89" t="s">
        <v>49</v>
      </c>
      <c r="C16" s="89" t="s">
        <v>671</v>
      </c>
      <c r="D16" s="54">
        <v>0.049</v>
      </c>
      <c r="E16" s="90" t="s">
        <v>21</v>
      </c>
      <c r="F16" s="89" t="s">
        <v>20</v>
      </c>
      <c r="G16" s="79" t="s">
        <v>22</v>
      </c>
      <c r="H16" s="39"/>
      <c r="I16" s="80"/>
      <c r="J16" s="39"/>
      <c r="K16" s="39" t="s">
        <v>22</v>
      </c>
      <c r="L16" s="39"/>
      <c r="M16" s="39"/>
      <c r="N16" s="39"/>
      <c r="O16" s="39"/>
      <c r="P16" s="80"/>
      <c r="Q16" s="99">
        <f>random_key!A9</f>
        <v>0.1930796601</v>
      </c>
    </row>
    <row r="17">
      <c r="A17" s="54">
        <v>8.0</v>
      </c>
      <c r="B17" s="89" t="s">
        <v>43</v>
      </c>
      <c r="C17" s="89" t="s">
        <v>669</v>
      </c>
      <c r="D17" s="54">
        <v>0.033</v>
      </c>
      <c r="E17" s="90" t="s">
        <v>21</v>
      </c>
      <c r="F17" s="89" t="s">
        <v>20</v>
      </c>
      <c r="G17" s="79" t="s">
        <v>22</v>
      </c>
      <c r="H17" s="39"/>
      <c r="I17" s="80"/>
      <c r="J17" s="39"/>
      <c r="K17" s="39" t="s">
        <v>22</v>
      </c>
      <c r="L17" s="39"/>
      <c r="M17" s="39"/>
      <c r="N17" s="39"/>
      <c r="O17" s="39"/>
      <c r="P17" s="80"/>
      <c r="Q17" s="99">
        <f>random_key!A7</f>
        <v>0.2005901691</v>
      </c>
    </row>
    <row r="18">
      <c r="A18" s="54">
        <v>15.0</v>
      </c>
      <c r="B18" s="89" t="s">
        <v>66</v>
      </c>
      <c r="C18" s="89" t="s">
        <v>677</v>
      </c>
      <c r="D18" s="54">
        <v>0.047</v>
      </c>
      <c r="E18" s="90" t="s">
        <v>21</v>
      </c>
      <c r="F18" s="89" t="s">
        <v>20</v>
      </c>
      <c r="G18" s="79" t="s">
        <v>22</v>
      </c>
      <c r="H18" s="39"/>
      <c r="I18" s="80"/>
      <c r="J18" s="39"/>
      <c r="K18" s="39" t="s">
        <v>22</v>
      </c>
      <c r="L18" s="39"/>
      <c r="M18" s="39"/>
      <c r="N18" s="39"/>
      <c r="O18" s="39"/>
      <c r="P18" s="80"/>
      <c r="Q18" s="99">
        <f>random_key!A14</f>
        <v>0.2045792564</v>
      </c>
    </row>
    <row r="19">
      <c r="A19" s="54">
        <v>56.0</v>
      </c>
      <c r="B19" s="89" t="s">
        <v>178</v>
      </c>
      <c r="C19" s="89" t="s">
        <v>717</v>
      </c>
      <c r="D19" s="54">
        <v>0.01</v>
      </c>
      <c r="E19" s="90" t="s">
        <v>20</v>
      </c>
      <c r="F19" s="89" t="s">
        <v>26</v>
      </c>
      <c r="G19" s="79"/>
      <c r="H19" s="39" t="s">
        <v>22</v>
      </c>
      <c r="I19" s="80"/>
      <c r="J19" s="39"/>
      <c r="K19" s="39"/>
      <c r="L19" s="39"/>
      <c r="M19" s="39" t="s">
        <v>22</v>
      </c>
      <c r="N19" s="39"/>
      <c r="O19" s="39"/>
      <c r="P19" s="80"/>
      <c r="Q19" s="99">
        <f>random_key!A49</f>
        <v>0.2046791854</v>
      </c>
    </row>
    <row r="20">
      <c r="A20" s="54">
        <v>83.0</v>
      </c>
      <c r="B20" s="89" t="s">
        <v>248</v>
      </c>
      <c r="C20" s="89" t="s">
        <v>739</v>
      </c>
      <c r="D20" s="54">
        <v>0.873</v>
      </c>
      <c r="E20" s="90" t="s">
        <v>20</v>
      </c>
      <c r="F20" s="89" t="s">
        <v>21</v>
      </c>
      <c r="G20" s="79"/>
      <c r="H20" s="39"/>
      <c r="I20" s="80" t="s">
        <v>22</v>
      </c>
      <c r="J20" s="39"/>
      <c r="K20" s="39" t="s">
        <v>22</v>
      </c>
      <c r="L20" s="39"/>
      <c r="M20" s="39"/>
      <c r="N20" s="39"/>
      <c r="O20" s="39"/>
      <c r="P20" s="80"/>
      <c r="Q20" s="99">
        <f>random_key!A73</f>
        <v>0.2060904439</v>
      </c>
    </row>
    <row r="21">
      <c r="A21" s="54">
        <v>107.0</v>
      </c>
      <c r="B21" s="89" t="s">
        <v>307</v>
      </c>
      <c r="C21" s="89" t="s">
        <v>756</v>
      </c>
      <c r="D21" s="54">
        <v>0.624</v>
      </c>
      <c r="E21" s="90" t="s">
        <v>20</v>
      </c>
      <c r="F21" s="89" t="s">
        <v>21</v>
      </c>
      <c r="G21" s="79"/>
      <c r="H21" s="39" t="s">
        <v>22</v>
      </c>
      <c r="I21" s="80"/>
      <c r="J21" s="39"/>
      <c r="K21" s="39"/>
      <c r="L21" s="39" t="s">
        <v>22</v>
      </c>
      <c r="M21" s="39"/>
      <c r="N21" s="39"/>
      <c r="O21" s="39"/>
      <c r="P21" s="80"/>
      <c r="Q21" s="99">
        <f>random_key!A91</f>
        <v>0.208460173</v>
      </c>
    </row>
    <row r="22">
      <c r="A22" s="54">
        <v>54.0</v>
      </c>
      <c r="B22" s="89" t="s">
        <v>173</v>
      </c>
      <c r="C22" s="89" t="s">
        <v>715</v>
      </c>
      <c r="D22" s="54">
        <v>0.943</v>
      </c>
      <c r="E22" s="90" t="s">
        <v>20</v>
      </c>
      <c r="F22" s="89" t="s">
        <v>21</v>
      </c>
      <c r="G22" s="79"/>
      <c r="H22" s="39" t="s">
        <v>22</v>
      </c>
      <c r="I22" s="80"/>
      <c r="J22" s="39"/>
      <c r="K22" s="39"/>
      <c r="L22" s="39" t="s">
        <v>22</v>
      </c>
      <c r="M22" s="39"/>
      <c r="N22" s="39"/>
      <c r="O22" s="39"/>
      <c r="P22" s="80"/>
      <c r="Q22" s="99">
        <f>random_key!A47</f>
        <v>0.2140410334</v>
      </c>
    </row>
    <row r="23">
      <c r="A23" s="54">
        <v>98.0</v>
      </c>
      <c r="B23" s="89" t="s">
        <v>277</v>
      </c>
      <c r="C23" s="89" t="s">
        <v>746</v>
      </c>
      <c r="D23" s="54">
        <v>0.147</v>
      </c>
      <c r="E23" s="90" t="s">
        <v>21</v>
      </c>
      <c r="F23" s="89" t="s">
        <v>20</v>
      </c>
      <c r="G23" s="79" t="s">
        <v>22</v>
      </c>
      <c r="H23" s="39"/>
      <c r="I23" s="80"/>
      <c r="J23" s="39"/>
      <c r="K23" s="39" t="s">
        <v>22</v>
      </c>
      <c r="L23" s="39"/>
      <c r="M23" s="39"/>
      <c r="N23" s="39"/>
      <c r="O23" s="39"/>
      <c r="P23" s="80"/>
      <c r="Q23" s="99">
        <f>random_key!A82</f>
        <v>0.2217316316</v>
      </c>
    </row>
    <row r="24">
      <c r="A24" s="54">
        <v>20.0</v>
      </c>
      <c r="B24" s="89" t="s">
        <v>81</v>
      </c>
      <c r="C24" s="89" t="s">
        <v>673</v>
      </c>
      <c r="D24" s="54">
        <v>0.977</v>
      </c>
      <c r="E24" s="90" t="s">
        <v>31</v>
      </c>
      <c r="F24" s="89" t="s">
        <v>21</v>
      </c>
      <c r="G24" s="79"/>
      <c r="H24" s="39" t="s">
        <v>22</v>
      </c>
      <c r="I24" s="80"/>
      <c r="J24" s="39"/>
      <c r="K24" s="39"/>
      <c r="L24" s="39"/>
      <c r="M24" s="39"/>
      <c r="N24" s="39"/>
      <c r="O24" s="39" t="s">
        <v>22</v>
      </c>
      <c r="P24" s="80"/>
      <c r="Q24" s="99">
        <f>random_key!A19</f>
        <v>0.2255976227</v>
      </c>
    </row>
    <row r="25">
      <c r="A25" s="54">
        <v>18.0</v>
      </c>
      <c r="B25" s="89" t="s">
        <v>75</v>
      </c>
      <c r="C25" s="89" t="s">
        <v>680</v>
      </c>
      <c r="D25" s="54">
        <v>0.022</v>
      </c>
      <c r="E25" s="90" t="s">
        <v>21</v>
      </c>
      <c r="F25" s="89" t="s">
        <v>20</v>
      </c>
      <c r="G25" s="79" t="s">
        <v>22</v>
      </c>
      <c r="H25" s="39"/>
      <c r="I25" s="80"/>
      <c r="J25" s="39"/>
      <c r="K25" s="39" t="s">
        <v>22</v>
      </c>
      <c r="L25" s="39"/>
      <c r="M25" s="39"/>
      <c r="N25" s="39"/>
      <c r="O25" s="39"/>
      <c r="P25" s="80"/>
      <c r="Q25" s="99">
        <f>random_key!A17</f>
        <v>0.2359531103</v>
      </c>
    </row>
    <row r="26">
      <c r="A26" s="54">
        <v>31.0</v>
      </c>
      <c r="B26" s="89" t="s">
        <v>115</v>
      </c>
      <c r="C26" s="89" t="s">
        <v>695</v>
      </c>
      <c r="D26" s="54">
        <v>0.971</v>
      </c>
      <c r="E26" s="90" t="s">
        <v>31</v>
      </c>
      <c r="F26" s="89" t="s">
        <v>21</v>
      </c>
      <c r="G26" s="79"/>
      <c r="H26" s="39" t="s">
        <v>22</v>
      </c>
      <c r="I26" s="80"/>
      <c r="J26" s="39"/>
      <c r="K26" s="39"/>
      <c r="L26" s="39"/>
      <c r="M26" s="39"/>
      <c r="N26" s="39"/>
      <c r="O26" s="39" t="s">
        <v>22</v>
      </c>
      <c r="P26" s="80"/>
      <c r="Q26" s="99">
        <f>random_key!A29</f>
        <v>0.2367282546</v>
      </c>
    </row>
    <row r="27">
      <c r="A27" s="54">
        <v>49.0</v>
      </c>
      <c r="B27" s="89" t="s">
        <v>162</v>
      </c>
      <c r="C27" s="89" t="s">
        <v>711</v>
      </c>
      <c r="D27" s="54">
        <v>0.594</v>
      </c>
      <c r="E27" s="90" t="s">
        <v>20</v>
      </c>
      <c r="F27" s="89" t="s">
        <v>21</v>
      </c>
      <c r="G27" s="79"/>
      <c r="H27" s="39"/>
      <c r="I27" s="80" t="s">
        <v>22</v>
      </c>
      <c r="J27" s="39"/>
      <c r="K27" s="39" t="s">
        <v>22</v>
      </c>
      <c r="L27" s="39"/>
      <c r="M27" s="39"/>
      <c r="N27" s="39"/>
      <c r="O27" s="39"/>
      <c r="P27" s="80"/>
      <c r="Q27" s="99">
        <f>random_key!A44</f>
        <v>0.2390760191</v>
      </c>
    </row>
    <row r="28">
      <c r="A28" s="54">
        <v>46.0</v>
      </c>
      <c r="B28" s="89" t="s">
        <v>153</v>
      </c>
      <c r="C28" s="89" t="s">
        <v>708</v>
      </c>
      <c r="D28" s="54">
        <v>0.047</v>
      </c>
      <c r="E28" s="90" t="s">
        <v>21</v>
      </c>
      <c r="F28" s="89" t="s">
        <v>20</v>
      </c>
      <c r="G28" s="79" t="s">
        <v>22</v>
      </c>
      <c r="H28" s="39"/>
      <c r="I28" s="80"/>
      <c r="J28" s="39"/>
      <c r="K28" s="39" t="s">
        <v>22</v>
      </c>
      <c r="L28" s="39"/>
      <c r="M28" s="39"/>
      <c r="N28" s="39"/>
      <c r="O28" s="39"/>
      <c r="P28" s="80"/>
      <c r="Q28" s="99">
        <f>random_key!A41</f>
        <v>0.2504741674</v>
      </c>
    </row>
    <row r="29">
      <c r="A29" s="54">
        <v>21.0</v>
      </c>
      <c r="B29" s="89" t="s">
        <v>83</v>
      </c>
      <c r="C29" s="89" t="s">
        <v>682</v>
      </c>
      <c r="D29" s="54">
        <v>0.984</v>
      </c>
      <c r="E29" s="90" t="s">
        <v>20</v>
      </c>
      <c r="F29" s="89" t="s">
        <v>21</v>
      </c>
      <c r="G29" s="79"/>
      <c r="H29" s="39" t="s">
        <v>22</v>
      </c>
      <c r="I29" s="80"/>
      <c r="J29" s="39"/>
      <c r="K29" s="39"/>
      <c r="L29" s="39"/>
      <c r="M29" s="39"/>
      <c r="N29" s="39" t="s">
        <v>22</v>
      </c>
      <c r="O29" s="39"/>
      <c r="P29" s="80"/>
      <c r="Q29" s="99">
        <f>random_key!A20</f>
        <v>0.2628754448</v>
      </c>
    </row>
    <row r="30">
      <c r="A30" s="54">
        <v>101.0</v>
      </c>
      <c r="B30" s="89" t="s">
        <v>286</v>
      </c>
      <c r="C30" s="89" t="s">
        <v>749</v>
      </c>
      <c r="D30" s="54">
        <v>0.913</v>
      </c>
      <c r="E30" s="90" t="s">
        <v>31</v>
      </c>
      <c r="F30" s="89" t="s">
        <v>21</v>
      </c>
      <c r="G30" s="79"/>
      <c r="H30" s="39" t="s">
        <v>22</v>
      </c>
      <c r="I30" s="80"/>
      <c r="J30" s="39"/>
      <c r="K30" s="39"/>
      <c r="L30" s="39"/>
      <c r="M30" s="39"/>
      <c r="N30" s="39"/>
      <c r="O30" s="39" t="s">
        <v>22</v>
      </c>
      <c r="P30" s="80"/>
      <c r="Q30" s="99">
        <f>random_key!A85</f>
        <v>0.2733204148</v>
      </c>
    </row>
    <row r="31">
      <c r="A31" s="54">
        <v>81.0</v>
      </c>
      <c r="B31" s="89" t="s">
        <v>240</v>
      </c>
      <c r="C31" s="89" t="s">
        <v>737</v>
      </c>
      <c r="D31" s="54">
        <v>0.652</v>
      </c>
      <c r="E31" s="90" t="s">
        <v>20</v>
      </c>
      <c r="F31" s="89" t="s">
        <v>21</v>
      </c>
      <c r="G31" s="79"/>
      <c r="H31" s="39" t="s">
        <v>22</v>
      </c>
      <c r="I31" s="80"/>
      <c r="J31" s="39"/>
      <c r="K31" s="39"/>
      <c r="L31" s="39" t="s">
        <v>22</v>
      </c>
      <c r="M31" s="39"/>
      <c r="N31" s="39"/>
      <c r="O31" s="39"/>
      <c r="P31" s="80"/>
      <c r="Q31" s="99">
        <f>random_key!A71</f>
        <v>0.278433439</v>
      </c>
    </row>
    <row r="32">
      <c r="A32" s="54">
        <v>104.0</v>
      </c>
      <c r="B32" s="89" t="s">
        <v>296</v>
      </c>
      <c r="C32" s="89" t="s">
        <v>753</v>
      </c>
      <c r="D32" s="54">
        <v>0.874</v>
      </c>
      <c r="E32" s="90" t="s">
        <v>20</v>
      </c>
      <c r="F32" s="89" t="s">
        <v>21</v>
      </c>
      <c r="G32" s="79" t="s">
        <v>22</v>
      </c>
      <c r="H32" s="39"/>
      <c r="I32" s="80"/>
      <c r="J32" s="39" t="s">
        <v>22</v>
      </c>
      <c r="K32" s="39"/>
      <c r="L32" s="39"/>
      <c r="M32" s="39"/>
      <c r="N32" s="39"/>
      <c r="O32" s="39"/>
      <c r="P32" s="80"/>
      <c r="Q32" s="99">
        <f>random_key!A88</f>
        <v>0.2798860334</v>
      </c>
    </row>
    <row r="33">
      <c r="A33" s="54">
        <v>42.0</v>
      </c>
      <c r="B33" s="89" t="s">
        <v>139</v>
      </c>
      <c r="C33" s="89" t="s">
        <v>703</v>
      </c>
      <c r="D33" s="54">
        <v>0.895</v>
      </c>
      <c r="E33" s="90" t="s">
        <v>31</v>
      </c>
      <c r="F33" s="89" t="s">
        <v>21</v>
      </c>
      <c r="G33" s="79"/>
      <c r="H33" s="39" t="s">
        <v>22</v>
      </c>
      <c r="I33" s="80"/>
      <c r="J33" s="39"/>
      <c r="K33" s="39"/>
      <c r="L33" s="39"/>
      <c r="M33" s="39"/>
      <c r="N33" s="39"/>
      <c r="O33" s="39" t="s">
        <v>22</v>
      </c>
      <c r="P33" s="80"/>
      <c r="Q33" s="99">
        <f>random_key!A37</f>
        <v>0.2853436585</v>
      </c>
    </row>
    <row r="34">
      <c r="A34" s="54">
        <v>3.0</v>
      </c>
      <c r="B34" s="89" t="s">
        <v>23</v>
      </c>
      <c r="C34" s="89" t="s">
        <v>663</v>
      </c>
      <c r="D34" s="54">
        <v>0.004</v>
      </c>
      <c r="E34" s="90" t="s">
        <v>20</v>
      </c>
      <c r="F34" s="89" t="s">
        <v>26</v>
      </c>
      <c r="G34" s="79"/>
      <c r="H34" s="39" t="s">
        <v>22</v>
      </c>
      <c r="I34" s="80"/>
      <c r="J34" s="39"/>
      <c r="K34" s="39"/>
      <c r="L34" s="39"/>
      <c r="M34" s="39"/>
      <c r="N34" s="39"/>
      <c r="O34" s="39"/>
      <c r="P34" s="80" t="s">
        <v>852</v>
      </c>
      <c r="Q34" s="99">
        <f>random_key!A2</f>
        <v>0.3018055165</v>
      </c>
    </row>
    <row r="35">
      <c r="A35" s="93">
        <v>116.0</v>
      </c>
      <c r="B35" s="89" t="s">
        <v>329</v>
      </c>
      <c r="C35" s="89" t="s">
        <v>763</v>
      </c>
      <c r="D35" s="54">
        <v>0.611</v>
      </c>
      <c r="E35" s="90" t="s">
        <v>26</v>
      </c>
      <c r="F35" s="89" t="s">
        <v>21</v>
      </c>
      <c r="G35" s="79"/>
      <c r="H35" s="39" t="s">
        <v>22</v>
      </c>
      <c r="I35" s="80"/>
      <c r="J35" s="39"/>
      <c r="K35" s="39"/>
      <c r="L35" s="39"/>
      <c r="M35" s="39"/>
      <c r="N35" s="39" t="s">
        <v>22</v>
      </c>
      <c r="O35" s="39" t="s">
        <v>22</v>
      </c>
      <c r="P35" s="80"/>
      <c r="Q35" s="99">
        <f>random_key!A98</f>
        <v>0.340759892</v>
      </c>
    </row>
    <row r="36">
      <c r="A36" s="54">
        <v>27.0</v>
      </c>
      <c r="B36" s="89" t="s">
        <v>101</v>
      </c>
      <c r="C36" s="89" t="s">
        <v>690</v>
      </c>
      <c r="D36" s="54">
        <v>0.717</v>
      </c>
      <c r="E36" s="90" t="s">
        <v>20</v>
      </c>
      <c r="F36" s="89" t="s">
        <v>21</v>
      </c>
      <c r="G36" s="79"/>
      <c r="H36" s="39" t="s">
        <v>22</v>
      </c>
      <c r="I36" s="80"/>
      <c r="J36" s="39"/>
      <c r="K36" s="39" t="s">
        <v>22</v>
      </c>
      <c r="L36" s="39"/>
      <c r="M36" s="39"/>
      <c r="N36" s="39"/>
      <c r="O36" s="39"/>
      <c r="P36" s="80"/>
      <c r="Q36" s="99">
        <f>random_key!A25</f>
        <v>0.3472535053</v>
      </c>
    </row>
    <row r="37">
      <c r="A37" s="54">
        <v>51.0</v>
      </c>
      <c r="B37" s="89" t="s">
        <v>166</v>
      </c>
      <c r="C37" s="89" t="s">
        <v>713</v>
      </c>
      <c r="D37" s="54">
        <v>0.346</v>
      </c>
      <c r="E37" s="90" t="s">
        <v>21</v>
      </c>
      <c r="F37" s="89" t="s">
        <v>31</v>
      </c>
      <c r="G37" s="79" t="s">
        <v>22</v>
      </c>
      <c r="H37" s="39"/>
      <c r="I37" s="80"/>
      <c r="J37" s="39"/>
      <c r="K37" s="39"/>
      <c r="L37" s="39"/>
      <c r="M37" s="39"/>
      <c r="N37" s="39"/>
      <c r="O37" s="39" t="s">
        <v>22</v>
      </c>
      <c r="P37" s="80"/>
      <c r="Q37" s="99">
        <f>random_key!A45</f>
        <v>0.3495666817</v>
      </c>
    </row>
    <row r="38">
      <c r="A38" s="54">
        <v>7.0</v>
      </c>
      <c r="B38" s="89" t="s">
        <v>40</v>
      </c>
      <c r="C38" s="89" t="s">
        <v>668</v>
      </c>
      <c r="D38" s="54">
        <v>0.047</v>
      </c>
      <c r="E38" s="90" t="s">
        <v>21</v>
      </c>
      <c r="F38" s="89" t="s">
        <v>20</v>
      </c>
      <c r="G38" s="79" t="s">
        <v>22</v>
      </c>
      <c r="H38" s="39"/>
      <c r="I38" s="80"/>
      <c r="J38" s="39"/>
      <c r="K38" s="39" t="s">
        <v>22</v>
      </c>
      <c r="L38" s="39"/>
      <c r="M38" s="39"/>
      <c r="N38" s="39"/>
      <c r="O38" s="39"/>
      <c r="P38" s="80"/>
      <c r="Q38" s="99">
        <f>random_key!A6</f>
        <v>0.3538941995</v>
      </c>
    </row>
    <row r="39">
      <c r="A39" s="54">
        <v>94.0</v>
      </c>
      <c r="B39" s="89" t="s">
        <v>268</v>
      </c>
      <c r="C39" s="89" t="s">
        <v>744</v>
      </c>
      <c r="D39" s="54">
        <v>0.932</v>
      </c>
      <c r="E39" s="90" t="s">
        <v>20</v>
      </c>
      <c r="F39" s="89" t="s">
        <v>21</v>
      </c>
      <c r="G39" s="79"/>
      <c r="H39" s="39"/>
      <c r="I39" s="92" t="s">
        <v>22</v>
      </c>
      <c r="J39" s="39"/>
      <c r="K39" s="39" t="s">
        <v>22</v>
      </c>
      <c r="L39" s="39"/>
      <c r="M39" s="39"/>
      <c r="N39" s="39"/>
      <c r="O39" s="39"/>
      <c r="P39" s="80"/>
      <c r="Q39" s="99">
        <f>random_key!A79</f>
        <v>0.4195941883</v>
      </c>
    </row>
    <row r="40">
      <c r="A40" s="54">
        <v>6.0</v>
      </c>
      <c r="B40" s="89" t="s">
        <v>36</v>
      </c>
      <c r="C40" s="89" t="s">
        <v>666</v>
      </c>
      <c r="D40" s="54">
        <v>0.913</v>
      </c>
      <c r="E40" s="90" t="s">
        <v>20</v>
      </c>
      <c r="F40" s="89" t="s">
        <v>21</v>
      </c>
      <c r="G40" s="79"/>
      <c r="H40" s="39"/>
      <c r="I40" s="80" t="s">
        <v>22</v>
      </c>
      <c r="J40" s="39"/>
      <c r="K40" s="39" t="s">
        <v>22</v>
      </c>
      <c r="L40" s="39"/>
      <c r="M40" s="39"/>
      <c r="N40" s="39"/>
      <c r="O40" s="39"/>
      <c r="P40" s="80"/>
      <c r="Q40" s="99">
        <f>random_key!A5</f>
        <v>0.4200862284</v>
      </c>
    </row>
    <row r="41">
      <c r="A41" s="54">
        <v>96.0</v>
      </c>
      <c r="B41" s="89" t="s">
        <v>273</v>
      </c>
      <c r="C41" s="89" t="s">
        <v>745</v>
      </c>
      <c r="D41" s="54">
        <v>0.054</v>
      </c>
      <c r="E41" s="90" t="s">
        <v>21</v>
      </c>
      <c r="F41" s="89" t="s">
        <v>20</v>
      </c>
      <c r="G41" s="79" t="s">
        <v>22</v>
      </c>
      <c r="H41" s="39"/>
      <c r="I41" s="80"/>
      <c r="J41" s="39"/>
      <c r="K41" s="39" t="s">
        <v>22</v>
      </c>
      <c r="L41" s="39"/>
      <c r="M41" s="39"/>
      <c r="N41" s="39"/>
      <c r="O41" s="39"/>
      <c r="P41" s="80"/>
      <c r="Q41" s="99">
        <f>random_key!A81</f>
        <v>0.4456763806</v>
      </c>
    </row>
    <row r="42">
      <c r="A42" s="54">
        <v>90.0</v>
      </c>
      <c r="B42" s="89" t="s">
        <v>257</v>
      </c>
      <c r="C42" s="89" t="s">
        <v>741</v>
      </c>
      <c r="D42" s="54">
        <v>0.0</v>
      </c>
      <c r="E42" s="90" t="s">
        <v>20</v>
      </c>
      <c r="F42" s="89" t="s">
        <v>26</v>
      </c>
      <c r="G42" s="79" t="s">
        <v>22</v>
      </c>
      <c r="H42" s="39"/>
      <c r="I42" s="80"/>
      <c r="J42" s="39"/>
      <c r="K42" s="39" t="s">
        <v>22</v>
      </c>
      <c r="L42" s="39"/>
      <c r="M42" s="39"/>
      <c r="N42" s="39"/>
      <c r="O42" s="39"/>
      <c r="P42" s="80"/>
      <c r="Q42" s="99">
        <f>random_key!A76</f>
        <v>0.4472647815</v>
      </c>
    </row>
    <row r="43">
      <c r="A43" s="54">
        <v>22.0</v>
      </c>
      <c r="B43" s="89" t="s">
        <v>86</v>
      </c>
      <c r="C43" s="89" t="s">
        <v>683</v>
      </c>
      <c r="D43" s="54">
        <v>0.005</v>
      </c>
      <c r="E43" s="90" t="s">
        <v>21</v>
      </c>
      <c r="F43" s="89" t="s">
        <v>31</v>
      </c>
      <c r="G43" s="79"/>
      <c r="H43" s="39"/>
      <c r="I43" s="80" t="s">
        <v>22</v>
      </c>
      <c r="J43" s="39"/>
      <c r="K43" s="39"/>
      <c r="L43" s="39"/>
      <c r="M43" s="39"/>
      <c r="N43" s="39"/>
      <c r="O43" s="39"/>
      <c r="P43" s="80" t="s">
        <v>853</v>
      </c>
      <c r="Q43" s="99">
        <f>random_key!A21</f>
        <v>0.4672776255</v>
      </c>
    </row>
    <row r="44">
      <c r="A44" s="54">
        <v>37.0</v>
      </c>
      <c r="B44" s="89" t="s">
        <v>128</v>
      </c>
      <c r="C44" s="89" t="s">
        <v>700</v>
      </c>
      <c r="D44" s="54">
        <v>0.003</v>
      </c>
      <c r="E44" s="90" t="s">
        <v>21</v>
      </c>
      <c r="F44" s="89" t="s">
        <v>20</v>
      </c>
      <c r="G44" s="79" t="s">
        <v>22</v>
      </c>
      <c r="H44" s="39"/>
      <c r="I44" s="80"/>
      <c r="J44" s="39"/>
      <c r="K44" s="39" t="s">
        <v>22</v>
      </c>
      <c r="L44" s="39"/>
      <c r="M44" s="39"/>
      <c r="N44" s="39"/>
      <c r="O44" s="39"/>
      <c r="P44" s="80"/>
      <c r="Q44" s="99">
        <f>random_key!A33</f>
        <v>0.48600759</v>
      </c>
    </row>
    <row r="45">
      <c r="A45" s="54">
        <v>69.0</v>
      </c>
      <c r="B45" s="89" t="s">
        <v>207</v>
      </c>
      <c r="C45" s="89" t="s">
        <v>727</v>
      </c>
      <c r="D45" s="54">
        <v>0.012</v>
      </c>
      <c r="E45" s="90" t="s">
        <v>21</v>
      </c>
      <c r="F45" s="89" t="s">
        <v>31</v>
      </c>
      <c r="G45" s="79"/>
      <c r="H45" s="39" t="s">
        <v>22</v>
      </c>
      <c r="I45" s="80"/>
      <c r="J45" s="39"/>
      <c r="K45" s="39"/>
      <c r="L45" s="39" t="s">
        <v>22</v>
      </c>
      <c r="M45" s="39"/>
      <c r="N45" s="39"/>
      <c r="O45" s="39"/>
      <c r="P45" s="80"/>
      <c r="Q45" s="99">
        <f>random_key!A59</f>
        <v>0.4909575479</v>
      </c>
    </row>
    <row r="46">
      <c r="A46" s="54">
        <v>47.0</v>
      </c>
      <c r="B46" s="89" t="s">
        <v>155</v>
      </c>
      <c r="C46" s="89" t="s">
        <v>709</v>
      </c>
      <c r="D46" s="54">
        <v>0.052</v>
      </c>
      <c r="E46" s="90" t="s">
        <v>21</v>
      </c>
      <c r="F46" s="89" t="s">
        <v>20</v>
      </c>
      <c r="G46" s="79" t="s">
        <v>22</v>
      </c>
      <c r="H46" s="39"/>
      <c r="I46" s="80"/>
      <c r="J46" s="39"/>
      <c r="K46" s="39" t="s">
        <v>22</v>
      </c>
      <c r="L46" s="39"/>
      <c r="M46" s="39"/>
      <c r="N46" s="39"/>
      <c r="O46" s="39"/>
      <c r="P46" s="80"/>
      <c r="Q46" s="99">
        <f>random_key!A42</f>
        <v>0.5062348543</v>
      </c>
    </row>
    <row r="47">
      <c r="A47" s="54">
        <v>43.0</v>
      </c>
      <c r="B47" s="89" t="s">
        <v>143</v>
      </c>
      <c r="C47" s="89" t="s">
        <v>705</v>
      </c>
      <c r="D47" s="54">
        <v>0.928</v>
      </c>
      <c r="E47" s="90" t="s">
        <v>20</v>
      </c>
      <c r="F47" s="89" t="s">
        <v>21</v>
      </c>
      <c r="G47" s="79"/>
      <c r="H47" s="39" t="s">
        <v>22</v>
      </c>
      <c r="I47" s="80"/>
      <c r="J47" s="39" t="s">
        <v>22</v>
      </c>
      <c r="K47" s="39"/>
      <c r="L47" s="39"/>
      <c r="M47" s="39"/>
      <c r="N47" s="39"/>
      <c r="O47" s="39"/>
      <c r="P47" s="80"/>
      <c r="Q47" s="99">
        <f>random_key!A38</f>
        <v>0.5320225834</v>
      </c>
    </row>
    <row r="48">
      <c r="A48" s="54">
        <v>66.0</v>
      </c>
      <c r="B48" s="89" t="s">
        <v>202</v>
      </c>
      <c r="C48" s="89" t="s">
        <v>725</v>
      </c>
      <c r="D48" s="54">
        <v>0.029</v>
      </c>
      <c r="E48" s="90" t="s">
        <v>21</v>
      </c>
      <c r="F48" s="89" t="s">
        <v>20</v>
      </c>
      <c r="G48" s="79" t="s">
        <v>22</v>
      </c>
      <c r="H48" s="39"/>
      <c r="I48" s="80"/>
      <c r="J48" s="39"/>
      <c r="K48" s="39" t="s">
        <v>22</v>
      </c>
      <c r="L48" s="39"/>
      <c r="M48" s="39"/>
      <c r="N48" s="39"/>
      <c r="O48" s="39"/>
      <c r="P48" s="80"/>
      <c r="Q48" s="99">
        <f>random_key!A57</f>
        <v>0.5392406636</v>
      </c>
    </row>
    <row r="49">
      <c r="A49" s="54">
        <v>113.0</v>
      </c>
      <c r="B49" s="89" t="s">
        <v>318</v>
      </c>
      <c r="C49" s="89" t="s">
        <v>759</v>
      </c>
      <c r="D49" s="54">
        <v>0.002</v>
      </c>
      <c r="E49" s="90" t="s">
        <v>21</v>
      </c>
      <c r="F49" s="89" t="s">
        <v>20</v>
      </c>
      <c r="G49" s="79" t="s">
        <v>22</v>
      </c>
      <c r="H49" s="39"/>
      <c r="I49" s="80"/>
      <c r="J49" s="39"/>
      <c r="K49" s="39" t="s">
        <v>22</v>
      </c>
      <c r="L49" s="39"/>
      <c r="M49" s="39"/>
      <c r="N49" s="39"/>
      <c r="O49" s="39"/>
      <c r="P49" s="80"/>
      <c r="Q49" s="99">
        <f>random_key!A95</f>
        <v>0.5528709074</v>
      </c>
    </row>
    <row r="50">
      <c r="A50" s="54">
        <v>9.0</v>
      </c>
      <c r="B50" s="89" t="s">
        <v>46</v>
      </c>
      <c r="C50" s="89" t="s">
        <v>670</v>
      </c>
      <c r="D50" s="54">
        <v>0.771</v>
      </c>
      <c r="E50" s="90" t="s">
        <v>31</v>
      </c>
      <c r="F50" s="89" t="s">
        <v>21</v>
      </c>
      <c r="G50" s="79"/>
      <c r="H50" s="39" t="s">
        <v>22</v>
      </c>
      <c r="I50" s="80"/>
      <c r="J50" s="39"/>
      <c r="K50" s="39"/>
      <c r="L50" s="39"/>
      <c r="M50" s="39"/>
      <c r="N50" s="39"/>
      <c r="O50" s="39" t="s">
        <v>22</v>
      </c>
      <c r="P50" s="80"/>
      <c r="Q50" s="99">
        <f>random_key!A8</f>
        <v>0.554984421</v>
      </c>
    </row>
    <row r="51">
      <c r="A51" s="54">
        <v>12.0</v>
      </c>
      <c r="B51" s="89" t="s">
        <v>55</v>
      </c>
      <c r="C51" s="89" t="s">
        <v>673</v>
      </c>
      <c r="D51" s="54">
        <v>0.973</v>
      </c>
      <c r="E51" s="90" t="s">
        <v>31</v>
      </c>
      <c r="F51" s="89" t="s">
        <v>21</v>
      </c>
      <c r="G51" s="79"/>
      <c r="H51" s="39" t="s">
        <v>22</v>
      </c>
      <c r="I51" s="80"/>
      <c r="J51" s="39"/>
      <c r="K51" s="39"/>
      <c r="L51" s="39"/>
      <c r="M51" s="39"/>
      <c r="N51" s="39"/>
      <c r="O51" s="39" t="s">
        <v>22</v>
      </c>
      <c r="P51" s="80"/>
      <c r="Q51" s="99">
        <f>random_key!A11</f>
        <v>0.5740921633</v>
      </c>
    </row>
    <row r="52">
      <c r="A52" s="54">
        <v>17.0</v>
      </c>
      <c r="B52" s="89" t="s">
        <v>72</v>
      </c>
      <c r="C52" s="89" t="s">
        <v>679</v>
      </c>
      <c r="D52" s="54">
        <v>0.682</v>
      </c>
      <c r="E52" s="90" t="s">
        <v>20</v>
      </c>
      <c r="F52" s="89" t="s">
        <v>21</v>
      </c>
      <c r="G52" s="79"/>
      <c r="H52" s="39" t="s">
        <v>22</v>
      </c>
      <c r="I52" s="80"/>
      <c r="J52" s="39"/>
      <c r="K52" s="39"/>
      <c r="L52" s="39"/>
      <c r="M52" s="39"/>
      <c r="N52" s="39" t="s">
        <v>22</v>
      </c>
      <c r="O52" s="39"/>
      <c r="P52" s="80"/>
      <c r="Q52" s="99">
        <f>random_key!A16</f>
        <v>0.5758198613</v>
      </c>
    </row>
    <row r="53">
      <c r="A53" s="54">
        <v>14.0</v>
      </c>
      <c r="B53" s="89" t="s">
        <v>62</v>
      </c>
      <c r="C53" s="89" t="s">
        <v>676</v>
      </c>
      <c r="D53" s="54">
        <v>0.003</v>
      </c>
      <c r="E53" s="90" t="s">
        <v>20</v>
      </c>
      <c r="F53" s="89" t="s">
        <v>26</v>
      </c>
      <c r="G53" s="79"/>
      <c r="H53" s="39" t="s">
        <v>22</v>
      </c>
      <c r="I53" s="80"/>
      <c r="J53" s="39"/>
      <c r="K53" s="39"/>
      <c r="L53" s="39"/>
      <c r="M53" s="39" t="s">
        <v>22</v>
      </c>
      <c r="N53" s="39"/>
      <c r="O53" s="39"/>
      <c r="P53" s="80"/>
      <c r="Q53" s="99">
        <f>random_key!A13</f>
        <v>0.5806079571</v>
      </c>
    </row>
    <row r="54">
      <c r="A54" s="54">
        <v>99.0</v>
      </c>
      <c r="B54" s="89" t="s">
        <v>281</v>
      </c>
      <c r="C54" s="89" t="s">
        <v>747</v>
      </c>
      <c r="D54" s="54">
        <v>0.973</v>
      </c>
      <c r="E54" s="90" t="s">
        <v>31</v>
      </c>
      <c r="F54" s="89" t="s">
        <v>21</v>
      </c>
      <c r="G54" s="79"/>
      <c r="H54" s="39" t="s">
        <v>22</v>
      </c>
      <c r="I54" s="80"/>
      <c r="J54" s="39"/>
      <c r="K54" s="39"/>
      <c r="L54" s="39"/>
      <c r="M54" s="39"/>
      <c r="N54" s="39"/>
      <c r="O54" s="39" t="s">
        <v>22</v>
      </c>
      <c r="P54" s="80"/>
      <c r="Q54" s="99">
        <f>random_key!A83</f>
        <v>0.5810969474</v>
      </c>
    </row>
    <row r="55">
      <c r="A55" s="93">
        <v>118.0</v>
      </c>
      <c r="B55" s="89" t="s">
        <v>336</v>
      </c>
      <c r="C55" s="89" t="s">
        <v>765</v>
      </c>
      <c r="D55" s="54">
        <v>0.968</v>
      </c>
      <c r="E55" s="90" t="s">
        <v>26</v>
      </c>
      <c r="F55" s="89" t="s">
        <v>21</v>
      </c>
      <c r="G55" s="79"/>
      <c r="H55" s="39" t="s">
        <v>22</v>
      </c>
      <c r="I55" s="80"/>
      <c r="J55" s="39"/>
      <c r="K55" s="39"/>
      <c r="L55" s="39"/>
      <c r="M55" s="39"/>
      <c r="N55" s="39" t="s">
        <v>22</v>
      </c>
      <c r="O55" s="39" t="s">
        <v>22</v>
      </c>
      <c r="P55" s="80"/>
      <c r="Q55" s="99">
        <f>random_key!A100</f>
        <v>0.5847508866</v>
      </c>
    </row>
    <row r="56">
      <c r="A56" s="54">
        <v>19.0</v>
      </c>
      <c r="B56" s="89" t="s">
        <v>78</v>
      </c>
      <c r="C56" s="89" t="s">
        <v>681</v>
      </c>
      <c r="D56" s="54">
        <v>0.977</v>
      </c>
      <c r="E56" s="90" t="s">
        <v>20</v>
      </c>
      <c r="F56" s="89" t="s">
        <v>21</v>
      </c>
      <c r="G56" s="79"/>
      <c r="H56" s="39" t="s">
        <v>22</v>
      </c>
      <c r="I56" s="80"/>
      <c r="J56" s="39"/>
      <c r="K56" s="39"/>
      <c r="L56" s="39" t="s">
        <v>22</v>
      </c>
      <c r="M56" s="39"/>
      <c r="N56" s="39"/>
      <c r="O56" s="39"/>
      <c r="P56" s="80"/>
      <c r="Q56" s="99">
        <f>random_key!A18</f>
        <v>0.586809022</v>
      </c>
    </row>
    <row r="57">
      <c r="A57" s="93">
        <v>117.0</v>
      </c>
      <c r="B57" s="89" t="s">
        <v>333</v>
      </c>
      <c r="C57" s="89" t="s">
        <v>764</v>
      </c>
      <c r="D57" s="54">
        <v>0.006</v>
      </c>
      <c r="E57" s="90" t="s">
        <v>26</v>
      </c>
      <c r="F57" s="89" t="s">
        <v>20</v>
      </c>
      <c r="G57" s="79"/>
      <c r="H57" s="39" t="s">
        <v>22</v>
      </c>
      <c r="I57" s="80"/>
      <c r="J57" s="39"/>
      <c r="K57" s="39"/>
      <c r="L57" s="39"/>
      <c r="M57" s="39"/>
      <c r="N57" s="39"/>
      <c r="O57" s="39" t="s">
        <v>22</v>
      </c>
      <c r="P57" s="80"/>
      <c r="Q57" s="99">
        <f>random_key!A99</f>
        <v>0.5960798585</v>
      </c>
    </row>
    <row r="58">
      <c r="A58" s="54">
        <v>2.0</v>
      </c>
      <c r="B58" s="89" t="s">
        <v>17</v>
      </c>
      <c r="C58" s="89" t="s">
        <v>662</v>
      </c>
      <c r="D58" s="54">
        <v>0.985</v>
      </c>
      <c r="E58" s="90" t="s">
        <v>20</v>
      </c>
      <c r="F58" s="89" t="s">
        <v>21</v>
      </c>
      <c r="G58" s="79"/>
      <c r="H58" s="39" t="s">
        <v>22</v>
      </c>
      <c r="I58" s="80"/>
      <c r="J58" s="39"/>
      <c r="K58" s="39" t="s">
        <v>22</v>
      </c>
      <c r="L58" s="39"/>
      <c r="M58" s="39"/>
      <c r="N58" s="39"/>
      <c r="O58" s="39"/>
      <c r="P58" s="80"/>
      <c r="Q58" s="99">
        <f>random_key!A1</f>
        <v>0.6058113928</v>
      </c>
    </row>
    <row r="59">
      <c r="A59" s="54">
        <v>30.0</v>
      </c>
      <c r="B59" s="89" t="s">
        <v>112</v>
      </c>
      <c r="C59" s="89" t="s">
        <v>694</v>
      </c>
      <c r="D59" s="54">
        <v>0.122</v>
      </c>
      <c r="E59" s="90" t="s">
        <v>21</v>
      </c>
      <c r="F59" s="89" t="s">
        <v>20</v>
      </c>
      <c r="G59" s="79" t="s">
        <v>22</v>
      </c>
      <c r="H59" s="39"/>
      <c r="I59" s="80"/>
      <c r="J59" s="39"/>
      <c r="K59" s="39" t="s">
        <v>22</v>
      </c>
      <c r="L59" s="39"/>
      <c r="M59" s="39"/>
      <c r="N59" s="39"/>
      <c r="O59" s="39"/>
      <c r="P59" s="80"/>
      <c r="Q59" s="99">
        <f>random_key!A28</f>
        <v>0.6095717857</v>
      </c>
    </row>
    <row r="60">
      <c r="A60" s="54">
        <v>28.0</v>
      </c>
      <c r="B60" s="89" t="s">
        <v>105</v>
      </c>
      <c r="C60" s="89" t="s">
        <v>692</v>
      </c>
      <c r="D60" s="54">
        <v>0.976</v>
      </c>
      <c r="E60" s="90" t="s">
        <v>31</v>
      </c>
      <c r="F60" s="89" t="s">
        <v>21</v>
      </c>
      <c r="G60" s="79"/>
      <c r="H60" s="39" t="s">
        <v>22</v>
      </c>
      <c r="I60" s="80"/>
      <c r="J60" s="39"/>
      <c r="K60" s="39"/>
      <c r="L60" s="39"/>
      <c r="M60" s="39"/>
      <c r="N60" s="39"/>
      <c r="O60" s="39" t="s">
        <v>22</v>
      </c>
      <c r="P60" s="80"/>
      <c r="Q60" s="99">
        <f>random_key!A26</f>
        <v>0.6126845745</v>
      </c>
    </row>
    <row r="61">
      <c r="A61" s="54">
        <v>73.0</v>
      </c>
      <c r="B61" s="89" t="s">
        <v>218</v>
      </c>
      <c r="C61" s="89" t="s">
        <v>730</v>
      </c>
      <c r="D61" s="54">
        <v>0.966</v>
      </c>
      <c r="E61" s="90" t="s">
        <v>20</v>
      </c>
      <c r="F61" s="89" t="s">
        <v>21</v>
      </c>
      <c r="G61" s="79"/>
      <c r="H61" s="39" t="s">
        <v>22</v>
      </c>
      <c r="I61" s="80"/>
      <c r="J61" s="39"/>
      <c r="K61" s="39"/>
      <c r="L61" s="39"/>
      <c r="M61" s="39"/>
      <c r="N61" s="39" t="s">
        <v>22</v>
      </c>
      <c r="O61" s="39"/>
      <c r="P61" s="80"/>
      <c r="Q61" s="99">
        <f>random_key!A63</f>
        <v>0.6156882262</v>
      </c>
    </row>
    <row r="62">
      <c r="A62" s="54">
        <v>75.0</v>
      </c>
      <c r="B62" s="89" t="s">
        <v>225</v>
      </c>
      <c r="C62" s="89" t="s">
        <v>733</v>
      </c>
      <c r="D62" s="54">
        <v>0.154</v>
      </c>
      <c r="E62" s="90" t="s">
        <v>21</v>
      </c>
      <c r="F62" s="89" t="s">
        <v>20</v>
      </c>
      <c r="G62" s="79" t="s">
        <v>22</v>
      </c>
      <c r="H62" s="39"/>
      <c r="I62" s="80"/>
      <c r="J62" s="39"/>
      <c r="K62" s="39" t="s">
        <v>22</v>
      </c>
      <c r="L62" s="39"/>
      <c r="M62" s="39"/>
      <c r="N62" s="39"/>
      <c r="O62" s="39"/>
      <c r="P62" s="80"/>
      <c r="Q62" s="99">
        <f>random_key!A65</f>
        <v>0.6172641741</v>
      </c>
    </row>
    <row r="63">
      <c r="A63" s="54">
        <v>57.0</v>
      </c>
      <c r="B63" s="89" t="s">
        <v>182</v>
      </c>
      <c r="C63" s="89" t="s">
        <v>718</v>
      </c>
      <c r="D63" s="54">
        <v>0.209</v>
      </c>
      <c r="E63" s="90" t="s">
        <v>21</v>
      </c>
      <c r="F63" s="89" t="s">
        <v>20</v>
      </c>
      <c r="G63" s="79" t="s">
        <v>22</v>
      </c>
      <c r="H63" s="39"/>
      <c r="I63" s="80"/>
      <c r="J63" s="39"/>
      <c r="K63" s="39" t="s">
        <v>22</v>
      </c>
      <c r="L63" s="39"/>
      <c r="M63" s="39"/>
      <c r="N63" s="39"/>
      <c r="O63" s="39"/>
      <c r="P63" s="80"/>
      <c r="Q63" s="99">
        <f>random_key!A50</f>
        <v>0.6196514827</v>
      </c>
    </row>
    <row r="64">
      <c r="A64" s="54">
        <v>40.0</v>
      </c>
      <c r="B64" s="89" t="s">
        <v>133</v>
      </c>
      <c r="C64" s="89" t="s">
        <v>688</v>
      </c>
      <c r="D64" s="54">
        <v>0.955</v>
      </c>
      <c r="E64" s="90" t="s">
        <v>31</v>
      </c>
      <c r="F64" s="89" t="s">
        <v>21</v>
      </c>
      <c r="G64" s="79"/>
      <c r="H64" s="39" t="s">
        <v>22</v>
      </c>
      <c r="I64" s="80"/>
      <c r="J64" s="39"/>
      <c r="K64" s="39"/>
      <c r="L64" s="39"/>
      <c r="M64" s="39"/>
      <c r="N64" s="39"/>
      <c r="O64" s="39" t="s">
        <v>22</v>
      </c>
      <c r="P64" s="80"/>
      <c r="Q64" s="99">
        <f>random_key!A35</f>
        <v>0.6326865327</v>
      </c>
    </row>
    <row r="65">
      <c r="A65" s="54">
        <v>61.0</v>
      </c>
      <c r="B65" s="89" t="s">
        <v>191</v>
      </c>
      <c r="C65" s="89" t="s">
        <v>721</v>
      </c>
      <c r="D65" s="54">
        <v>0.003</v>
      </c>
      <c r="E65" s="90" t="s">
        <v>20</v>
      </c>
      <c r="F65" s="89" t="s">
        <v>26</v>
      </c>
      <c r="G65" s="79"/>
      <c r="H65" s="39" t="s">
        <v>22</v>
      </c>
      <c r="I65" s="80"/>
      <c r="J65" s="39"/>
      <c r="K65" s="39"/>
      <c r="L65" s="39"/>
      <c r="M65" s="39"/>
      <c r="N65" s="39"/>
      <c r="O65" s="39"/>
      <c r="P65" s="91" t="s">
        <v>855</v>
      </c>
      <c r="Q65" s="99">
        <f>random_key!A53</f>
        <v>0.6338566744</v>
      </c>
    </row>
    <row r="66">
      <c r="A66" s="54">
        <v>76.0</v>
      </c>
      <c r="B66" s="89" t="s">
        <v>228</v>
      </c>
      <c r="C66" s="89" t="s">
        <v>734</v>
      </c>
      <c r="D66" s="54">
        <v>0.97</v>
      </c>
      <c r="E66" s="90" t="s">
        <v>20</v>
      </c>
      <c r="F66" s="89" t="s">
        <v>21</v>
      </c>
      <c r="G66" s="79"/>
      <c r="H66" s="39" t="s">
        <v>22</v>
      </c>
      <c r="I66" s="80"/>
      <c r="J66" s="39"/>
      <c r="K66" s="39"/>
      <c r="L66" s="39"/>
      <c r="M66" s="39"/>
      <c r="N66" s="39" t="s">
        <v>22</v>
      </c>
      <c r="O66" s="39"/>
      <c r="P66" s="80"/>
      <c r="Q66" s="99">
        <f>random_key!A66</f>
        <v>0.6338980481</v>
      </c>
    </row>
    <row r="67">
      <c r="A67" s="54">
        <v>79.0</v>
      </c>
      <c r="B67" s="89" t="s">
        <v>236</v>
      </c>
      <c r="C67" s="89" t="s">
        <v>715</v>
      </c>
      <c r="D67" s="54">
        <v>0.004</v>
      </c>
      <c r="E67" s="90" t="s">
        <v>21</v>
      </c>
      <c r="F67" s="89" t="s">
        <v>20</v>
      </c>
      <c r="G67" s="79" t="s">
        <v>22</v>
      </c>
      <c r="H67" s="39"/>
      <c r="I67" s="80"/>
      <c r="J67" s="39"/>
      <c r="K67" s="39" t="s">
        <v>22</v>
      </c>
      <c r="L67" s="39"/>
      <c r="M67" s="39"/>
      <c r="N67" s="39"/>
      <c r="O67" s="39"/>
      <c r="P67" s="80"/>
      <c r="Q67" s="99">
        <f>random_key!A69</f>
        <v>0.6380938099</v>
      </c>
    </row>
    <row r="68">
      <c r="A68" s="54">
        <v>89.0</v>
      </c>
      <c r="B68" s="89" t="s">
        <v>256</v>
      </c>
      <c r="C68" s="89" t="s">
        <v>688</v>
      </c>
      <c r="D68" s="54">
        <v>0.966</v>
      </c>
      <c r="E68" s="90" t="s">
        <v>31</v>
      </c>
      <c r="F68" s="89" t="s">
        <v>21</v>
      </c>
      <c r="G68" s="79"/>
      <c r="H68" s="39" t="s">
        <v>22</v>
      </c>
      <c r="I68" s="80"/>
      <c r="J68" s="39"/>
      <c r="K68" s="39"/>
      <c r="L68" s="39"/>
      <c r="M68" s="39"/>
      <c r="N68" s="39"/>
      <c r="O68" s="39" t="s">
        <v>22</v>
      </c>
      <c r="P68" s="80"/>
      <c r="Q68" s="99">
        <f>random_key!A75</f>
        <v>0.647923742</v>
      </c>
    </row>
    <row r="69">
      <c r="A69" s="54">
        <v>67.0</v>
      </c>
      <c r="B69" s="89" t="s">
        <v>205</v>
      </c>
      <c r="C69" s="89" t="s">
        <v>726</v>
      </c>
      <c r="D69" s="54">
        <v>0.003</v>
      </c>
      <c r="E69" s="90" t="s">
        <v>26</v>
      </c>
      <c r="F69" s="89" t="s">
        <v>20</v>
      </c>
      <c r="G69" s="79"/>
      <c r="H69" s="39" t="s">
        <v>22</v>
      </c>
      <c r="I69" s="80"/>
      <c r="J69" s="39"/>
      <c r="K69" s="39"/>
      <c r="L69" s="39"/>
      <c r="M69" s="39"/>
      <c r="N69" s="39"/>
      <c r="O69" s="39" t="s">
        <v>22</v>
      </c>
      <c r="P69" s="80"/>
      <c r="Q69" s="99">
        <f>random_key!A58</f>
        <v>0.6700016504</v>
      </c>
    </row>
    <row r="70">
      <c r="A70" s="54">
        <v>13.0</v>
      </c>
      <c r="B70" s="89" t="s">
        <v>58</v>
      </c>
      <c r="C70" s="89" t="s">
        <v>674</v>
      </c>
      <c r="D70" s="54">
        <v>0.722</v>
      </c>
      <c r="E70" s="90" t="s">
        <v>20</v>
      </c>
      <c r="F70" s="89" t="s">
        <v>21</v>
      </c>
      <c r="G70" s="79"/>
      <c r="H70" s="39"/>
      <c r="I70" s="80" t="s">
        <v>22</v>
      </c>
      <c r="J70" s="39"/>
      <c r="K70" s="39"/>
      <c r="L70" s="39" t="s">
        <v>22</v>
      </c>
      <c r="M70" s="39"/>
      <c r="N70" s="39"/>
      <c r="O70" s="39"/>
      <c r="P70" s="80"/>
      <c r="Q70" s="99">
        <f>random_key!A12</f>
        <v>0.6836740545</v>
      </c>
    </row>
    <row r="71">
      <c r="A71" s="54">
        <v>11.0</v>
      </c>
      <c r="B71" s="89" t="s">
        <v>52</v>
      </c>
      <c r="C71" s="89" t="s">
        <v>672</v>
      </c>
      <c r="D71" s="54">
        <v>0.967</v>
      </c>
      <c r="E71" s="90" t="s">
        <v>20</v>
      </c>
      <c r="F71" s="89" t="s">
        <v>21</v>
      </c>
      <c r="G71" s="79"/>
      <c r="H71" s="39" t="s">
        <v>22</v>
      </c>
      <c r="I71" s="80"/>
      <c r="J71" s="39"/>
      <c r="K71" s="39"/>
      <c r="L71" s="39"/>
      <c r="M71" s="39"/>
      <c r="N71" s="39" t="s">
        <v>22</v>
      </c>
      <c r="O71" s="39"/>
      <c r="P71" s="80"/>
      <c r="Q71" s="99">
        <f>random_key!A10</f>
        <v>0.6919815096</v>
      </c>
    </row>
    <row r="72">
      <c r="A72" s="54">
        <v>44.0</v>
      </c>
      <c r="B72" s="89" t="s">
        <v>146</v>
      </c>
      <c r="C72" s="89" t="s">
        <v>706</v>
      </c>
      <c r="D72" s="54">
        <v>0.165</v>
      </c>
      <c r="E72" s="90" t="s">
        <v>21</v>
      </c>
      <c r="F72" s="89" t="s">
        <v>20</v>
      </c>
      <c r="G72" s="79" t="s">
        <v>22</v>
      </c>
      <c r="H72" s="39"/>
      <c r="I72" s="80"/>
      <c r="J72" s="39"/>
      <c r="K72" s="39" t="s">
        <v>22</v>
      </c>
      <c r="L72" s="39"/>
      <c r="M72" s="39"/>
      <c r="N72" s="39"/>
      <c r="O72" s="39"/>
      <c r="P72" s="80"/>
      <c r="Q72" s="99">
        <f>random_key!A39</f>
        <v>0.695756292</v>
      </c>
    </row>
    <row r="73">
      <c r="A73" s="54">
        <v>80.0</v>
      </c>
      <c r="B73" s="89" t="s">
        <v>237</v>
      </c>
      <c r="C73" s="89" t="s">
        <v>673</v>
      </c>
      <c r="D73" s="54">
        <v>0.962</v>
      </c>
      <c r="E73" s="90" t="s">
        <v>31</v>
      </c>
      <c r="F73" s="89" t="s">
        <v>21</v>
      </c>
      <c r="G73" s="79"/>
      <c r="H73" s="39" t="s">
        <v>22</v>
      </c>
      <c r="I73" s="80"/>
      <c r="J73" s="39"/>
      <c r="K73" s="39"/>
      <c r="L73" s="39"/>
      <c r="M73" s="39"/>
      <c r="N73" s="39"/>
      <c r="O73" s="39" t="s">
        <v>22</v>
      </c>
      <c r="P73" s="80"/>
      <c r="Q73" s="99">
        <f>random_key!A70</f>
        <v>0.7004230169</v>
      </c>
    </row>
    <row r="74">
      <c r="A74" s="54">
        <v>33.0</v>
      </c>
      <c r="B74" s="89" t="s">
        <v>118</v>
      </c>
      <c r="C74" s="89" t="s">
        <v>696</v>
      </c>
      <c r="D74" s="54">
        <v>0.03</v>
      </c>
      <c r="E74" s="90" t="s">
        <v>21</v>
      </c>
      <c r="F74" s="89" t="s">
        <v>20</v>
      </c>
      <c r="G74" s="79" t="s">
        <v>22</v>
      </c>
      <c r="H74" s="39"/>
      <c r="I74" s="80"/>
      <c r="J74" s="39"/>
      <c r="K74" s="39" t="s">
        <v>22</v>
      </c>
      <c r="L74" s="39"/>
      <c r="M74" s="39"/>
      <c r="N74" s="39"/>
      <c r="O74" s="39"/>
      <c r="P74" s="80"/>
      <c r="Q74" s="99">
        <f>random_key!A30</f>
        <v>0.723421083</v>
      </c>
    </row>
    <row r="75">
      <c r="A75" s="54">
        <v>106.0</v>
      </c>
      <c r="B75" s="89" t="s">
        <v>304</v>
      </c>
      <c r="C75" s="89" t="s">
        <v>755</v>
      </c>
      <c r="D75" s="54">
        <v>0.004</v>
      </c>
      <c r="E75" s="90" t="s">
        <v>26</v>
      </c>
      <c r="F75" s="89" t="s">
        <v>20</v>
      </c>
      <c r="G75" s="79"/>
      <c r="H75" s="39" t="s">
        <v>22</v>
      </c>
      <c r="I75" s="80"/>
      <c r="J75" s="39"/>
      <c r="K75" s="39"/>
      <c r="L75" s="39"/>
      <c r="M75" s="39"/>
      <c r="N75" s="39"/>
      <c r="O75" s="39" t="s">
        <v>22</v>
      </c>
      <c r="P75" s="80"/>
      <c r="Q75" s="99">
        <f>random_key!A90</f>
        <v>0.727142934</v>
      </c>
    </row>
    <row r="76">
      <c r="A76" s="54">
        <v>86.0</v>
      </c>
      <c r="B76" s="89" t="s">
        <v>252</v>
      </c>
      <c r="C76" s="89" t="s">
        <v>740</v>
      </c>
      <c r="D76" s="54">
        <v>0.784</v>
      </c>
      <c r="E76" s="90" t="s">
        <v>20</v>
      </c>
      <c r="F76" s="89" t="s">
        <v>21</v>
      </c>
      <c r="G76" s="79"/>
      <c r="H76" s="39"/>
      <c r="I76" s="80" t="s">
        <v>22</v>
      </c>
      <c r="J76" s="39"/>
      <c r="K76" s="39" t="s">
        <v>22</v>
      </c>
      <c r="L76" s="39"/>
      <c r="M76" s="39"/>
      <c r="N76" s="39"/>
      <c r="O76" s="39"/>
      <c r="P76" s="80"/>
      <c r="Q76" s="99">
        <f>random_key!A74</f>
        <v>0.7435089948</v>
      </c>
    </row>
    <row r="77">
      <c r="A77" s="54">
        <v>72.0</v>
      </c>
      <c r="B77" s="89" t="s">
        <v>214</v>
      </c>
      <c r="C77" s="89" t="s">
        <v>729</v>
      </c>
      <c r="D77" s="54">
        <v>0.001</v>
      </c>
      <c r="E77" s="90" t="s">
        <v>20</v>
      </c>
      <c r="F77" s="89" t="s">
        <v>26</v>
      </c>
      <c r="G77" s="79"/>
      <c r="H77" s="39" t="s">
        <v>22</v>
      </c>
      <c r="I77" s="80"/>
      <c r="J77" s="39"/>
      <c r="K77" s="39"/>
      <c r="L77" s="39"/>
      <c r="M77" s="39" t="s">
        <v>22</v>
      </c>
      <c r="N77" s="39"/>
      <c r="O77" s="39"/>
      <c r="P77" s="80"/>
      <c r="Q77" s="99">
        <f>random_key!A62</f>
        <v>0.7471633311</v>
      </c>
    </row>
    <row r="78">
      <c r="A78" s="54">
        <v>24.0</v>
      </c>
      <c r="B78" s="89" t="s">
        <v>93</v>
      </c>
      <c r="C78" s="89" t="s">
        <v>686</v>
      </c>
      <c r="D78" s="54">
        <v>0.002</v>
      </c>
      <c r="E78" s="90" t="s">
        <v>21</v>
      </c>
      <c r="F78" s="89" t="s">
        <v>20</v>
      </c>
      <c r="G78" s="79"/>
      <c r="H78" s="39" t="s">
        <v>22</v>
      </c>
      <c r="I78" s="80"/>
      <c r="J78" s="39" t="s">
        <v>22</v>
      </c>
      <c r="K78" s="39"/>
      <c r="L78" s="39"/>
      <c r="M78" s="39"/>
      <c r="N78" s="39"/>
      <c r="O78" s="39"/>
      <c r="P78" s="80"/>
      <c r="Q78" s="99">
        <f>random_key!A23</f>
        <v>0.7541920884</v>
      </c>
    </row>
    <row r="79">
      <c r="A79" s="54">
        <v>63.0</v>
      </c>
      <c r="B79" s="89" t="s">
        <v>196</v>
      </c>
      <c r="C79" s="89" t="s">
        <v>723</v>
      </c>
      <c r="D79" s="54">
        <v>0.205</v>
      </c>
      <c r="E79" s="90" t="s">
        <v>21</v>
      </c>
      <c r="F79" s="89" t="s">
        <v>20</v>
      </c>
      <c r="G79" s="79" t="s">
        <v>22</v>
      </c>
      <c r="H79" s="39"/>
      <c r="I79" s="80"/>
      <c r="J79" s="39"/>
      <c r="K79" s="39" t="s">
        <v>22</v>
      </c>
      <c r="L79" s="39"/>
      <c r="M79" s="39"/>
      <c r="N79" s="39"/>
      <c r="O79" s="39"/>
      <c r="P79" s="80"/>
      <c r="Q79" s="99">
        <f>random_key!A55</f>
        <v>0.7605468318</v>
      </c>
    </row>
    <row r="80">
      <c r="A80" s="54">
        <v>5.0</v>
      </c>
      <c r="B80" s="89" t="s">
        <v>32</v>
      </c>
      <c r="C80" s="89" t="s">
        <v>665</v>
      </c>
      <c r="D80" s="54">
        <v>0.55</v>
      </c>
      <c r="E80" s="90" t="s">
        <v>20</v>
      </c>
      <c r="F80" s="89" t="s">
        <v>21</v>
      </c>
      <c r="G80" s="79" t="s">
        <v>22</v>
      </c>
      <c r="H80" s="39"/>
      <c r="I80" s="80"/>
      <c r="J80" s="39"/>
      <c r="K80" s="39" t="s">
        <v>22</v>
      </c>
      <c r="L80" s="39"/>
      <c r="M80" s="39"/>
      <c r="N80" s="39"/>
      <c r="O80" s="39"/>
      <c r="P80" s="80"/>
      <c r="Q80" s="99">
        <f>random_key!A4</f>
        <v>0.7622668932</v>
      </c>
    </row>
    <row r="81">
      <c r="A81" s="54">
        <v>23.0</v>
      </c>
      <c r="B81" s="89" t="s">
        <v>90</v>
      </c>
      <c r="C81" s="89" t="s">
        <v>685</v>
      </c>
      <c r="D81" s="54">
        <v>0.949</v>
      </c>
      <c r="E81" s="90" t="s">
        <v>31</v>
      </c>
      <c r="F81" s="89" t="s">
        <v>21</v>
      </c>
      <c r="G81" s="79"/>
      <c r="H81" s="39" t="s">
        <v>22</v>
      </c>
      <c r="I81" s="80"/>
      <c r="J81" s="39"/>
      <c r="K81" s="39"/>
      <c r="L81" s="39" t="s">
        <v>22</v>
      </c>
      <c r="M81" s="39"/>
      <c r="N81" s="39"/>
      <c r="O81" s="39"/>
      <c r="P81" s="80"/>
      <c r="Q81" s="99">
        <f>random_key!A22</f>
        <v>0.7884075586</v>
      </c>
    </row>
    <row r="82">
      <c r="A82" s="54">
        <v>100.0</v>
      </c>
      <c r="B82" s="89" t="s">
        <v>283</v>
      </c>
      <c r="C82" s="89" t="s">
        <v>748</v>
      </c>
      <c r="D82" s="54">
        <v>0.024</v>
      </c>
      <c r="E82" s="90" t="s">
        <v>21</v>
      </c>
      <c r="F82" s="89" t="s">
        <v>20</v>
      </c>
      <c r="G82" s="79" t="s">
        <v>22</v>
      </c>
      <c r="H82" s="39"/>
      <c r="I82" s="80"/>
      <c r="J82" s="39"/>
      <c r="K82" s="39" t="s">
        <v>22</v>
      </c>
      <c r="L82" s="39"/>
      <c r="M82" s="39"/>
      <c r="N82" s="39"/>
      <c r="O82" s="39"/>
      <c r="P82" s="80"/>
      <c r="Q82" s="99">
        <f>random_key!A84</f>
        <v>0.7958894172</v>
      </c>
    </row>
    <row r="83">
      <c r="A83" s="54">
        <v>58.0</v>
      </c>
      <c r="B83" s="89" t="s">
        <v>185</v>
      </c>
      <c r="C83" s="89" t="s">
        <v>719</v>
      </c>
      <c r="D83" s="54">
        <v>0.862</v>
      </c>
      <c r="E83" s="90" t="s">
        <v>31</v>
      </c>
      <c r="F83" s="89" t="s">
        <v>21</v>
      </c>
      <c r="G83" s="79"/>
      <c r="H83" s="39" t="s">
        <v>22</v>
      </c>
      <c r="I83" s="80"/>
      <c r="J83" s="39"/>
      <c r="K83" s="39"/>
      <c r="L83" s="39"/>
      <c r="M83" s="39"/>
      <c r="N83" s="39"/>
      <c r="O83" s="39" t="s">
        <v>22</v>
      </c>
      <c r="P83" s="80"/>
      <c r="Q83" s="99">
        <f>random_key!A51</f>
        <v>0.799996192</v>
      </c>
    </row>
    <row r="84">
      <c r="A84" s="54">
        <v>78.0</v>
      </c>
      <c r="B84" s="89" t="s">
        <v>233</v>
      </c>
      <c r="C84" s="89" t="s">
        <v>736</v>
      </c>
      <c r="D84" s="54">
        <v>0.006</v>
      </c>
      <c r="E84" s="90" t="s">
        <v>21</v>
      </c>
      <c r="F84" s="89" t="s">
        <v>31</v>
      </c>
      <c r="G84" s="79" t="s">
        <v>22</v>
      </c>
      <c r="H84" s="39"/>
      <c r="I84" s="80"/>
      <c r="J84" s="39"/>
      <c r="K84" s="39" t="s">
        <v>22</v>
      </c>
      <c r="L84" s="39"/>
      <c r="M84" s="39"/>
      <c r="N84" s="39"/>
      <c r="O84" s="39"/>
      <c r="P84" s="80"/>
      <c r="Q84" s="99">
        <f>random_key!A68</f>
        <v>0.8182745013</v>
      </c>
    </row>
    <row r="85">
      <c r="A85" s="54">
        <v>48.0</v>
      </c>
      <c r="B85" s="89" t="s">
        <v>158</v>
      </c>
      <c r="C85" s="89" t="s">
        <v>710</v>
      </c>
      <c r="D85" s="54">
        <v>0.455</v>
      </c>
      <c r="E85" s="90" t="s">
        <v>20</v>
      </c>
      <c r="F85" s="89" t="s">
        <v>21</v>
      </c>
      <c r="G85" s="79" t="s">
        <v>22</v>
      </c>
      <c r="H85" s="39"/>
      <c r="I85" s="80"/>
      <c r="J85" s="39" t="s">
        <v>22</v>
      </c>
      <c r="K85" s="39"/>
      <c r="L85" s="39"/>
      <c r="M85" s="39"/>
      <c r="N85" s="39"/>
      <c r="O85" s="39"/>
      <c r="P85" s="80"/>
      <c r="Q85" s="99">
        <f>random_key!A43</f>
        <v>0.8376744095</v>
      </c>
    </row>
    <row r="86">
      <c r="A86" s="54">
        <v>105.0</v>
      </c>
      <c r="B86" s="89" t="s">
        <v>300</v>
      </c>
      <c r="C86" s="89" t="s">
        <v>754</v>
      </c>
      <c r="D86" s="54">
        <v>0.739</v>
      </c>
      <c r="E86" s="90" t="s">
        <v>20</v>
      </c>
      <c r="F86" s="89" t="s">
        <v>21</v>
      </c>
      <c r="G86" s="79"/>
      <c r="H86" s="39" t="s">
        <v>22</v>
      </c>
      <c r="I86" s="80"/>
      <c r="J86" s="39"/>
      <c r="K86" s="39"/>
      <c r="L86" s="39" t="s">
        <v>22</v>
      </c>
      <c r="M86" s="39"/>
      <c r="N86" s="39"/>
      <c r="O86" s="39"/>
      <c r="P86" s="80"/>
      <c r="Q86" s="99">
        <f>random_key!A89</f>
        <v>0.8543904858</v>
      </c>
    </row>
    <row r="87">
      <c r="A87" s="54">
        <v>45.0</v>
      </c>
      <c r="B87" s="89" t="s">
        <v>149</v>
      </c>
      <c r="C87" s="89" t="s">
        <v>707</v>
      </c>
      <c r="D87" s="54">
        <v>0.935</v>
      </c>
      <c r="E87" s="90" t="s">
        <v>20</v>
      </c>
      <c r="F87" s="89" t="s">
        <v>21</v>
      </c>
      <c r="G87" s="79"/>
      <c r="H87" s="39"/>
      <c r="I87" s="80" t="s">
        <v>22</v>
      </c>
      <c r="J87" s="39"/>
      <c r="K87" s="39" t="s">
        <v>22</v>
      </c>
      <c r="L87" s="39"/>
      <c r="M87" s="39"/>
      <c r="N87" s="39"/>
      <c r="O87" s="39"/>
      <c r="P87" s="80"/>
      <c r="Q87" s="99">
        <f>random_key!A40</f>
        <v>0.8587903714</v>
      </c>
    </row>
    <row r="88">
      <c r="A88" s="54">
        <v>77.0</v>
      </c>
      <c r="B88" s="89" t="s">
        <v>230</v>
      </c>
      <c r="C88" s="89" t="s">
        <v>735</v>
      </c>
      <c r="D88" s="54">
        <v>0.053</v>
      </c>
      <c r="E88" s="90" t="s">
        <v>21</v>
      </c>
      <c r="F88" s="89" t="s">
        <v>20</v>
      </c>
      <c r="G88" s="79" t="s">
        <v>22</v>
      </c>
      <c r="H88" s="39"/>
      <c r="I88" s="80"/>
      <c r="J88" s="39"/>
      <c r="K88" s="39" t="s">
        <v>22</v>
      </c>
      <c r="L88" s="39"/>
      <c r="M88" s="39"/>
      <c r="N88" s="39"/>
      <c r="O88" s="39"/>
      <c r="P88" s="80"/>
      <c r="Q88" s="99">
        <f>random_key!A67</f>
        <v>0.8642436393</v>
      </c>
    </row>
    <row r="89">
      <c r="A89" s="54">
        <v>102.0</v>
      </c>
      <c r="B89" s="89" t="s">
        <v>288</v>
      </c>
      <c r="C89" s="89" t="s">
        <v>750</v>
      </c>
      <c r="D89" s="54">
        <v>0.918</v>
      </c>
      <c r="E89" s="90" t="s">
        <v>20</v>
      </c>
      <c r="F89" s="89" t="s">
        <v>21</v>
      </c>
      <c r="G89" s="79"/>
      <c r="H89" s="39"/>
      <c r="I89" s="80" t="s">
        <v>22</v>
      </c>
      <c r="J89" s="39"/>
      <c r="K89" s="39" t="s">
        <v>22</v>
      </c>
      <c r="L89" s="39"/>
      <c r="M89" s="39"/>
      <c r="N89" s="39"/>
      <c r="O89" s="39"/>
      <c r="P89" s="80"/>
      <c r="Q89" s="99">
        <f>random_key!A86</f>
        <v>0.8755905375</v>
      </c>
    </row>
    <row r="90">
      <c r="A90" s="54">
        <v>82.0</v>
      </c>
      <c r="B90" s="89" t="s">
        <v>244</v>
      </c>
      <c r="C90" s="89" t="s">
        <v>738</v>
      </c>
      <c r="D90" s="54">
        <v>0.963</v>
      </c>
      <c r="E90" s="90" t="s">
        <v>20</v>
      </c>
      <c r="F90" s="89" t="s">
        <v>21</v>
      </c>
      <c r="G90" s="79"/>
      <c r="H90" s="39" t="s">
        <v>22</v>
      </c>
      <c r="I90" s="80"/>
      <c r="J90" s="39"/>
      <c r="K90" s="39"/>
      <c r="L90" s="39" t="s">
        <v>22</v>
      </c>
      <c r="M90" s="39"/>
      <c r="N90" s="39"/>
      <c r="O90" s="39"/>
      <c r="P90" s="80"/>
      <c r="Q90" s="99">
        <f>random_key!A72</f>
        <v>0.8871378581</v>
      </c>
    </row>
    <row r="91">
      <c r="A91" s="54">
        <v>95.0</v>
      </c>
      <c r="B91" s="89" t="s">
        <v>271</v>
      </c>
      <c r="C91" s="89" t="s">
        <v>726</v>
      </c>
      <c r="D91" s="54">
        <v>0.952</v>
      </c>
      <c r="E91" s="90" t="s">
        <v>31</v>
      </c>
      <c r="F91" s="89" t="s">
        <v>21</v>
      </c>
      <c r="G91" s="79"/>
      <c r="H91" s="39" t="s">
        <v>22</v>
      </c>
      <c r="I91" s="80"/>
      <c r="J91" s="39"/>
      <c r="K91" s="39"/>
      <c r="L91" s="39"/>
      <c r="M91" s="39"/>
      <c r="N91" s="39"/>
      <c r="O91" s="39" t="s">
        <v>22</v>
      </c>
      <c r="P91" s="80"/>
      <c r="Q91" s="99">
        <f>random_key!A80</f>
        <v>0.89023684</v>
      </c>
    </row>
    <row r="92">
      <c r="A92" s="54">
        <v>71.0</v>
      </c>
      <c r="B92" s="89" t="s">
        <v>213</v>
      </c>
      <c r="C92" s="89" t="s">
        <v>682</v>
      </c>
      <c r="D92" s="54">
        <v>0.976</v>
      </c>
      <c r="E92" s="90" t="s">
        <v>31</v>
      </c>
      <c r="F92" s="89" t="s">
        <v>21</v>
      </c>
      <c r="G92" s="79"/>
      <c r="H92" s="39" t="s">
        <v>22</v>
      </c>
      <c r="I92" s="80"/>
      <c r="J92" s="39"/>
      <c r="K92" s="39"/>
      <c r="L92" s="39"/>
      <c r="M92" s="39"/>
      <c r="N92" s="39"/>
      <c r="O92" s="39" t="s">
        <v>22</v>
      </c>
      <c r="P92" s="80"/>
      <c r="Q92" s="99">
        <f>random_key!A61</f>
        <v>0.8920769635</v>
      </c>
    </row>
    <row r="93">
      <c r="A93" s="54">
        <v>55.0</v>
      </c>
      <c r="B93" s="89" t="s">
        <v>176</v>
      </c>
      <c r="C93" s="89" t="s">
        <v>716</v>
      </c>
      <c r="D93" s="54">
        <v>0.03</v>
      </c>
      <c r="E93" s="90" t="s">
        <v>21</v>
      </c>
      <c r="F93" s="89" t="s">
        <v>20</v>
      </c>
      <c r="G93" s="79" t="s">
        <v>22</v>
      </c>
      <c r="H93" s="39"/>
      <c r="I93" s="80"/>
      <c r="J93" s="39"/>
      <c r="K93" s="39" t="s">
        <v>22</v>
      </c>
      <c r="L93" s="39"/>
      <c r="M93" s="39"/>
      <c r="N93" s="39"/>
      <c r="O93" s="39"/>
      <c r="P93" s="80"/>
      <c r="Q93" s="99">
        <f>random_key!A48</f>
        <v>0.9080452284</v>
      </c>
    </row>
    <row r="94">
      <c r="A94" s="54">
        <v>91.0</v>
      </c>
      <c r="B94" s="89" t="s">
        <v>261</v>
      </c>
      <c r="C94" s="89" t="s">
        <v>742</v>
      </c>
      <c r="D94" s="54">
        <v>0.873</v>
      </c>
      <c r="E94" s="90" t="s">
        <v>20</v>
      </c>
      <c r="F94" s="89" t="s">
        <v>21</v>
      </c>
      <c r="G94" s="79"/>
      <c r="H94" s="39" t="s">
        <v>22</v>
      </c>
      <c r="I94" s="80"/>
      <c r="J94" s="39"/>
      <c r="K94" s="39"/>
      <c r="L94" s="39"/>
      <c r="M94" s="39"/>
      <c r="N94" s="39" t="s">
        <v>22</v>
      </c>
      <c r="O94" s="39"/>
      <c r="P94" s="80"/>
      <c r="Q94" s="99">
        <f>random_key!A77</f>
        <v>0.9113679883</v>
      </c>
    </row>
    <row r="95">
      <c r="A95" s="54">
        <v>74.0</v>
      </c>
      <c r="B95" s="89" t="s">
        <v>221</v>
      </c>
      <c r="C95" s="89" t="s">
        <v>731</v>
      </c>
      <c r="D95" s="54">
        <v>0.975</v>
      </c>
      <c r="E95" s="90" t="s">
        <v>20</v>
      </c>
      <c r="F95" s="89" t="s">
        <v>21</v>
      </c>
      <c r="G95" s="79"/>
      <c r="H95" s="39"/>
      <c r="I95" s="80" t="s">
        <v>22</v>
      </c>
      <c r="J95" s="39"/>
      <c r="K95" s="39"/>
      <c r="L95" s="39"/>
      <c r="M95" s="39"/>
      <c r="N95" s="39"/>
      <c r="O95" s="39"/>
      <c r="P95" s="80" t="s">
        <v>856</v>
      </c>
      <c r="Q95" s="99">
        <f>random_key!A64</f>
        <v>0.9147453114</v>
      </c>
    </row>
    <row r="96">
      <c r="A96" s="93">
        <v>115.0</v>
      </c>
      <c r="B96" s="89" t="s">
        <v>325</v>
      </c>
      <c r="C96" s="89" t="s">
        <v>762</v>
      </c>
      <c r="D96" s="54">
        <v>0.979</v>
      </c>
      <c r="E96" s="90" t="s">
        <v>26</v>
      </c>
      <c r="F96" s="89" t="s">
        <v>21</v>
      </c>
      <c r="G96" s="79"/>
      <c r="H96" s="39" t="s">
        <v>22</v>
      </c>
      <c r="I96" s="80"/>
      <c r="J96" s="39"/>
      <c r="K96" s="39"/>
      <c r="L96" s="39"/>
      <c r="M96" s="39"/>
      <c r="N96" s="39" t="s">
        <v>22</v>
      </c>
      <c r="O96" s="39" t="s">
        <v>22</v>
      </c>
      <c r="P96" s="80"/>
      <c r="Q96" s="99">
        <f>random_key!A97</f>
        <v>0.9230041158</v>
      </c>
    </row>
    <row r="97">
      <c r="A97" s="54">
        <v>114.0</v>
      </c>
      <c r="B97" s="89" t="s">
        <v>321</v>
      </c>
      <c r="C97" s="89" t="s">
        <v>760</v>
      </c>
      <c r="D97" s="54">
        <v>0.025</v>
      </c>
      <c r="E97" s="90" t="s">
        <v>26</v>
      </c>
      <c r="F97" s="89" t="s">
        <v>20</v>
      </c>
      <c r="G97" s="79"/>
      <c r="H97" s="39" t="s">
        <v>22</v>
      </c>
      <c r="I97" s="80"/>
      <c r="J97" s="39"/>
      <c r="K97" s="39"/>
      <c r="L97" s="39"/>
      <c r="M97" s="39"/>
      <c r="N97" s="39"/>
      <c r="O97" s="39" t="s">
        <v>22</v>
      </c>
      <c r="P97" s="80"/>
      <c r="Q97" s="99">
        <f>random_key!A96</f>
        <v>0.92778417</v>
      </c>
    </row>
    <row r="98">
      <c r="A98" s="54">
        <v>112.0</v>
      </c>
      <c r="B98" s="89" t="s">
        <v>317</v>
      </c>
      <c r="C98" s="89" t="s">
        <v>756</v>
      </c>
      <c r="D98" s="54">
        <v>0.001</v>
      </c>
      <c r="E98" s="90" t="s">
        <v>26</v>
      </c>
      <c r="F98" s="89" t="s">
        <v>20</v>
      </c>
      <c r="G98" s="79"/>
      <c r="H98" s="39"/>
      <c r="I98" s="80" t="s">
        <v>22</v>
      </c>
      <c r="J98" s="39" t="s">
        <v>22</v>
      </c>
      <c r="K98" s="39"/>
      <c r="L98" s="39"/>
      <c r="M98" s="39"/>
      <c r="N98" s="39"/>
      <c r="O98" s="39"/>
      <c r="P98" s="80"/>
      <c r="Q98" s="99">
        <f>random_key!A94</f>
        <v>0.9413106865</v>
      </c>
    </row>
    <row r="99">
      <c r="A99" s="54">
        <v>111.0</v>
      </c>
      <c r="B99" s="89" t="s">
        <v>314</v>
      </c>
      <c r="C99" s="89" t="s">
        <v>758</v>
      </c>
      <c r="D99" s="54">
        <v>0.811</v>
      </c>
      <c r="E99" s="90" t="s">
        <v>20</v>
      </c>
      <c r="F99" s="89" t="s">
        <v>21</v>
      </c>
      <c r="G99" s="79"/>
      <c r="H99" s="39" t="s">
        <v>22</v>
      </c>
      <c r="I99" s="80"/>
      <c r="J99" s="39"/>
      <c r="K99" s="39"/>
      <c r="L99" s="39"/>
      <c r="M99" s="39"/>
      <c r="N99" s="39" t="s">
        <v>22</v>
      </c>
      <c r="O99" s="39"/>
      <c r="P99" s="80"/>
      <c r="Q99" s="99">
        <f>random_key!A93</f>
        <v>0.9602527706</v>
      </c>
    </row>
    <row r="100">
      <c r="A100" s="54">
        <v>52.0</v>
      </c>
      <c r="B100" s="89" t="s">
        <v>170</v>
      </c>
      <c r="C100" s="89" t="s">
        <v>714</v>
      </c>
      <c r="D100" s="54">
        <v>0.959</v>
      </c>
      <c r="E100" s="90" t="s">
        <v>20</v>
      </c>
      <c r="F100" s="89" t="s">
        <v>21</v>
      </c>
      <c r="G100" s="79"/>
      <c r="H100" s="39" t="s">
        <v>22</v>
      </c>
      <c r="I100" s="80"/>
      <c r="J100" s="39"/>
      <c r="K100" s="39"/>
      <c r="L100" s="39"/>
      <c r="M100" s="39"/>
      <c r="N100" s="39" t="s">
        <v>22</v>
      </c>
      <c r="O100" s="39"/>
      <c r="P100" s="80"/>
      <c r="Q100" s="99">
        <f>random_key!A46</f>
        <v>0.9629101769</v>
      </c>
    </row>
    <row r="101">
      <c r="A101" s="54">
        <v>29.0</v>
      </c>
      <c r="B101" s="89" t="s">
        <v>108</v>
      </c>
      <c r="C101" s="89" t="s">
        <v>693</v>
      </c>
      <c r="D101" s="54">
        <v>0.006</v>
      </c>
      <c r="E101" s="90" t="s">
        <v>20</v>
      </c>
      <c r="F101" s="89" t="s">
        <v>26</v>
      </c>
      <c r="G101" s="79"/>
      <c r="H101" s="39"/>
      <c r="I101" s="80" t="s">
        <v>22</v>
      </c>
      <c r="J101" s="39"/>
      <c r="K101" s="39"/>
      <c r="L101" s="39"/>
      <c r="M101" s="39"/>
      <c r="N101" s="39"/>
      <c r="O101" s="39"/>
      <c r="P101" s="80" t="s">
        <v>854</v>
      </c>
      <c r="Q101" s="99">
        <f>random_key!A27</f>
        <v>0.9854616735</v>
      </c>
    </row>
    <row r="102">
      <c r="A102" s="54">
        <v>4.0</v>
      </c>
      <c r="B102" s="89" t="s">
        <v>28</v>
      </c>
      <c r="C102" s="89" t="s">
        <v>664</v>
      </c>
      <c r="D102" s="54">
        <v>0.972</v>
      </c>
      <c r="E102" s="90" t="s">
        <v>31</v>
      </c>
      <c r="F102" s="89" t="s">
        <v>21</v>
      </c>
      <c r="G102" s="79"/>
      <c r="H102" s="39" t="s">
        <v>22</v>
      </c>
      <c r="I102" s="80"/>
      <c r="J102" s="39"/>
      <c r="K102" s="39"/>
      <c r="L102" s="39"/>
      <c r="M102" s="39"/>
      <c r="N102" s="39"/>
      <c r="O102" s="39" t="s">
        <v>22</v>
      </c>
      <c r="P102" s="80"/>
      <c r="Q102" s="99">
        <f>random_key!A3</f>
        <v>0.9970902728</v>
      </c>
    </row>
    <row r="103">
      <c r="A103" s="76">
        <v>62.0</v>
      </c>
      <c r="B103" s="95" t="s">
        <v>194</v>
      </c>
      <c r="C103" s="95" t="s">
        <v>722</v>
      </c>
      <c r="D103" s="76">
        <v>0.047</v>
      </c>
      <c r="E103" s="96" t="s">
        <v>21</v>
      </c>
      <c r="F103" s="95" t="s">
        <v>20</v>
      </c>
      <c r="G103" s="86" t="s">
        <v>22</v>
      </c>
      <c r="H103" s="85"/>
      <c r="I103" s="87"/>
      <c r="J103" s="85"/>
      <c r="K103" s="85" t="s">
        <v>22</v>
      </c>
      <c r="L103" s="85"/>
      <c r="M103" s="85"/>
      <c r="N103" s="85"/>
      <c r="O103" s="85"/>
      <c r="P103" s="87"/>
      <c r="Q103" s="99">
        <f>random_key!A54</f>
        <v>0.9973993648</v>
      </c>
    </row>
    <row r="104">
      <c r="A104" s="39"/>
      <c r="B104" s="39"/>
      <c r="C104" s="39"/>
      <c r="D104" s="39"/>
      <c r="E104" s="39"/>
      <c r="F104" s="39"/>
      <c r="G104" s="39"/>
      <c r="H104" s="39"/>
      <c r="I104" s="39"/>
      <c r="J104" s="39"/>
      <c r="K104" s="39"/>
      <c r="L104" s="39"/>
      <c r="M104" s="39"/>
      <c r="N104" s="39"/>
      <c r="O104" s="39"/>
      <c r="P104" s="39"/>
    </row>
    <row r="105">
      <c r="A105" s="39"/>
      <c r="B105" s="39"/>
      <c r="C105" s="39"/>
      <c r="D105" s="39"/>
      <c r="E105" s="39"/>
      <c r="F105" s="39"/>
      <c r="G105" s="60">
        <f t="shared" ref="G105:O105" si="1">COUNTIF(G4:G103,"x")</f>
        <v>31</v>
      </c>
      <c r="H105" s="39">
        <f t="shared" si="1"/>
        <v>53</v>
      </c>
      <c r="I105" s="60">
        <f t="shared" si="1"/>
        <v>15</v>
      </c>
      <c r="J105" s="39">
        <f t="shared" si="1"/>
        <v>5</v>
      </c>
      <c r="K105" s="39">
        <f t="shared" si="1"/>
        <v>39</v>
      </c>
      <c r="L105" s="97">
        <f t="shared" si="1"/>
        <v>10</v>
      </c>
      <c r="M105" s="39">
        <f t="shared" si="1"/>
        <v>3</v>
      </c>
      <c r="N105" s="39">
        <f t="shared" si="1"/>
        <v>14</v>
      </c>
      <c r="O105" s="39">
        <f t="shared" si="1"/>
        <v>24</v>
      </c>
      <c r="P105" s="39"/>
    </row>
  </sheetData>
  <mergeCells count="3">
    <mergeCell ref="E2:F2"/>
    <mergeCell ref="G2:I2"/>
    <mergeCell ref="J2:O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E1" s="100"/>
      <c r="G1" s="100"/>
      <c r="I1" s="101"/>
      <c r="O1" s="101"/>
    </row>
    <row r="2">
      <c r="B2" s="72" t="s">
        <v>0</v>
      </c>
      <c r="C2" s="72" t="s">
        <v>1</v>
      </c>
      <c r="D2" s="72" t="s">
        <v>2</v>
      </c>
      <c r="E2" s="100" t="s">
        <v>3</v>
      </c>
      <c r="F2" s="101"/>
      <c r="G2" s="100" t="s">
        <v>4</v>
      </c>
      <c r="I2" s="101"/>
      <c r="J2" s="72" t="s">
        <v>5</v>
      </c>
      <c r="O2" s="101"/>
    </row>
    <row r="3">
      <c r="A3" s="69" t="s">
        <v>6</v>
      </c>
      <c r="B3" s="69"/>
      <c r="C3" s="69"/>
      <c r="D3" s="69"/>
      <c r="E3" s="102" t="s">
        <v>7</v>
      </c>
      <c r="F3" s="103" t="s">
        <v>8</v>
      </c>
      <c r="G3" s="102" t="s">
        <v>7</v>
      </c>
      <c r="H3" s="69" t="s">
        <v>8</v>
      </c>
      <c r="I3" s="103" t="s">
        <v>9</v>
      </c>
      <c r="J3" s="69" t="s">
        <v>340</v>
      </c>
      <c r="K3" s="69" t="s">
        <v>341</v>
      </c>
      <c r="L3" s="69" t="s">
        <v>342</v>
      </c>
      <c r="M3" s="69" t="s">
        <v>343</v>
      </c>
      <c r="N3" s="69" t="s">
        <v>344</v>
      </c>
      <c r="O3" s="103" t="s">
        <v>16</v>
      </c>
    </row>
    <row r="4">
      <c r="A4" s="72">
        <v>1.0</v>
      </c>
      <c r="B4" s="72" t="s">
        <v>345</v>
      </c>
      <c r="C4" s="72" t="s">
        <v>767</v>
      </c>
      <c r="D4" s="72">
        <v>0.125</v>
      </c>
      <c r="E4" s="100" t="s">
        <v>21</v>
      </c>
      <c r="F4" s="101" t="s">
        <v>31</v>
      </c>
      <c r="G4" s="72" t="s">
        <v>22</v>
      </c>
      <c r="I4" s="101"/>
      <c r="M4" s="72" t="s">
        <v>22</v>
      </c>
      <c r="O4" s="101"/>
    </row>
    <row r="5">
      <c r="A5" s="72">
        <v>2.0</v>
      </c>
      <c r="B5" s="72" t="s">
        <v>348</v>
      </c>
      <c r="C5" s="72" t="s">
        <v>768</v>
      </c>
      <c r="D5" s="72">
        <v>0.838</v>
      </c>
      <c r="E5" s="100" t="s">
        <v>351</v>
      </c>
      <c r="F5" s="101" t="s">
        <v>21</v>
      </c>
      <c r="G5" s="72" t="s">
        <v>22</v>
      </c>
      <c r="I5" s="101"/>
      <c r="J5" s="72" t="s">
        <v>22</v>
      </c>
      <c r="O5" s="101"/>
    </row>
    <row r="6">
      <c r="A6" s="72">
        <v>3.0</v>
      </c>
      <c r="B6" s="72" t="s">
        <v>352</v>
      </c>
      <c r="C6" s="72" t="s">
        <v>769</v>
      </c>
      <c r="D6" s="72">
        <v>0.769</v>
      </c>
      <c r="E6" s="100" t="s">
        <v>351</v>
      </c>
      <c r="F6" s="101" t="s">
        <v>21</v>
      </c>
      <c r="G6" s="72" t="s">
        <v>22</v>
      </c>
      <c r="I6" s="101"/>
      <c r="M6" s="72" t="s">
        <v>22</v>
      </c>
      <c r="O6" s="101"/>
    </row>
    <row r="7">
      <c r="A7" s="72">
        <v>4.0</v>
      </c>
      <c r="B7" s="72" t="s">
        <v>356</v>
      </c>
      <c r="C7" s="72" t="s">
        <v>770</v>
      </c>
      <c r="D7" s="72">
        <v>0.5</v>
      </c>
      <c r="E7" s="100" t="s">
        <v>351</v>
      </c>
      <c r="F7" s="101" t="s">
        <v>21</v>
      </c>
      <c r="H7" s="72" t="s">
        <v>22</v>
      </c>
      <c r="I7" s="101"/>
      <c r="N7" s="72" t="s">
        <v>22</v>
      </c>
      <c r="O7" s="101"/>
    </row>
    <row r="8">
      <c r="A8" s="72">
        <v>5.0</v>
      </c>
      <c r="B8" s="72" t="s">
        <v>359</v>
      </c>
      <c r="C8" s="72" t="s">
        <v>771</v>
      </c>
      <c r="D8" s="72">
        <v>0.973</v>
      </c>
      <c r="E8" s="100" t="s">
        <v>351</v>
      </c>
      <c r="F8" s="101" t="s">
        <v>21</v>
      </c>
      <c r="G8" s="72" t="s">
        <v>22</v>
      </c>
      <c r="I8" s="101"/>
      <c r="N8" s="72" t="s">
        <v>22</v>
      </c>
      <c r="O8" s="101"/>
    </row>
    <row r="9">
      <c r="A9" s="72">
        <v>6.0</v>
      </c>
      <c r="B9" s="72" t="s">
        <v>361</v>
      </c>
      <c r="C9" s="72" t="s">
        <v>772</v>
      </c>
      <c r="D9" s="72">
        <v>0.125</v>
      </c>
      <c r="E9" s="100" t="s">
        <v>21</v>
      </c>
      <c r="F9" s="101" t="s">
        <v>20</v>
      </c>
      <c r="G9" s="72" t="s">
        <v>22</v>
      </c>
      <c r="I9" s="101"/>
      <c r="J9" s="72" t="s">
        <v>22</v>
      </c>
      <c r="O9" s="101"/>
    </row>
    <row r="10">
      <c r="A10" s="72">
        <v>7.0</v>
      </c>
      <c r="B10" s="72" t="s">
        <v>363</v>
      </c>
      <c r="C10" s="72" t="s">
        <v>767</v>
      </c>
      <c r="D10" s="72">
        <v>0.099</v>
      </c>
      <c r="E10" s="100" t="s">
        <v>21</v>
      </c>
      <c r="F10" s="101" t="s">
        <v>31</v>
      </c>
      <c r="I10" s="101"/>
      <c r="O10" s="101"/>
    </row>
    <row r="11">
      <c r="A11" s="72">
        <v>8.0</v>
      </c>
      <c r="B11" s="72" t="s">
        <v>365</v>
      </c>
      <c r="C11" s="72" t="s">
        <v>773</v>
      </c>
      <c r="D11" s="72">
        <v>0.751</v>
      </c>
      <c r="E11" s="100" t="s">
        <v>351</v>
      </c>
      <c r="F11" s="101" t="s">
        <v>21</v>
      </c>
      <c r="G11" s="72" t="s">
        <v>22</v>
      </c>
      <c r="I11" s="101"/>
      <c r="N11" s="72" t="s">
        <v>22</v>
      </c>
      <c r="O11" s="101"/>
    </row>
    <row r="12">
      <c r="A12" s="72">
        <v>9.0</v>
      </c>
      <c r="B12" s="72" t="s">
        <v>368</v>
      </c>
      <c r="C12" s="72" t="s">
        <v>774</v>
      </c>
      <c r="D12" s="72">
        <v>0.524</v>
      </c>
      <c r="E12" s="100" t="s">
        <v>351</v>
      </c>
      <c r="F12" s="101" t="s">
        <v>21</v>
      </c>
      <c r="G12" s="72" t="s">
        <v>22</v>
      </c>
      <c r="I12" s="101"/>
      <c r="J12" s="72" t="s">
        <v>22</v>
      </c>
      <c r="O12" s="101"/>
    </row>
    <row r="13">
      <c r="A13" s="72">
        <v>10.0</v>
      </c>
      <c r="B13" s="72" t="s">
        <v>371</v>
      </c>
      <c r="C13" s="72" t="s">
        <v>775</v>
      </c>
      <c r="D13" s="72">
        <v>0.961</v>
      </c>
      <c r="E13" s="100" t="s">
        <v>351</v>
      </c>
      <c r="F13" s="101" t="s">
        <v>21</v>
      </c>
      <c r="H13" s="72" t="s">
        <v>22</v>
      </c>
      <c r="I13" s="101"/>
      <c r="N13" s="72" t="s">
        <v>22</v>
      </c>
      <c r="O13" s="101"/>
    </row>
    <row r="14">
      <c r="A14" s="72">
        <v>11.0</v>
      </c>
      <c r="B14" s="72" t="s">
        <v>374</v>
      </c>
      <c r="C14" s="72" t="s">
        <v>776</v>
      </c>
      <c r="D14" s="72">
        <v>0.053</v>
      </c>
      <c r="E14" s="100" t="s">
        <v>21</v>
      </c>
      <c r="F14" s="101" t="s">
        <v>26</v>
      </c>
      <c r="H14" s="72" t="s">
        <v>22</v>
      </c>
      <c r="I14" s="101"/>
      <c r="N14" s="72" t="s">
        <v>22</v>
      </c>
      <c r="O14" s="101"/>
    </row>
    <row r="15">
      <c r="A15" s="72">
        <v>12.0</v>
      </c>
      <c r="B15" s="72" t="s">
        <v>368</v>
      </c>
      <c r="C15" s="72" t="s">
        <v>774</v>
      </c>
      <c r="D15" s="72">
        <v>0.524</v>
      </c>
      <c r="E15" s="100" t="s">
        <v>351</v>
      </c>
      <c r="F15" s="101" t="s">
        <v>21</v>
      </c>
      <c r="I15" s="101"/>
      <c r="O15" s="101"/>
    </row>
    <row r="16">
      <c r="A16" s="72">
        <v>13.0</v>
      </c>
      <c r="B16" s="72" t="s">
        <v>377</v>
      </c>
      <c r="C16" s="72" t="s">
        <v>777</v>
      </c>
      <c r="D16" s="72">
        <v>0.964</v>
      </c>
      <c r="E16" s="100" t="s">
        <v>351</v>
      </c>
      <c r="F16" s="101" t="s">
        <v>21</v>
      </c>
      <c r="G16" s="72" t="s">
        <v>22</v>
      </c>
      <c r="I16" s="101"/>
      <c r="M16" s="72" t="s">
        <v>22</v>
      </c>
      <c r="O16" s="101"/>
    </row>
    <row r="17">
      <c r="A17" s="72">
        <v>14.0</v>
      </c>
      <c r="B17" s="72" t="s">
        <v>381</v>
      </c>
      <c r="C17" s="72" t="s">
        <v>778</v>
      </c>
      <c r="D17" s="72">
        <v>0.626</v>
      </c>
      <c r="E17" s="100" t="s">
        <v>351</v>
      </c>
      <c r="F17" s="101" t="s">
        <v>21</v>
      </c>
      <c r="I17" s="101"/>
      <c r="O17" s="101"/>
    </row>
    <row r="18">
      <c r="A18" s="72">
        <v>15.0</v>
      </c>
      <c r="B18" s="72" t="s">
        <v>384</v>
      </c>
      <c r="C18" s="72" t="s">
        <v>779</v>
      </c>
      <c r="D18" s="72">
        <v>0.001</v>
      </c>
      <c r="E18" s="100" t="s">
        <v>21</v>
      </c>
      <c r="F18" s="101" t="s">
        <v>20</v>
      </c>
      <c r="H18" s="72" t="s">
        <v>22</v>
      </c>
      <c r="I18" s="101"/>
      <c r="N18" s="72" t="s">
        <v>22</v>
      </c>
      <c r="O18" s="101"/>
    </row>
    <row r="19">
      <c r="A19" s="72">
        <v>16.0</v>
      </c>
      <c r="B19" s="72" t="s">
        <v>387</v>
      </c>
      <c r="C19" s="72" t="s">
        <v>780</v>
      </c>
      <c r="D19" s="72">
        <v>0.007</v>
      </c>
      <c r="E19" s="100" t="s">
        <v>21</v>
      </c>
      <c r="F19" s="101" t="s">
        <v>20</v>
      </c>
      <c r="I19" s="101"/>
      <c r="O19" s="101"/>
    </row>
    <row r="20">
      <c r="A20" s="72">
        <v>17.0</v>
      </c>
      <c r="B20" s="72" t="s">
        <v>390</v>
      </c>
      <c r="C20" s="72" t="s">
        <v>781</v>
      </c>
      <c r="D20" s="72">
        <v>0.855</v>
      </c>
      <c r="E20" s="100" t="s">
        <v>351</v>
      </c>
      <c r="F20" s="101" t="s">
        <v>21</v>
      </c>
      <c r="H20" s="72" t="s">
        <v>22</v>
      </c>
      <c r="I20" s="101"/>
      <c r="M20" s="72" t="s">
        <v>22</v>
      </c>
      <c r="O20" s="101"/>
    </row>
    <row r="21">
      <c r="A21" s="72">
        <v>18.0</v>
      </c>
      <c r="B21" s="72" t="s">
        <v>394</v>
      </c>
      <c r="C21" s="72" t="s">
        <v>783</v>
      </c>
      <c r="D21" s="72">
        <v>0.14</v>
      </c>
      <c r="E21" s="100" t="s">
        <v>21</v>
      </c>
      <c r="F21" s="101" t="s">
        <v>20</v>
      </c>
      <c r="G21" s="72" t="s">
        <v>22</v>
      </c>
      <c r="I21" s="101"/>
      <c r="J21" s="72" t="s">
        <v>22</v>
      </c>
      <c r="O21" s="101"/>
    </row>
    <row r="22">
      <c r="A22" s="72">
        <v>19.0</v>
      </c>
      <c r="B22" s="72" t="s">
        <v>398</v>
      </c>
      <c r="C22" s="72" t="s">
        <v>784</v>
      </c>
      <c r="D22" s="72">
        <v>0.164</v>
      </c>
      <c r="E22" s="100" t="s">
        <v>21</v>
      </c>
      <c r="F22" s="101" t="s">
        <v>20</v>
      </c>
      <c r="I22" s="101" t="s">
        <v>22</v>
      </c>
      <c r="O22" s="101" t="s">
        <v>859</v>
      </c>
    </row>
    <row r="23">
      <c r="A23" s="72">
        <v>20.0</v>
      </c>
      <c r="B23" s="72" t="s">
        <v>402</v>
      </c>
      <c r="C23" s="72" t="s">
        <v>773</v>
      </c>
      <c r="D23" s="72">
        <v>0.81</v>
      </c>
      <c r="E23" s="100" t="s">
        <v>351</v>
      </c>
      <c r="F23" s="101" t="s">
        <v>21</v>
      </c>
      <c r="G23" s="72" t="s">
        <v>22</v>
      </c>
      <c r="I23" s="101"/>
      <c r="J23" s="72" t="s">
        <v>22</v>
      </c>
      <c r="O23" s="101"/>
    </row>
    <row r="24">
      <c r="A24" s="72">
        <v>21.0</v>
      </c>
      <c r="B24" s="72" t="s">
        <v>404</v>
      </c>
      <c r="C24" s="72" t="s">
        <v>785</v>
      </c>
      <c r="D24" s="72">
        <v>0.004</v>
      </c>
      <c r="E24" s="100" t="s">
        <v>21</v>
      </c>
      <c r="F24" s="101" t="s">
        <v>26</v>
      </c>
      <c r="I24" s="101"/>
      <c r="O24" s="101"/>
    </row>
    <row r="25">
      <c r="A25" s="72">
        <v>22.0</v>
      </c>
      <c r="B25" s="72" t="s">
        <v>406</v>
      </c>
      <c r="C25" s="72" t="s">
        <v>786</v>
      </c>
      <c r="D25" s="72">
        <v>0.122</v>
      </c>
      <c r="E25" s="100" t="s">
        <v>21</v>
      </c>
      <c r="F25" s="101" t="s">
        <v>31</v>
      </c>
      <c r="G25" s="72" t="s">
        <v>22</v>
      </c>
      <c r="I25" s="101"/>
      <c r="J25" s="72" t="s">
        <v>22</v>
      </c>
      <c r="O25" s="101"/>
    </row>
    <row r="26">
      <c r="A26" s="72">
        <v>23.0</v>
      </c>
      <c r="B26" s="72" t="s">
        <v>408</v>
      </c>
      <c r="C26" s="72" t="s">
        <v>788</v>
      </c>
      <c r="D26" s="72">
        <v>0.417</v>
      </c>
      <c r="E26" s="100" t="s">
        <v>21</v>
      </c>
      <c r="F26" s="101" t="s">
        <v>31</v>
      </c>
      <c r="H26" s="72" t="s">
        <v>22</v>
      </c>
      <c r="I26" s="101"/>
      <c r="L26" s="72" t="s">
        <v>22</v>
      </c>
      <c r="O26" s="101"/>
    </row>
    <row r="27">
      <c r="A27" s="72">
        <v>24.0</v>
      </c>
      <c r="B27" s="72" t="s">
        <v>411</v>
      </c>
      <c r="C27" s="72" t="s">
        <v>789</v>
      </c>
      <c r="D27" s="72">
        <v>0.537</v>
      </c>
      <c r="E27" s="100" t="s">
        <v>351</v>
      </c>
      <c r="F27" s="101" t="s">
        <v>21</v>
      </c>
      <c r="H27" s="72" t="s">
        <v>22</v>
      </c>
      <c r="I27" s="101"/>
      <c r="L27" s="72" t="s">
        <v>22</v>
      </c>
      <c r="O27" s="101"/>
    </row>
    <row r="28">
      <c r="A28" s="72">
        <v>25.0</v>
      </c>
      <c r="B28" s="72" t="s">
        <v>414</v>
      </c>
      <c r="C28" s="72" t="s">
        <v>790</v>
      </c>
      <c r="D28" s="72">
        <v>0.114</v>
      </c>
      <c r="E28" s="100" t="s">
        <v>21</v>
      </c>
      <c r="F28" s="101" t="s">
        <v>20</v>
      </c>
      <c r="I28" s="101"/>
      <c r="O28" s="101"/>
    </row>
    <row r="29">
      <c r="A29" s="72">
        <v>26.0</v>
      </c>
      <c r="B29" s="72" t="s">
        <v>417</v>
      </c>
      <c r="C29" s="72" t="s">
        <v>789</v>
      </c>
      <c r="D29" s="72">
        <v>0.07</v>
      </c>
      <c r="E29" s="100" t="s">
        <v>21</v>
      </c>
      <c r="F29" s="101" t="s">
        <v>20</v>
      </c>
      <c r="I29" s="101" t="s">
        <v>22</v>
      </c>
      <c r="L29" s="72" t="s">
        <v>22</v>
      </c>
      <c r="O29" s="101"/>
    </row>
    <row r="30">
      <c r="A30" s="72">
        <v>27.0</v>
      </c>
      <c r="C30" s="72" t="s">
        <v>791</v>
      </c>
      <c r="D30" s="72">
        <v>0.599</v>
      </c>
      <c r="E30" s="100" t="s">
        <v>351</v>
      </c>
      <c r="F30" s="101" t="s">
        <v>21</v>
      </c>
      <c r="H30" s="72" t="s">
        <v>22</v>
      </c>
      <c r="I30" s="101"/>
      <c r="N30" s="72" t="s">
        <v>22</v>
      </c>
      <c r="O30" s="101"/>
    </row>
    <row r="31">
      <c r="A31" s="72">
        <v>28.0</v>
      </c>
      <c r="B31" s="72" t="s">
        <v>424</v>
      </c>
      <c r="C31" s="72" t="s">
        <v>792</v>
      </c>
      <c r="D31" s="72">
        <v>0.229</v>
      </c>
      <c r="E31" s="100" t="s">
        <v>21</v>
      </c>
      <c r="F31" s="101" t="s">
        <v>31</v>
      </c>
      <c r="I31" s="101" t="s">
        <v>22</v>
      </c>
      <c r="L31" s="72" t="s">
        <v>22</v>
      </c>
      <c r="O31" s="101"/>
    </row>
    <row r="32">
      <c r="A32" s="72">
        <v>29.0</v>
      </c>
      <c r="B32" s="72" t="s">
        <v>428</v>
      </c>
      <c r="C32" s="72" t="s">
        <v>794</v>
      </c>
      <c r="D32" s="72">
        <v>0.906</v>
      </c>
      <c r="E32" s="100" t="s">
        <v>351</v>
      </c>
      <c r="F32" s="101" t="s">
        <v>21</v>
      </c>
      <c r="G32" s="72" t="s">
        <v>22</v>
      </c>
      <c r="I32" s="101"/>
      <c r="J32" s="72" t="s">
        <v>22</v>
      </c>
      <c r="O32" s="101"/>
    </row>
    <row r="33">
      <c r="A33" s="72">
        <v>30.0</v>
      </c>
      <c r="B33" s="72" t="s">
        <v>431</v>
      </c>
      <c r="C33" s="72" t="s">
        <v>795</v>
      </c>
      <c r="D33" s="72">
        <v>0.002</v>
      </c>
      <c r="E33" s="100" t="s">
        <v>21</v>
      </c>
      <c r="F33" s="101" t="s">
        <v>20</v>
      </c>
      <c r="I33" s="101"/>
      <c r="O33" s="101"/>
    </row>
    <row r="34">
      <c r="A34" s="72">
        <v>31.0</v>
      </c>
      <c r="B34" s="72" t="s">
        <v>433</v>
      </c>
      <c r="C34" s="72" t="s">
        <v>796</v>
      </c>
      <c r="D34" s="72">
        <v>0.969</v>
      </c>
      <c r="E34" s="100" t="s">
        <v>351</v>
      </c>
      <c r="F34" s="101" t="s">
        <v>21</v>
      </c>
      <c r="I34" s="101" t="s">
        <v>22</v>
      </c>
      <c r="L34" s="72" t="s">
        <v>22</v>
      </c>
      <c r="O34" s="101"/>
    </row>
    <row r="35">
      <c r="A35" s="72">
        <v>32.0</v>
      </c>
      <c r="B35" s="72" t="s">
        <v>436</v>
      </c>
      <c r="C35" s="72" t="s">
        <v>797</v>
      </c>
      <c r="D35" s="72">
        <v>0.002</v>
      </c>
      <c r="E35" s="100" t="s">
        <v>21</v>
      </c>
      <c r="F35" s="101" t="s">
        <v>20</v>
      </c>
      <c r="H35" s="72" t="s">
        <v>22</v>
      </c>
      <c r="I35" s="101"/>
      <c r="N35" s="72" t="s">
        <v>22</v>
      </c>
      <c r="O35" s="101"/>
    </row>
    <row r="36">
      <c r="A36" s="72">
        <v>33.0</v>
      </c>
      <c r="B36" s="72" t="s">
        <v>439</v>
      </c>
      <c r="C36" s="72" t="s">
        <v>798</v>
      </c>
      <c r="D36" s="72">
        <v>0.047</v>
      </c>
      <c r="E36" s="100" t="s">
        <v>21</v>
      </c>
      <c r="F36" s="101" t="s">
        <v>20</v>
      </c>
      <c r="H36" s="72" t="s">
        <v>22</v>
      </c>
      <c r="I36" s="101"/>
      <c r="M36" s="72" t="s">
        <v>22</v>
      </c>
      <c r="O36" s="101"/>
    </row>
    <row r="37">
      <c r="A37" s="72">
        <v>34.0</v>
      </c>
      <c r="B37" s="72" t="s">
        <v>442</v>
      </c>
      <c r="C37" s="72" t="s">
        <v>800</v>
      </c>
      <c r="D37" s="72">
        <v>0.004</v>
      </c>
      <c r="E37" s="100" t="s">
        <v>21</v>
      </c>
      <c r="F37" s="101" t="s">
        <v>20</v>
      </c>
      <c r="H37" s="72" t="s">
        <v>22</v>
      </c>
      <c r="I37" s="101"/>
      <c r="M37" s="72" t="s">
        <v>22</v>
      </c>
      <c r="O37" s="101"/>
    </row>
    <row r="38">
      <c r="A38" s="72">
        <v>35.0</v>
      </c>
      <c r="B38" s="72" t="s">
        <v>445</v>
      </c>
      <c r="C38" s="72" t="s">
        <v>801</v>
      </c>
      <c r="D38" s="72">
        <v>0.068</v>
      </c>
      <c r="E38" s="100" t="s">
        <v>21</v>
      </c>
      <c r="F38" s="101" t="s">
        <v>20</v>
      </c>
      <c r="I38" s="101" t="s">
        <v>22</v>
      </c>
      <c r="L38" s="72" t="s">
        <v>22</v>
      </c>
      <c r="O38" s="101"/>
    </row>
    <row r="39">
      <c r="A39" s="72">
        <v>36.0</v>
      </c>
      <c r="B39" s="72" t="s">
        <v>448</v>
      </c>
      <c r="C39" s="72" t="s">
        <v>802</v>
      </c>
      <c r="D39" s="72">
        <v>0.408</v>
      </c>
      <c r="E39" s="100" t="s">
        <v>21</v>
      </c>
      <c r="F39" s="101" t="s">
        <v>20</v>
      </c>
      <c r="I39" s="101"/>
      <c r="O39" s="101"/>
    </row>
    <row r="40">
      <c r="A40" s="72">
        <v>37.0</v>
      </c>
      <c r="B40" s="72" t="s">
        <v>452</v>
      </c>
      <c r="C40" s="72" t="s">
        <v>769</v>
      </c>
      <c r="D40" s="72">
        <v>0.276</v>
      </c>
      <c r="E40" s="100" t="s">
        <v>21</v>
      </c>
      <c r="F40" s="101" t="s">
        <v>20</v>
      </c>
      <c r="I40" s="101"/>
      <c r="O40" s="101"/>
    </row>
    <row r="41">
      <c r="A41" s="72">
        <v>38.0</v>
      </c>
      <c r="B41" s="72" t="s">
        <v>456</v>
      </c>
      <c r="C41" s="72" t="s">
        <v>803</v>
      </c>
      <c r="D41" s="72">
        <v>0.456</v>
      </c>
      <c r="E41" s="100" t="s">
        <v>21</v>
      </c>
      <c r="F41" s="101" t="s">
        <v>20</v>
      </c>
      <c r="H41" s="72" t="s">
        <v>22</v>
      </c>
      <c r="I41" s="101"/>
      <c r="M41" s="72" t="s">
        <v>22</v>
      </c>
      <c r="O41" s="101"/>
    </row>
    <row r="42">
      <c r="A42" s="72">
        <v>39.0</v>
      </c>
      <c r="B42" s="72" t="s">
        <v>460</v>
      </c>
      <c r="C42" s="72" t="s">
        <v>805</v>
      </c>
      <c r="D42" s="72">
        <v>0.529</v>
      </c>
      <c r="E42" s="100" t="s">
        <v>351</v>
      </c>
      <c r="F42" s="101" t="s">
        <v>21</v>
      </c>
      <c r="G42" s="72" t="s">
        <v>22</v>
      </c>
      <c r="I42" s="101"/>
      <c r="M42" s="72" t="s">
        <v>22</v>
      </c>
      <c r="O42" s="101"/>
    </row>
    <row r="43">
      <c r="A43" s="72">
        <v>40.0</v>
      </c>
      <c r="B43" s="72" t="s">
        <v>464</v>
      </c>
      <c r="C43" s="72" t="s">
        <v>806</v>
      </c>
      <c r="D43" s="72">
        <v>0.459</v>
      </c>
      <c r="E43" s="100" t="s">
        <v>21</v>
      </c>
      <c r="F43" s="101" t="s">
        <v>31</v>
      </c>
      <c r="H43" s="72" t="s">
        <v>22</v>
      </c>
      <c r="I43" s="101"/>
      <c r="N43" s="72" t="s">
        <v>22</v>
      </c>
      <c r="O43" s="101"/>
    </row>
    <row r="44">
      <c r="A44" s="72">
        <v>41.0</v>
      </c>
      <c r="B44" s="72" t="s">
        <v>467</v>
      </c>
      <c r="C44" s="72" t="s">
        <v>807</v>
      </c>
      <c r="D44" s="72">
        <v>0.793</v>
      </c>
      <c r="E44" s="100" t="s">
        <v>351</v>
      </c>
      <c r="F44" s="101" t="s">
        <v>21</v>
      </c>
      <c r="I44" s="101"/>
      <c r="O44" s="101"/>
    </row>
    <row r="45">
      <c r="A45" s="72">
        <v>42.0</v>
      </c>
      <c r="B45" s="72" t="s">
        <v>470</v>
      </c>
      <c r="C45" s="72" t="s">
        <v>808</v>
      </c>
      <c r="D45" s="72">
        <v>0.97</v>
      </c>
      <c r="E45" s="100" t="s">
        <v>351</v>
      </c>
      <c r="F45" s="101" t="s">
        <v>21</v>
      </c>
      <c r="I45" s="101"/>
      <c r="O45" s="101"/>
    </row>
    <row r="46">
      <c r="A46" s="72">
        <v>43.0</v>
      </c>
      <c r="B46" s="72" t="s">
        <v>473</v>
      </c>
      <c r="C46" s="72" t="s">
        <v>809</v>
      </c>
      <c r="D46" s="72">
        <v>0.107</v>
      </c>
      <c r="E46" s="100" t="s">
        <v>21</v>
      </c>
      <c r="F46" s="101" t="s">
        <v>20</v>
      </c>
      <c r="G46" s="72" t="s">
        <v>22</v>
      </c>
      <c r="I46" s="101"/>
      <c r="M46" s="72" t="s">
        <v>22</v>
      </c>
      <c r="O46" s="101"/>
    </row>
    <row r="47">
      <c r="A47" s="72">
        <v>44.0</v>
      </c>
      <c r="B47" s="72" t="s">
        <v>477</v>
      </c>
      <c r="C47" s="72" t="s">
        <v>810</v>
      </c>
      <c r="D47" s="72">
        <v>0.543</v>
      </c>
      <c r="E47" s="100" t="s">
        <v>351</v>
      </c>
      <c r="F47" s="101" t="s">
        <v>21</v>
      </c>
      <c r="I47" s="101"/>
      <c r="O47" s="101"/>
    </row>
    <row r="48">
      <c r="A48" s="72">
        <v>45.0</v>
      </c>
      <c r="B48" s="72" t="s">
        <v>481</v>
      </c>
      <c r="C48" s="72" t="s">
        <v>811</v>
      </c>
      <c r="D48" s="72">
        <v>0.934</v>
      </c>
      <c r="E48" s="100" t="s">
        <v>351</v>
      </c>
      <c r="F48" s="101" t="s">
        <v>21</v>
      </c>
      <c r="I48" s="101"/>
      <c r="O48" s="101"/>
    </row>
    <row r="49">
      <c r="A49" s="72">
        <v>46.0</v>
      </c>
      <c r="B49" s="72" t="s">
        <v>485</v>
      </c>
      <c r="C49" s="72" t="s">
        <v>772</v>
      </c>
      <c r="D49" s="72">
        <v>0.414</v>
      </c>
      <c r="E49" s="100" t="s">
        <v>21</v>
      </c>
      <c r="F49" s="101" t="s">
        <v>20</v>
      </c>
      <c r="G49" s="72" t="s">
        <v>22</v>
      </c>
      <c r="I49" s="101"/>
      <c r="J49" s="72" t="s">
        <v>22</v>
      </c>
      <c r="O49" s="101"/>
    </row>
    <row r="50">
      <c r="A50" s="72">
        <v>47.0</v>
      </c>
      <c r="B50" s="72" t="s">
        <v>488</v>
      </c>
      <c r="C50" s="72" t="s">
        <v>773</v>
      </c>
      <c r="D50" s="72">
        <v>0.885</v>
      </c>
      <c r="E50" s="100" t="s">
        <v>351</v>
      </c>
      <c r="F50" s="101" t="s">
        <v>21</v>
      </c>
      <c r="I50" s="101" t="s">
        <v>22</v>
      </c>
      <c r="L50" s="72" t="s">
        <v>22</v>
      </c>
      <c r="O50" s="101"/>
    </row>
    <row r="51">
      <c r="A51" s="72">
        <v>48.0</v>
      </c>
      <c r="B51" s="72" t="s">
        <v>491</v>
      </c>
      <c r="C51" s="72" t="s">
        <v>767</v>
      </c>
      <c r="D51" s="72">
        <v>0.8</v>
      </c>
      <c r="E51" s="100" t="s">
        <v>351</v>
      </c>
      <c r="F51" s="101" t="s">
        <v>21</v>
      </c>
      <c r="H51" s="72" t="s">
        <v>22</v>
      </c>
      <c r="I51" s="101"/>
      <c r="L51" s="72" t="s">
        <v>22</v>
      </c>
      <c r="O51" s="101"/>
    </row>
    <row r="52">
      <c r="A52" s="72">
        <v>49.0</v>
      </c>
      <c r="B52" s="72" t="s">
        <v>493</v>
      </c>
      <c r="C52" s="72" t="s">
        <v>813</v>
      </c>
      <c r="D52" s="72">
        <v>0.718</v>
      </c>
      <c r="E52" s="100" t="s">
        <v>351</v>
      </c>
      <c r="F52" s="101" t="s">
        <v>21</v>
      </c>
      <c r="G52" s="72" t="s">
        <v>22</v>
      </c>
      <c r="I52" s="101"/>
      <c r="J52" s="72" t="s">
        <v>22</v>
      </c>
      <c r="O52" s="101"/>
    </row>
    <row r="53">
      <c r="A53" s="72">
        <v>50.0</v>
      </c>
      <c r="B53" s="72" t="s">
        <v>497</v>
      </c>
      <c r="C53" s="72" t="s">
        <v>814</v>
      </c>
      <c r="D53" s="72">
        <v>0.317</v>
      </c>
      <c r="E53" s="100" t="s">
        <v>21</v>
      </c>
      <c r="F53" s="101" t="s">
        <v>20</v>
      </c>
      <c r="H53" s="72" t="s">
        <v>22</v>
      </c>
      <c r="I53" s="101"/>
      <c r="M53" s="72" t="s">
        <v>22</v>
      </c>
      <c r="O53" s="101"/>
    </row>
    <row r="54">
      <c r="A54" s="72">
        <v>51.0</v>
      </c>
      <c r="B54" s="72" t="s">
        <v>501</v>
      </c>
      <c r="C54" s="72" t="s">
        <v>815</v>
      </c>
      <c r="D54" s="72">
        <v>0.166</v>
      </c>
      <c r="E54" s="100" t="s">
        <v>21</v>
      </c>
      <c r="F54" s="101" t="s">
        <v>31</v>
      </c>
      <c r="H54" s="72" t="s">
        <v>22</v>
      </c>
      <c r="I54" s="101"/>
      <c r="M54" s="72" t="s">
        <v>22</v>
      </c>
      <c r="O54" s="101"/>
    </row>
    <row r="55">
      <c r="A55" s="72">
        <v>52.0</v>
      </c>
      <c r="B55" s="72" t="s">
        <v>505</v>
      </c>
      <c r="C55" s="72" t="s">
        <v>788</v>
      </c>
      <c r="D55" s="72">
        <v>0.018</v>
      </c>
      <c r="E55" s="100" t="s">
        <v>21</v>
      </c>
      <c r="F55" s="101" t="s">
        <v>31</v>
      </c>
      <c r="G55" s="72" t="s">
        <v>22</v>
      </c>
      <c r="I55" s="101"/>
      <c r="M55" s="72" t="s">
        <v>22</v>
      </c>
      <c r="O55" s="101"/>
    </row>
    <row r="56">
      <c r="A56" s="72">
        <v>53.0</v>
      </c>
      <c r="B56" s="72" t="s">
        <v>508</v>
      </c>
      <c r="C56" s="72" t="s">
        <v>816</v>
      </c>
      <c r="D56" s="72">
        <v>0.013</v>
      </c>
      <c r="E56" s="100" t="s">
        <v>21</v>
      </c>
      <c r="F56" s="101" t="s">
        <v>20</v>
      </c>
      <c r="H56" s="72" t="s">
        <v>22</v>
      </c>
      <c r="I56" s="101"/>
      <c r="N56" s="72" t="s">
        <v>22</v>
      </c>
      <c r="O56" s="101"/>
    </row>
    <row r="57">
      <c r="A57" s="72">
        <v>54.0</v>
      </c>
      <c r="B57" s="72" t="s">
        <v>511</v>
      </c>
      <c r="C57" s="72" t="s">
        <v>817</v>
      </c>
      <c r="D57" s="72">
        <v>0.977</v>
      </c>
      <c r="E57" s="100" t="s">
        <v>351</v>
      </c>
      <c r="F57" s="101" t="s">
        <v>21</v>
      </c>
      <c r="G57" s="72" t="s">
        <v>22</v>
      </c>
      <c r="I57" s="101"/>
      <c r="J57" s="72" t="s">
        <v>22</v>
      </c>
      <c r="O57" s="101"/>
    </row>
    <row r="58">
      <c r="A58" s="72">
        <v>55.0</v>
      </c>
      <c r="B58" s="72" t="s">
        <v>513</v>
      </c>
      <c r="C58" s="72" t="s">
        <v>789</v>
      </c>
      <c r="D58" s="72">
        <v>0.692</v>
      </c>
      <c r="E58" s="100" t="s">
        <v>351</v>
      </c>
      <c r="F58" s="101" t="s">
        <v>21</v>
      </c>
      <c r="G58" s="72" t="s">
        <v>22</v>
      </c>
      <c r="I58" s="101"/>
      <c r="J58" s="72" t="s">
        <v>22</v>
      </c>
      <c r="O58" s="101"/>
    </row>
    <row r="59">
      <c r="A59" s="72">
        <v>56.0</v>
      </c>
      <c r="B59" s="72" t="s">
        <v>517</v>
      </c>
      <c r="C59" s="72" t="s">
        <v>818</v>
      </c>
      <c r="D59" s="72">
        <v>0.945</v>
      </c>
      <c r="E59" s="100" t="s">
        <v>351</v>
      </c>
      <c r="F59" s="101" t="s">
        <v>21</v>
      </c>
      <c r="I59" s="101"/>
      <c r="O59" s="101"/>
    </row>
    <row r="60">
      <c r="A60" s="72">
        <v>57.0</v>
      </c>
      <c r="B60" s="72" t="s">
        <v>521</v>
      </c>
      <c r="C60" s="72" t="s">
        <v>819</v>
      </c>
      <c r="D60" s="72">
        <v>0.448</v>
      </c>
      <c r="E60" s="100" t="s">
        <v>351</v>
      </c>
      <c r="F60" s="101" t="s">
        <v>21</v>
      </c>
      <c r="H60" s="72" t="s">
        <v>22</v>
      </c>
      <c r="I60" s="101"/>
      <c r="N60" s="72" t="s">
        <v>22</v>
      </c>
      <c r="O60" s="101"/>
    </row>
    <row r="61">
      <c r="A61" s="72">
        <v>58.0</v>
      </c>
      <c r="B61" s="72" t="s">
        <v>525</v>
      </c>
      <c r="C61" s="72" t="s">
        <v>776</v>
      </c>
      <c r="D61" s="72">
        <v>0.524</v>
      </c>
      <c r="E61" s="100" t="s">
        <v>351</v>
      </c>
      <c r="F61" s="101" t="s">
        <v>21</v>
      </c>
      <c r="I61" s="101"/>
      <c r="O61" s="101"/>
    </row>
    <row r="62">
      <c r="A62" s="72">
        <v>59.0</v>
      </c>
      <c r="B62" s="72" t="s">
        <v>526</v>
      </c>
      <c r="C62" s="72" t="s">
        <v>808</v>
      </c>
      <c r="D62" s="72">
        <v>0.946</v>
      </c>
      <c r="E62" s="100" t="s">
        <v>351</v>
      </c>
      <c r="F62" s="101" t="s">
        <v>21</v>
      </c>
      <c r="I62" s="101"/>
      <c r="O62" s="101"/>
    </row>
    <row r="63">
      <c r="A63" s="72">
        <v>60.0</v>
      </c>
      <c r="B63" s="72" t="s">
        <v>529</v>
      </c>
      <c r="C63" s="72" t="s">
        <v>820</v>
      </c>
      <c r="D63" s="72">
        <v>0.794</v>
      </c>
      <c r="E63" s="100" t="s">
        <v>351</v>
      </c>
      <c r="F63" s="101" t="s">
        <v>21</v>
      </c>
      <c r="G63" s="72" t="s">
        <v>22</v>
      </c>
      <c r="I63" s="101"/>
      <c r="J63" s="72" t="s">
        <v>22</v>
      </c>
      <c r="O63" s="101"/>
    </row>
    <row r="64">
      <c r="A64" s="72">
        <v>61.0</v>
      </c>
      <c r="B64" s="72" t="s">
        <v>532</v>
      </c>
      <c r="C64" s="72" t="s">
        <v>821</v>
      </c>
      <c r="D64" s="72">
        <v>0.307</v>
      </c>
      <c r="E64" s="100" t="s">
        <v>21</v>
      </c>
      <c r="F64" s="101" t="s">
        <v>26</v>
      </c>
      <c r="I64" s="101" t="s">
        <v>22</v>
      </c>
      <c r="K64" s="72" t="s">
        <v>22</v>
      </c>
      <c r="L64" s="72" t="s">
        <v>22</v>
      </c>
      <c r="O64" s="101"/>
    </row>
    <row r="65">
      <c r="A65" s="72">
        <v>62.0</v>
      </c>
      <c r="B65" s="72" t="s">
        <v>536</v>
      </c>
      <c r="C65" s="72" t="s">
        <v>822</v>
      </c>
      <c r="D65" s="72">
        <v>0.921</v>
      </c>
      <c r="E65" s="100" t="s">
        <v>351</v>
      </c>
      <c r="F65" s="101" t="s">
        <v>21</v>
      </c>
      <c r="I65" s="101" t="s">
        <v>22</v>
      </c>
      <c r="O65" s="101" t="s">
        <v>860</v>
      </c>
    </row>
    <row r="66">
      <c r="A66" s="72">
        <v>63.0</v>
      </c>
      <c r="B66" s="72" t="s">
        <v>539</v>
      </c>
      <c r="C66" s="72" t="s">
        <v>823</v>
      </c>
      <c r="D66" s="72">
        <v>0.413</v>
      </c>
      <c r="E66" s="100" t="s">
        <v>21</v>
      </c>
      <c r="F66" s="101" t="s">
        <v>31</v>
      </c>
      <c r="H66" s="72" t="s">
        <v>22</v>
      </c>
      <c r="I66" s="101"/>
      <c r="N66" s="72" t="s">
        <v>22</v>
      </c>
      <c r="O66" s="101"/>
    </row>
    <row r="67">
      <c r="A67" s="72">
        <v>64.0</v>
      </c>
      <c r="B67" s="72" t="s">
        <v>542</v>
      </c>
      <c r="C67" s="72" t="s">
        <v>781</v>
      </c>
      <c r="D67" s="72">
        <v>0.824</v>
      </c>
      <c r="E67" s="100" t="s">
        <v>351</v>
      </c>
      <c r="F67" s="101" t="s">
        <v>21</v>
      </c>
      <c r="I67" s="101"/>
      <c r="O67" s="101"/>
    </row>
    <row r="68">
      <c r="A68" s="72">
        <v>65.0</v>
      </c>
      <c r="B68" s="72" t="s">
        <v>545</v>
      </c>
      <c r="C68" s="72" t="s">
        <v>824</v>
      </c>
      <c r="D68" s="72">
        <v>0.003</v>
      </c>
      <c r="E68" s="100" t="s">
        <v>21</v>
      </c>
      <c r="F68" s="101" t="s">
        <v>26</v>
      </c>
      <c r="H68" s="72" t="s">
        <v>22</v>
      </c>
      <c r="I68" s="101"/>
      <c r="N68" s="72" t="s">
        <v>22</v>
      </c>
      <c r="O68" s="101"/>
    </row>
    <row r="69">
      <c r="A69" s="72">
        <v>66.0</v>
      </c>
      <c r="B69" s="72" t="s">
        <v>547</v>
      </c>
      <c r="C69" s="72" t="s">
        <v>790</v>
      </c>
      <c r="D69" s="72">
        <v>0.271</v>
      </c>
      <c r="E69" s="100" t="s">
        <v>21</v>
      </c>
      <c r="F69" s="101" t="s">
        <v>20</v>
      </c>
      <c r="G69" s="72" t="s">
        <v>22</v>
      </c>
      <c r="I69" s="101"/>
      <c r="N69" s="72" t="s">
        <v>22</v>
      </c>
      <c r="O69" s="101"/>
    </row>
    <row r="70">
      <c r="A70" s="72">
        <v>67.0</v>
      </c>
      <c r="B70" s="72" t="s">
        <v>550</v>
      </c>
      <c r="C70" s="72" t="s">
        <v>825</v>
      </c>
      <c r="D70" s="72">
        <v>0.908</v>
      </c>
      <c r="E70" s="100" t="s">
        <v>351</v>
      </c>
      <c r="F70" s="101" t="s">
        <v>21</v>
      </c>
      <c r="H70" s="72" t="s">
        <v>22</v>
      </c>
      <c r="I70" s="101"/>
      <c r="N70" s="72" t="s">
        <v>22</v>
      </c>
      <c r="O70" s="101"/>
    </row>
    <row r="71">
      <c r="A71" s="72">
        <v>68.0</v>
      </c>
      <c r="B71" s="72" t="s">
        <v>554</v>
      </c>
      <c r="C71" s="72" t="s">
        <v>826</v>
      </c>
      <c r="D71" s="72">
        <v>0.91</v>
      </c>
      <c r="E71" s="100" t="s">
        <v>351</v>
      </c>
      <c r="F71" s="101" t="s">
        <v>21</v>
      </c>
      <c r="I71" s="101" t="s">
        <v>22</v>
      </c>
      <c r="L71" s="72" t="s">
        <v>22</v>
      </c>
      <c r="O71" s="101"/>
    </row>
    <row r="72">
      <c r="A72" s="72">
        <v>69.0</v>
      </c>
      <c r="B72" s="72" t="s">
        <v>557</v>
      </c>
      <c r="C72" s="72" t="s">
        <v>814</v>
      </c>
      <c r="D72" s="72">
        <v>0.468</v>
      </c>
      <c r="E72" s="100" t="s">
        <v>21</v>
      </c>
      <c r="F72" s="101" t="s">
        <v>31</v>
      </c>
      <c r="G72" s="72" t="s">
        <v>22</v>
      </c>
      <c r="I72" s="101"/>
      <c r="J72" s="72" t="s">
        <v>22</v>
      </c>
      <c r="O72" s="101"/>
    </row>
    <row r="73">
      <c r="A73" s="72">
        <v>70.0</v>
      </c>
      <c r="B73" s="72" t="s">
        <v>560</v>
      </c>
      <c r="C73" s="72" t="s">
        <v>786</v>
      </c>
      <c r="D73" s="72">
        <v>0.222</v>
      </c>
      <c r="E73" s="100" t="s">
        <v>21</v>
      </c>
      <c r="F73" s="101" t="s">
        <v>31</v>
      </c>
      <c r="I73" s="101" t="s">
        <v>22</v>
      </c>
      <c r="L73" s="72" t="s">
        <v>22</v>
      </c>
      <c r="O73" s="101"/>
    </row>
    <row r="74">
      <c r="A74" s="72">
        <v>71.0</v>
      </c>
      <c r="B74" s="72" t="s">
        <v>562</v>
      </c>
      <c r="C74" s="72" t="s">
        <v>827</v>
      </c>
      <c r="D74" s="72">
        <v>0.928</v>
      </c>
      <c r="E74" s="100" t="s">
        <v>351</v>
      </c>
      <c r="F74" s="101" t="s">
        <v>21</v>
      </c>
      <c r="I74" s="101"/>
      <c r="O74" s="101"/>
    </row>
    <row r="75">
      <c r="A75" s="72">
        <v>72.0</v>
      </c>
      <c r="B75" s="72" t="s">
        <v>565</v>
      </c>
      <c r="C75" s="72" t="s">
        <v>828</v>
      </c>
      <c r="D75" s="72">
        <v>0.012</v>
      </c>
      <c r="E75" s="100" t="s">
        <v>21</v>
      </c>
      <c r="F75" s="101" t="s">
        <v>31</v>
      </c>
      <c r="H75" s="72" t="s">
        <v>22</v>
      </c>
      <c r="I75" s="101"/>
      <c r="N75" s="72" t="s">
        <v>22</v>
      </c>
      <c r="O75" s="101"/>
    </row>
    <row r="76">
      <c r="A76" s="72">
        <v>73.0</v>
      </c>
      <c r="B76" s="72" t="s">
        <v>568</v>
      </c>
      <c r="C76" s="72" t="s">
        <v>829</v>
      </c>
      <c r="D76" s="72">
        <v>0.637</v>
      </c>
      <c r="E76" s="100" t="s">
        <v>351</v>
      </c>
      <c r="F76" s="101" t="s">
        <v>21</v>
      </c>
      <c r="G76" s="72" t="s">
        <v>22</v>
      </c>
      <c r="I76" s="101"/>
      <c r="J76" s="72" t="s">
        <v>22</v>
      </c>
      <c r="O76" s="101"/>
    </row>
    <row r="77">
      <c r="A77" s="72">
        <v>74.0</v>
      </c>
      <c r="B77" s="72" t="s">
        <v>571</v>
      </c>
      <c r="C77" s="72" t="s">
        <v>830</v>
      </c>
      <c r="D77" s="72">
        <v>0.553</v>
      </c>
      <c r="E77" s="100" t="s">
        <v>351</v>
      </c>
      <c r="F77" s="101" t="s">
        <v>21</v>
      </c>
      <c r="I77" s="101"/>
      <c r="O77" s="101"/>
    </row>
    <row r="78">
      <c r="A78" s="72">
        <v>75.0</v>
      </c>
      <c r="B78" s="72" t="s">
        <v>575</v>
      </c>
      <c r="C78" s="72" t="s">
        <v>831</v>
      </c>
      <c r="D78" s="72">
        <v>0.825</v>
      </c>
      <c r="E78" s="100" t="s">
        <v>351</v>
      </c>
      <c r="F78" s="101" t="s">
        <v>21</v>
      </c>
      <c r="H78" s="72" t="s">
        <v>22</v>
      </c>
      <c r="I78" s="101"/>
      <c r="N78" s="72" t="s">
        <v>22</v>
      </c>
      <c r="O78" s="101"/>
    </row>
    <row r="79">
      <c r="A79" s="72">
        <v>76.0</v>
      </c>
      <c r="B79" s="72" t="s">
        <v>579</v>
      </c>
      <c r="C79" s="72" t="s">
        <v>832</v>
      </c>
      <c r="D79" s="72">
        <v>0.006</v>
      </c>
      <c r="E79" s="100" t="s">
        <v>21</v>
      </c>
      <c r="F79" s="101" t="s">
        <v>20</v>
      </c>
      <c r="I79" s="101" t="s">
        <v>22</v>
      </c>
      <c r="L79" s="72" t="s">
        <v>22</v>
      </c>
      <c r="O79" s="101"/>
    </row>
    <row r="80">
      <c r="A80" s="72">
        <v>77.0</v>
      </c>
      <c r="B80" s="72" t="s">
        <v>581</v>
      </c>
      <c r="C80" s="72" t="s">
        <v>772</v>
      </c>
      <c r="D80" s="72">
        <v>0.475</v>
      </c>
      <c r="E80" s="100" t="s">
        <v>21</v>
      </c>
      <c r="F80" s="101" t="s">
        <v>20</v>
      </c>
      <c r="I80" s="101"/>
      <c r="O80" s="101"/>
    </row>
    <row r="81">
      <c r="A81" s="72">
        <v>78.0</v>
      </c>
      <c r="B81" s="72" t="s">
        <v>584</v>
      </c>
      <c r="C81" s="72" t="s">
        <v>834</v>
      </c>
      <c r="D81" s="72">
        <v>0.948</v>
      </c>
      <c r="E81" s="100" t="s">
        <v>351</v>
      </c>
      <c r="F81" s="101" t="s">
        <v>21</v>
      </c>
      <c r="H81" s="72" t="s">
        <v>22</v>
      </c>
      <c r="I81" s="101"/>
      <c r="N81" s="72" t="s">
        <v>22</v>
      </c>
      <c r="O81" s="101"/>
    </row>
    <row r="82">
      <c r="A82" s="72">
        <v>79.0</v>
      </c>
      <c r="B82" s="72" t="s">
        <v>588</v>
      </c>
      <c r="C82" s="72" t="s">
        <v>802</v>
      </c>
      <c r="D82" s="72">
        <v>0.425</v>
      </c>
      <c r="E82" s="100" t="s">
        <v>21</v>
      </c>
      <c r="F82" s="101" t="s">
        <v>20</v>
      </c>
      <c r="G82" s="72" t="s">
        <v>22</v>
      </c>
      <c r="I82" s="101"/>
      <c r="N82" s="72" t="s">
        <v>22</v>
      </c>
      <c r="O82" s="101"/>
    </row>
    <row r="83">
      <c r="A83" s="72">
        <v>80.0</v>
      </c>
      <c r="B83" s="72" t="s">
        <v>592</v>
      </c>
      <c r="C83" s="72" t="s">
        <v>819</v>
      </c>
      <c r="D83" s="72">
        <v>0.982</v>
      </c>
      <c r="E83" s="100" t="s">
        <v>351</v>
      </c>
      <c r="F83" s="101" t="s">
        <v>21</v>
      </c>
      <c r="G83" s="72" t="s">
        <v>22</v>
      </c>
      <c r="I83" s="101"/>
      <c r="N83" s="72" t="s">
        <v>22</v>
      </c>
      <c r="O83" s="101"/>
    </row>
    <row r="84">
      <c r="A84" s="72">
        <v>81.0</v>
      </c>
      <c r="B84" s="72" t="s">
        <v>595</v>
      </c>
      <c r="C84" s="72" t="s">
        <v>795</v>
      </c>
      <c r="D84" s="72">
        <v>0.915</v>
      </c>
      <c r="E84" s="100" t="s">
        <v>351</v>
      </c>
      <c r="F84" s="101" t="s">
        <v>21</v>
      </c>
      <c r="G84" s="72" t="s">
        <v>22</v>
      </c>
      <c r="I84" s="101"/>
      <c r="N84" s="72" t="s">
        <v>22</v>
      </c>
      <c r="O84" s="101"/>
    </row>
    <row r="85">
      <c r="A85" s="72">
        <v>82.0</v>
      </c>
      <c r="B85" s="72" t="s">
        <v>598</v>
      </c>
      <c r="C85" s="72" t="s">
        <v>836</v>
      </c>
      <c r="D85" s="72">
        <v>0.227</v>
      </c>
      <c r="E85" s="100" t="s">
        <v>21</v>
      </c>
      <c r="F85" s="101" t="s">
        <v>20</v>
      </c>
      <c r="I85" s="101"/>
      <c r="O85" s="101"/>
    </row>
    <row r="86">
      <c r="A86" s="72">
        <v>83.0</v>
      </c>
      <c r="B86" s="72" t="s">
        <v>602</v>
      </c>
      <c r="C86" s="72" t="s">
        <v>783</v>
      </c>
      <c r="D86" s="72">
        <v>0.167</v>
      </c>
      <c r="E86" s="100" t="s">
        <v>351</v>
      </c>
      <c r="F86" s="101" t="s">
        <v>20</v>
      </c>
      <c r="G86" s="72" t="s">
        <v>22</v>
      </c>
      <c r="I86" s="101"/>
      <c r="N86" s="72" t="s">
        <v>22</v>
      </c>
      <c r="O86" s="101"/>
    </row>
    <row r="87">
      <c r="A87" s="72">
        <v>84.0</v>
      </c>
      <c r="B87" s="72" t="s">
        <v>605</v>
      </c>
      <c r="C87" s="72" t="s">
        <v>838</v>
      </c>
      <c r="D87" s="72">
        <v>0.911</v>
      </c>
      <c r="E87" s="100" t="s">
        <v>351</v>
      </c>
      <c r="F87" s="101" t="s">
        <v>21</v>
      </c>
      <c r="G87" s="72" t="s">
        <v>22</v>
      </c>
      <c r="I87" s="101"/>
      <c r="M87" s="72" t="s">
        <v>22</v>
      </c>
      <c r="O87" s="101"/>
    </row>
    <row r="88">
      <c r="A88" s="72">
        <v>85.0</v>
      </c>
      <c r="B88" s="72" t="s">
        <v>609</v>
      </c>
      <c r="C88" s="72" t="s">
        <v>839</v>
      </c>
      <c r="D88" s="72">
        <v>0.841</v>
      </c>
      <c r="E88" s="100" t="s">
        <v>351</v>
      </c>
      <c r="F88" s="101" t="s">
        <v>21</v>
      </c>
      <c r="G88" s="72" t="s">
        <v>22</v>
      </c>
      <c r="I88" s="101"/>
      <c r="J88" s="72" t="s">
        <v>22</v>
      </c>
      <c r="O88" s="101"/>
    </row>
    <row r="89">
      <c r="A89" s="72">
        <v>86.0</v>
      </c>
      <c r="B89" s="72" t="s">
        <v>613</v>
      </c>
      <c r="C89" s="72" t="s">
        <v>840</v>
      </c>
      <c r="D89" s="72">
        <v>0.579</v>
      </c>
      <c r="E89" s="100" t="s">
        <v>351</v>
      </c>
      <c r="F89" s="101" t="s">
        <v>21</v>
      </c>
      <c r="I89" s="101" t="s">
        <v>22</v>
      </c>
      <c r="K89" s="72" t="s">
        <v>22</v>
      </c>
      <c r="O89" s="101"/>
    </row>
    <row r="90">
      <c r="A90" s="72">
        <v>87.0</v>
      </c>
      <c r="B90" s="72" t="s">
        <v>617</v>
      </c>
      <c r="C90" s="72" t="s">
        <v>841</v>
      </c>
      <c r="D90" s="72">
        <v>0.572</v>
      </c>
      <c r="E90" s="100" t="s">
        <v>351</v>
      </c>
      <c r="F90" s="101" t="s">
        <v>21</v>
      </c>
      <c r="H90" s="72" t="s">
        <v>22</v>
      </c>
      <c r="I90" s="101"/>
      <c r="L90" s="72" t="s">
        <v>22</v>
      </c>
      <c r="O90" s="101"/>
    </row>
    <row r="91">
      <c r="A91" s="72">
        <v>88.0</v>
      </c>
      <c r="B91" s="72" t="s">
        <v>621</v>
      </c>
      <c r="C91" s="72" t="s">
        <v>842</v>
      </c>
      <c r="D91" s="72">
        <v>0.986</v>
      </c>
      <c r="E91" s="100" t="s">
        <v>351</v>
      </c>
      <c r="F91" s="101" t="s">
        <v>21</v>
      </c>
      <c r="H91" s="72" t="s">
        <v>22</v>
      </c>
      <c r="I91" s="101"/>
      <c r="M91" s="72" t="s">
        <v>22</v>
      </c>
      <c r="O91" s="101"/>
    </row>
    <row r="92">
      <c r="A92" s="72">
        <v>89.0</v>
      </c>
      <c r="B92" s="72" t="s">
        <v>625</v>
      </c>
      <c r="C92" s="72" t="s">
        <v>843</v>
      </c>
      <c r="D92" s="72">
        <v>0.559</v>
      </c>
      <c r="E92" s="100" t="s">
        <v>351</v>
      </c>
      <c r="F92" s="101" t="s">
        <v>21</v>
      </c>
      <c r="I92" s="101"/>
      <c r="O92" s="101"/>
    </row>
    <row r="93">
      <c r="A93" s="72">
        <v>90.0</v>
      </c>
      <c r="B93" s="72" t="s">
        <v>629</v>
      </c>
      <c r="C93" s="72" t="s">
        <v>844</v>
      </c>
      <c r="D93" s="72">
        <v>0.73</v>
      </c>
      <c r="E93" s="100" t="s">
        <v>351</v>
      </c>
      <c r="F93" s="101" t="s">
        <v>21</v>
      </c>
      <c r="G93" s="72" t="s">
        <v>22</v>
      </c>
      <c r="I93" s="101"/>
      <c r="M93" s="72" t="s">
        <v>22</v>
      </c>
      <c r="O93" s="101"/>
    </row>
    <row r="94">
      <c r="A94" s="72">
        <v>91.0</v>
      </c>
      <c r="B94" s="72" t="s">
        <v>633</v>
      </c>
      <c r="C94" s="72" t="s">
        <v>843</v>
      </c>
      <c r="D94" s="72">
        <v>0.957</v>
      </c>
      <c r="E94" s="100" t="s">
        <v>351</v>
      </c>
      <c r="F94" s="101" t="s">
        <v>21</v>
      </c>
      <c r="H94" s="72" t="s">
        <v>22</v>
      </c>
      <c r="I94" s="101"/>
      <c r="M94" s="72" t="s">
        <v>22</v>
      </c>
      <c r="O94" s="101"/>
    </row>
    <row r="95">
      <c r="A95" s="72">
        <v>92.0</v>
      </c>
      <c r="B95" s="72" t="s">
        <v>636</v>
      </c>
      <c r="C95" s="72" t="s">
        <v>771</v>
      </c>
      <c r="D95" s="72">
        <v>0.977</v>
      </c>
      <c r="E95" s="100" t="s">
        <v>351</v>
      </c>
      <c r="F95" s="101" t="s">
        <v>21</v>
      </c>
      <c r="I95" s="101"/>
      <c r="O95" s="101"/>
    </row>
    <row r="96">
      <c r="A96" s="72">
        <v>93.0</v>
      </c>
      <c r="B96" s="72" t="s">
        <v>638</v>
      </c>
      <c r="C96" s="72" t="s">
        <v>845</v>
      </c>
      <c r="D96" s="72">
        <v>0.955</v>
      </c>
      <c r="E96" s="100" t="s">
        <v>351</v>
      </c>
      <c r="F96" s="101" t="s">
        <v>21</v>
      </c>
      <c r="H96" s="72" t="s">
        <v>22</v>
      </c>
      <c r="I96" s="101"/>
      <c r="N96" s="72" t="s">
        <v>22</v>
      </c>
      <c r="O96" s="101"/>
    </row>
    <row r="97">
      <c r="A97" s="72">
        <v>94.0</v>
      </c>
      <c r="B97" s="72" t="s">
        <v>641</v>
      </c>
      <c r="C97" s="72" t="s">
        <v>846</v>
      </c>
      <c r="D97" s="72">
        <v>0.331</v>
      </c>
      <c r="E97" s="100" t="s">
        <v>21</v>
      </c>
      <c r="F97" s="101" t="s">
        <v>20</v>
      </c>
      <c r="I97" s="101" t="s">
        <v>22</v>
      </c>
      <c r="L97" s="72" t="s">
        <v>22</v>
      </c>
      <c r="O97" s="101"/>
    </row>
    <row r="98">
      <c r="A98" s="72">
        <v>95.0</v>
      </c>
      <c r="B98" s="72" t="s">
        <v>645</v>
      </c>
      <c r="C98" s="72" t="s">
        <v>848</v>
      </c>
      <c r="D98" s="72">
        <v>0.173</v>
      </c>
      <c r="E98" s="100" t="s">
        <v>21</v>
      </c>
      <c r="F98" s="101" t="s">
        <v>31</v>
      </c>
      <c r="H98" s="72" t="s">
        <v>22</v>
      </c>
      <c r="I98" s="101"/>
      <c r="N98" s="72" t="s">
        <v>22</v>
      </c>
      <c r="O98" s="101"/>
    </row>
    <row r="99">
      <c r="A99" s="72">
        <v>96.0</v>
      </c>
      <c r="B99" s="72" t="s">
        <v>649</v>
      </c>
      <c r="C99" s="72" t="s">
        <v>783</v>
      </c>
      <c r="D99" s="72">
        <v>0.137</v>
      </c>
      <c r="E99" s="100" t="s">
        <v>21</v>
      </c>
      <c r="F99" s="101" t="s">
        <v>20</v>
      </c>
      <c r="H99" s="72" t="s">
        <v>22</v>
      </c>
      <c r="I99" s="101"/>
      <c r="L99" s="72" t="s">
        <v>22</v>
      </c>
      <c r="O99" s="101"/>
    </row>
    <row r="100">
      <c r="A100" s="72">
        <v>97.0</v>
      </c>
      <c r="B100" s="72" t="s">
        <v>650</v>
      </c>
      <c r="C100" s="72" t="s">
        <v>849</v>
      </c>
      <c r="D100" s="72">
        <v>0.978</v>
      </c>
      <c r="E100" s="100" t="s">
        <v>351</v>
      </c>
      <c r="F100" s="101" t="s">
        <v>21</v>
      </c>
      <c r="G100" s="72" t="s">
        <v>22</v>
      </c>
      <c r="I100" s="101"/>
      <c r="N100" s="72" t="s">
        <v>22</v>
      </c>
      <c r="O100" s="101"/>
    </row>
    <row r="101">
      <c r="A101" s="72">
        <v>98.0</v>
      </c>
      <c r="B101" s="72" t="s">
        <v>861</v>
      </c>
      <c r="C101" s="72" t="s">
        <v>822</v>
      </c>
      <c r="D101" s="72">
        <v>0.481</v>
      </c>
      <c r="E101" s="100" t="s">
        <v>21</v>
      </c>
      <c r="F101" s="101" t="s">
        <v>20</v>
      </c>
      <c r="G101" s="72" t="s">
        <v>22</v>
      </c>
      <c r="I101" s="101"/>
      <c r="M101" s="72" t="s">
        <v>22</v>
      </c>
      <c r="O101" s="101"/>
    </row>
    <row r="102">
      <c r="A102" s="72">
        <v>99.0</v>
      </c>
      <c r="B102" s="72" t="s">
        <v>656</v>
      </c>
      <c r="C102" s="72" t="s">
        <v>851</v>
      </c>
      <c r="D102" s="72">
        <v>0.161</v>
      </c>
      <c r="E102" s="100" t="s">
        <v>21</v>
      </c>
      <c r="F102" s="101" t="s">
        <v>20</v>
      </c>
      <c r="G102" s="72" t="s">
        <v>22</v>
      </c>
      <c r="I102" s="101"/>
      <c r="K102" s="72" t="s">
        <v>22</v>
      </c>
      <c r="O102" s="101"/>
    </row>
    <row r="103">
      <c r="A103" s="69">
        <v>100.0</v>
      </c>
      <c r="B103" s="69" t="s">
        <v>660</v>
      </c>
      <c r="C103" s="69" t="s">
        <v>813</v>
      </c>
      <c r="D103" s="69">
        <v>0.714</v>
      </c>
      <c r="E103" s="102" t="s">
        <v>351</v>
      </c>
      <c r="F103" s="103" t="s">
        <v>21</v>
      </c>
      <c r="G103" s="72" t="s">
        <v>22</v>
      </c>
      <c r="I103" s="101"/>
      <c r="J103" s="72" t="s">
        <v>22</v>
      </c>
      <c r="O103" s="103"/>
    </row>
    <row r="104">
      <c r="G104" s="104">
        <f t="shared" ref="G104:N104" si="1">COUNTIF(G4:G103,"x")</f>
        <v>34</v>
      </c>
      <c r="H104" s="104">
        <f t="shared" si="1"/>
        <v>30</v>
      </c>
      <c r="I104" s="104">
        <f t="shared" si="1"/>
        <v>13</v>
      </c>
      <c r="J104" s="105">
        <f t="shared" si="1"/>
        <v>16</v>
      </c>
      <c r="K104" s="105">
        <f t="shared" si="1"/>
        <v>3</v>
      </c>
      <c r="L104" s="105">
        <f t="shared" si="1"/>
        <v>15</v>
      </c>
      <c r="M104" s="105">
        <f t="shared" si="1"/>
        <v>17</v>
      </c>
      <c r="N104" s="105">
        <f t="shared" si="1"/>
        <v>25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2022-04-12T19:22:00Z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