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ahoucine\Desktop\"/>
    </mc:Choice>
  </mc:AlternateContent>
  <xr:revisionPtr revIDLastSave="0" documentId="13_ncr:1_{0FB19631-789B-46F3-AE79-47653228FF98}" xr6:coauthVersionLast="43" xr6:coauthVersionMax="43" xr10:uidLastSave="{00000000-0000-0000-0000-000000000000}"/>
  <bookViews>
    <workbookView xWindow="-120" yWindow="-120" windowWidth="29040" windowHeight="15840" xr2:uid="{00000000-000D-0000-FFFF-FFFF00000000}"/>
  </bookViews>
  <sheets>
    <sheet name="Exercice 1" sheetId="1" r:id="rId1"/>
    <sheet name="Exercice 2" sheetId="2" r:id="rId2"/>
    <sheet name="Exercice 3" sheetId="4" r:id="rId3"/>
    <sheet name="Exercice 4" sheetId="3" r:id="rId4"/>
    <sheet name="Etude de Cas" sheetId="7" r:id="rId5"/>
  </sheets>
  <calcPr calcId="181029"/>
</workbook>
</file>

<file path=xl/calcChain.xml><?xml version="1.0" encoding="utf-8"?>
<calcChain xmlns="http://schemas.openxmlformats.org/spreadsheetml/2006/main">
  <c r="G12" i="1" l="1"/>
  <c r="B9" i="2" l="1"/>
  <c r="B79" i="7"/>
  <c r="C43" i="7"/>
  <c r="B18" i="7"/>
  <c r="B20" i="7" s="1"/>
  <c r="B77" i="7"/>
  <c r="C71" i="7"/>
  <c r="C72" i="7" s="1"/>
  <c r="C76" i="7" s="1"/>
  <c r="C77" i="7" s="1"/>
  <c r="C69" i="7"/>
  <c r="B65" i="7"/>
  <c r="C64" i="7"/>
  <c r="D64" i="7"/>
  <c r="E64" i="7"/>
  <c r="F64" i="7"/>
  <c r="B64" i="7"/>
  <c r="B63" i="7"/>
  <c r="B62" i="7"/>
  <c r="B61" i="7"/>
  <c r="B60" i="7"/>
  <c r="F59" i="7"/>
  <c r="E59" i="7"/>
  <c r="D59" i="7"/>
  <c r="C59" i="7"/>
  <c r="B59" i="7"/>
  <c r="D58" i="7"/>
  <c r="E58" i="7" s="1"/>
  <c r="F58" i="7" s="1"/>
  <c r="C58" i="7"/>
  <c r="D50" i="7"/>
  <c r="B51" i="7" s="1"/>
  <c r="C50" i="7"/>
  <c r="G6" i="1"/>
  <c r="E51" i="7"/>
  <c r="E52" i="7"/>
  <c r="E53" i="7"/>
  <c r="E54" i="7"/>
  <c r="E50" i="7"/>
  <c r="G29" i="7"/>
  <c r="C29" i="7"/>
  <c r="C30" i="7"/>
  <c r="C31" i="7" s="1"/>
  <c r="C28" i="7"/>
  <c r="C27" i="7"/>
  <c r="B31" i="7"/>
  <c r="B30" i="7"/>
  <c r="B29" i="7"/>
  <c r="B28" i="7"/>
  <c r="B27" i="7"/>
  <c r="B22" i="7"/>
  <c r="D16" i="7"/>
  <c r="E16" i="7"/>
  <c r="F16" i="7"/>
  <c r="G16" i="7"/>
  <c r="B16" i="7"/>
  <c r="C16" i="7"/>
  <c r="D15" i="7"/>
  <c r="E15" i="7"/>
  <c r="F15" i="7"/>
  <c r="G15" i="7"/>
  <c r="C15" i="7"/>
  <c r="B7" i="3"/>
  <c r="C11" i="7"/>
  <c r="D11" i="7"/>
  <c r="E11" i="7"/>
  <c r="F11" i="7"/>
  <c r="C10" i="7"/>
  <c r="D10" i="7"/>
  <c r="E10" i="7"/>
  <c r="F10" i="7"/>
  <c r="B10" i="7"/>
  <c r="B11" i="7"/>
  <c r="C9" i="7"/>
  <c r="D9" i="7"/>
  <c r="E9" i="7"/>
  <c r="F9" i="7"/>
  <c r="B9" i="7"/>
  <c r="C8" i="7"/>
  <c r="D8" i="7"/>
  <c r="E8" i="7"/>
  <c r="F8" i="7"/>
  <c r="B8" i="7"/>
  <c r="B7" i="7"/>
  <c r="C7" i="7"/>
  <c r="D7" i="7"/>
  <c r="E7" i="7"/>
  <c r="F7" i="7"/>
  <c r="C6" i="7"/>
  <c r="D6" i="7"/>
  <c r="E6" i="7"/>
  <c r="F6" i="7"/>
  <c r="B6" i="7"/>
  <c r="D5" i="7"/>
  <c r="E5" i="7" s="1"/>
  <c r="F5" i="7" s="1"/>
  <c r="C5" i="7"/>
  <c r="K31" i="3"/>
  <c r="C51" i="7" l="1"/>
  <c r="C60" i="7" l="1"/>
  <c r="C61" i="7" s="1"/>
  <c r="D51" i="7"/>
  <c r="D71" i="7" l="1"/>
  <c r="B52" i="7"/>
  <c r="C52" i="7" s="1"/>
  <c r="C62" i="7"/>
  <c r="C63" i="7"/>
  <c r="C65" i="7" s="1"/>
  <c r="D69" i="7" s="1"/>
  <c r="D72" i="7" s="1"/>
  <c r="D76" i="7" s="1"/>
  <c r="D77" i="7" s="1"/>
  <c r="D60" i="7" l="1"/>
  <c r="D61" i="7" s="1"/>
  <c r="D52" i="7"/>
  <c r="B53" i="7" l="1"/>
  <c r="C53" i="7" s="1"/>
  <c r="E71" i="7"/>
  <c r="D62" i="7"/>
  <c r="D63" i="7" s="1"/>
  <c r="D65" i="7" s="1"/>
  <c r="E69" i="7" s="1"/>
  <c r="E72" i="7" s="1"/>
  <c r="E76" i="7" s="1"/>
  <c r="E77" i="7" s="1"/>
  <c r="E60" i="7" l="1"/>
  <c r="E61" i="7" s="1"/>
  <c r="D53" i="7"/>
  <c r="B54" i="7" l="1"/>
  <c r="D54" i="7" s="1"/>
  <c r="F71" i="7"/>
  <c r="E62" i="7"/>
  <c r="E63" i="7"/>
  <c r="E65" i="7" s="1"/>
  <c r="F69" i="7" s="1"/>
  <c r="F72" i="7" s="1"/>
  <c r="F76" i="7" s="1"/>
  <c r="F77" i="7" s="1"/>
  <c r="G71" i="7" l="1"/>
  <c r="C54" i="7"/>
  <c r="F60" i="7" s="1"/>
  <c r="F61" i="7" s="1"/>
  <c r="F31" i="3"/>
  <c r="F32" i="3"/>
  <c r="F33" i="3"/>
  <c r="F30" i="3"/>
  <c r="F29" i="3"/>
  <c r="D33" i="3"/>
  <c r="D32" i="3"/>
  <c r="D31" i="3"/>
  <c r="D30" i="3"/>
  <c r="D29" i="3"/>
  <c r="B29" i="3"/>
  <c r="B33" i="3"/>
  <c r="B32" i="3"/>
  <c r="B31" i="3"/>
  <c r="B30" i="3"/>
  <c r="B22" i="3"/>
  <c r="B21" i="3"/>
  <c r="B10" i="3"/>
  <c r="B13" i="3" s="1"/>
  <c r="C7" i="3"/>
  <c r="D7" i="3"/>
  <c r="E7" i="3"/>
  <c r="F7" i="3"/>
  <c r="G7" i="3"/>
  <c r="G6" i="3"/>
  <c r="E12" i="4"/>
  <c r="B14" i="4"/>
  <c r="B11" i="4"/>
  <c r="C8" i="4"/>
  <c r="D8" i="4"/>
  <c r="E8" i="4"/>
  <c r="B8" i="4"/>
  <c r="B7" i="4"/>
  <c r="C7" i="4"/>
  <c r="D7" i="4"/>
  <c r="E7" i="4"/>
  <c r="E6" i="4"/>
  <c r="B20" i="2"/>
  <c r="B18" i="2"/>
  <c r="B11" i="2"/>
  <c r="G16" i="2"/>
  <c r="C16" i="2"/>
  <c r="D16" i="2"/>
  <c r="E16" i="2"/>
  <c r="F16" i="2"/>
  <c r="B16" i="2"/>
  <c r="C7" i="2"/>
  <c r="D7" i="2"/>
  <c r="E7" i="2"/>
  <c r="F7" i="2"/>
  <c r="G7" i="2"/>
  <c r="B7" i="2"/>
  <c r="G15" i="2"/>
  <c r="G6" i="2"/>
  <c r="G11" i="1"/>
  <c r="F11" i="1"/>
  <c r="F6" i="1"/>
  <c r="F7" i="1"/>
  <c r="G7" i="1" s="1"/>
  <c r="F8" i="1"/>
  <c r="G8" i="1" s="1"/>
  <c r="F9" i="1"/>
  <c r="G9" i="1" s="1"/>
  <c r="F10" i="1"/>
  <c r="G10" i="1" s="1"/>
  <c r="F62" i="7" l="1"/>
  <c r="F63" i="7" s="1"/>
  <c r="F65" i="7" s="1"/>
  <c r="G69" i="7" s="1"/>
  <c r="G72" i="7" s="1"/>
  <c r="G76" i="7" s="1"/>
  <c r="G77" i="7" s="1"/>
  <c r="D15" i="1"/>
  <c r="B72" i="7"/>
  <c r="A76" i="7" l="1"/>
  <c r="B23" i="4" l="1"/>
</calcChain>
</file>

<file path=xl/sharedStrings.xml><?xml version="1.0" encoding="utf-8"?>
<sst xmlns="http://schemas.openxmlformats.org/spreadsheetml/2006/main" count="135" uniqueCount="98">
  <si>
    <t>Dates</t>
  </si>
  <si>
    <t>Gain en %</t>
  </si>
  <si>
    <t>Gains en €</t>
  </si>
  <si>
    <t>Gains actualisés en €</t>
  </si>
  <si>
    <t>31/12/N</t>
  </si>
  <si>
    <t>Coût de prod. sans robotisation</t>
  </si>
  <si>
    <t>31/12N+1</t>
  </si>
  <si>
    <t>31/12N+2</t>
  </si>
  <si>
    <t>31/12N+3</t>
  </si>
  <si>
    <t>31/12N+4</t>
  </si>
  <si>
    <t>Revente machine</t>
  </si>
  <si>
    <t>Total Flux de Trésorerie actualisés</t>
  </si>
  <si>
    <t>VAN=</t>
  </si>
  <si>
    <t>Fin N</t>
  </si>
  <si>
    <t>Fin N+1</t>
  </si>
  <si>
    <t>Fin N+2</t>
  </si>
  <si>
    <t>Fin N+3</t>
  </si>
  <si>
    <t>Projet 1</t>
  </si>
  <si>
    <t>Projet 2</t>
  </si>
  <si>
    <t>Flux de trésorerie actualisés</t>
  </si>
  <si>
    <t xml:space="preserve">Flux de trésorerie </t>
  </si>
  <si>
    <t>Investissement 90 000 € HT le 01/01/N</t>
  </si>
  <si>
    <t>VAN Projet 2 :</t>
  </si>
  <si>
    <t>VAN Projet 1 :</t>
  </si>
  <si>
    <t>Investissement 122 000 € HT le 01/01/N</t>
  </si>
  <si>
    <t>Flux de Trésorerie</t>
  </si>
  <si>
    <t>Flux de Trésorerie actualisés au taux de 12%</t>
  </si>
  <si>
    <t>Flux de Trésorerie actualisés au taux de 9%</t>
  </si>
  <si>
    <t>VAN au taux de 12 %</t>
  </si>
  <si>
    <t>VAN au taux de 9%</t>
  </si>
  <si>
    <t>TAUX D'ACTUALISATION en % =</t>
  </si>
  <si>
    <t>VAN =</t>
  </si>
  <si>
    <t>CADRE CI-DESSOUS A NE PAS UTILISER POUR L'INSTANT</t>
  </si>
  <si>
    <t>Flux de trésorerie</t>
  </si>
  <si>
    <t>1°</t>
  </si>
  <si>
    <t>Investissement 45 000 € HT le 01/01/N</t>
  </si>
  <si>
    <t>3°   CALCUL DU TIR</t>
  </si>
  <si>
    <t>4° Calcul du DRCI</t>
  </si>
  <si>
    <t>Flux de Trésorerie actualisés</t>
  </si>
  <si>
    <t xml:space="preserve">Cumul flux de trésorerie actualisés
</t>
  </si>
  <si>
    <t>Fin N = 1</t>
  </si>
  <si>
    <t>Fin N+1 = 2</t>
  </si>
  <si>
    <t>Fin N+2 = 3</t>
  </si>
  <si>
    <t>Fin N+3 = 4</t>
  </si>
  <si>
    <t>Fin N+4 = 5</t>
  </si>
  <si>
    <t>Fin N+4 + Valeur résiduelle</t>
  </si>
  <si>
    <t>Fin N+2 + Valeur résiduelle</t>
  </si>
  <si>
    <t>Investissement 190 000 € HT le 01/01/N</t>
  </si>
  <si>
    <t>Début N</t>
  </si>
  <si>
    <t>Indice de profitabilité Projet 1 :</t>
  </si>
  <si>
    <t>Indice de profitabilité Projet 2 :</t>
  </si>
  <si>
    <t>2° Indice de profitabilité de l'investissement =</t>
  </si>
  <si>
    <t>1ERE PARTIE</t>
  </si>
  <si>
    <t>VENTES</t>
  </si>
  <si>
    <t>-CHARGES DE PRODUCTION</t>
  </si>
  <si>
    <t>=RESULTAT AVANT IS</t>
  </si>
  <si>
    <t>-IS</t>
  </si>
  <si>
    <t>=RESULTAT APRES IS</t>
  </si>
  <si>
    <t>=FNT</t>
  </si>
  <si>
    <t>FNT NON ACTUALISES</t>
  </si>
  <si>
    <t>FNT ACTUALISES A 5%</t>
  </si>
  <si>
    <t>VAN</t>
  </si>
  <si>
    <t>Ip</t>
  </si>
  <si>
    <t>Ip=(1 + VAN/I)</t>
  </si>
  <si>
    <t>TRI</t>
  </si>
  <si>
    <t>CALCUL DU DRCI (PAY BACK RATIO)</t>
  </si>
  <si>
    <t>PERIODES</t>
  </si>
  <si>
    <t>FNT
 ACTUALISES</t>
  </si>
  <si>
    <t>FNT
 CUMULES</t>
  </si>
  <si>
    <t>2ème PARTIE</t>
  </si>
  <si>
    <t>Capital emprunté "C"</t>
  </si>
  <si>
    <t>C = 24 000</t>
  </si>
  <si>
    <t>Taux d'intérêt "t"</t>
  </si>
  <si>
    <t>t = 6%</t>
  </si>
  <si>
    <t>Durée emprunt "n"</t>
  </si>
  <si>
    <t>n = 5ans</t>
  </si>
  <si>
    <t>Modalité de remborsement : Annuités constantes "A"</t>
  </si>
  <si>
    <t>Formule :</t>
  </si>
  <si>
    <r>
      <t>A = Cxt /[1-(1+t)</t>
    </r>
    <r>
      <rPr>
        <b/>
        <vertAlign val="superscript"/>
        <sz val="11"/>
        <color theme="1"/>
        <rFont val="Calibri"/>
        <family val="2"/>
        <scheme val="minor"/>
      </rPr>
      <t>-n</t>
    </r>
    <r>
      <rPr>
        <b/>
        <sz val="11"/>
        <color theme="1"/>
        <rFont val="Calibri"/>
        <family val="2"/>
        <scheme val="minor"/>
      </rPr>
      <t>]</t>
    </r>
  </si>
  <si>
    <t>TABLEAU REMBOURSEMENT EMPRUNT</t>
  </si>
  <si>
    <t>ANNEES</t>
  </si>
  <si>
    <t>CAPITAL
 RESTANT DU</t>
  </si>
  <si>
    <t>INTERET (1)</t>
  </si>
  <si>
    <t>REMBOUR
SEMENT
 EMPRUNT (2)</t>
  </si>
  <si>
    <t>ANNUITES
(1)+(2)</t>
  </si>
  <si>
    <t>-DOTATION AMORTISSEMENT</t>
  </si>
  <si>
    <t>-CHARGES D'INTERET EMPRUNT</t>
  </si>
  <si>
    <t>+DOTATION AMORTISSEMENT</t>
  </si>
  <si>
    <t xml:space="preserve">FNT </t>
  </si>
  <si>
    <t>-REMBOURSEMENT EMPRUNT</t>
  </si>
  <si>
    <t>FNT FINAUX  ACTUALISES A 5%</t>
  </si>
  <si>
    <t>=FNT EN TENANT COMPTE DE L' EMPRUNT</t>
  </si>
  <si>
    <t>-EMPRUNT</t>
  </si>
  <si>
    <t>TRI (avec fonction Excel)</t>
  </si>
  <si>
    <t>pay back ratio =</t>
  </si>
  <si>
    <t>48K€</t>
  </si>
  <si>
    <t>Conclusion : Le VAN est plus élevée dans la solution avec emprunt que dans la solution sans emprunt. On sait qu'une VAN représente l'enrichissement lié à l’investissement donc une VAN plus élévée est préferable à la solution sans emprunt.</t>
  </si>
  <si>
    <t>CONCLUSION : L'indice de profitabilité du projet 1 est plus élevé que celui du projet 2. On sait que l'indice représente le rapport entre le profit et l'investissement donc un IP plus élevé et plus le projet est créateur de valeur. Le Projet 1 est une intéressant.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</si>
</sst>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164" formatCode="_ * #,##0.00_)\ &quot;€&quot;_ ;_ * \(#,##0.00\)\ &quot;€&quot;_ ;_ * &quot;-&quot;??_)\ &quot;€&quot;_ ;_ @_ "/>
    <numFmt numFmtId="165" formatCode="#,##0.0000000000"/>
    <numFmt numFmtId="166" formatCode="_-* #,##0.00\ [$€-40C]_-;\-* #,##0.00\ [$€-40C]_-;_-* &quot;-&quot;??\ [$€-40C]_-;_-@_-"/>
  </numFmts>
  <fonts count="21" x14ac:knownFonts="1">
    <font>
      <sz val="11"/>
      <color theme="1"/>
      <name val="Calibri"/>
      <family val="2"/>
      <scheme val="minor"/>
    </font>
    <font>
      <sz val="12"/>
      <color theme="1"/>
      <name val="Calibri"/>
      <family val="2"/>
      <scheme val="minor"/>
    </font>
    <font>
      <sz val="11"/>
      <color indexed="8"/>
      <name val="Calibri"/>
      <family val="2"/>
    </font>
    <font>
      <b/>
      <sz val="11"/>
      <color indexed="8"/>
      <name val="Calibri"/>
      <family val="2"/>
    </font>
    <font>
      <b/>
      <sz val="12"/>
      <color indexed="8"/>
      <name val="Calibri"/>
      <family val="2"/>
    </font>
    <font>
      <sz val="12"/>
      <color indexed="8"/>
      <name val="Calibri"/>
      <family val="2"/>
    </font>
    <font>
      <sz val="12"/>
      <color indexed="8"/>
      <name val="Calibri"/>
      <family val="2"/>
    </font>
    <font>
      <sz val="8"/>
      <name val="Calibri"/>
      <family val="2"/>
    </font>
    <font>
      <b/>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u/>
      <sz val="11"/>
      <color theme="1"/>
      <name val="Calibri"/>
      <family val="2"/>
      <scheme val="minor"/>
    </font>
    <font>
      <b/>
      <sz val="12"/>
      <color theme="1"/>
      <name val="Calibri"/>
      <family val="2"/>
      <scheme val="minor"/>
    </font>
    <font>
      <b/>
      <sz val="12"/>
      <name val="Calibri"/>
      <family val="2"/>
      <scheme val="minor"/>
    </font>
    <font>
      <b/>
      <sz val="11"/>
      <name val="Calibri"/>
      <family val="2"/>
      <scheme val="minor"/>
    </font>
    <font>
      <b/>
      <vertAlign val="superscript"/>
      <sz val="11"/>
      <color theme="1"/>
      <name val="Calibri"/>
      <family val="2"/>
      <scheme val="minor"/>
    </font>
    <font>
      <sz val="11"/>
      <name val="Calibri"/>
      <family val="2"/>
      <scheme val="minor"/>
    </font>
    <font>
      <sz val="11"/>
      <color theme="1"/>
      <name val="Calibri"/>
      <family val="2"/>
      <scheme val="minor"/>
    </font>
    <font>
      <sz val="12"/>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1"/>
        <bgColor indexed="64"/>
      </patternFill>
    </fill>
  </fills>
  <borders count="25">
    <border>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9" fontId="2" fillId="0" borderId="0" applyFont="0" applyFill="0" applyBorder="0" applyAlignment="0" applyProtection="0"/>
    <xf numFmtId="164" fontId="18" fillId="0" borderId="0" applyFont="0" applyFill="0" applyBorder="0" applyAlignment="0" applyProtection="0"/>
  </cellStyleXfs>
  <cellXfs count="166">
    <xf numFmtId="0" fontId="0" fillId="0" borderId="0" xfId="0"/>
    <xf numFmtId="0" fontId="0" fillId="0" borderId="1" xfId="0" applyBorder="1"/>
    <xf numFmtId="0" fontId="5" fillId="0" borderId="1" xfId="0" applyFont="1" applyBorder="1" applyAlignment="1">
      <alignment vertical="center" wrapText="1"/>
    </xf>
    <xf numFmtId="0" fontId="0" fillId="0" borderId="3" xfId="0" applyBorder="1"/>
    <xf numFmtId="0" fontId="3" fillId="0" borderId="0" xfId="0" applyFont="1" applyAlignment="1">
      <alignment horizontal="right"/>
    </xf>
    <xf numFmtId="0" fontId="4" fillId="0" borderId="4" xfId="0" applyFont="1" applyBorder="1" applyAlignment="1">
      <alignment vertical="center" wrapText="1"/>
    </xf>
    <xf numFmtId="0" fontId="5" fillId="0" borderId="0" xfId="0" applyFont="1"/>
    <xf numFmtId="0" fontId="4" fillId="0" borderId="6" xfId="0" applyFont="1" applyBorder="1" applyAlignment="1">
      <alignment vertical="center" wrapText="1"/>
    </xf>
    <xf numFmtId="3" fontId="5" fillId="0" borderId="1" xfId="0" applyNumberFormat="1" applyFont="1" applyBorder="1" applyAlignment="1">
      <alignment horizontal="center" vertical="center" wrapText="1"/>
    </xf>
    <xf numFmtId="0" fontId="4" fillId="0" borderId="0" xfId="0" applyFont="1" applyBorder="1" applyAlignment="1">
      <alignment vertical="center" wrapText="1"/>
    </xf>
    <xf numFmtId="3" fontId="5" fillId="0" borderId="0" xfId="0" applyNumberFormat="1" applyFont="1" applyBorder="1" applyAlignment="1">
      <alignment horizontal="center" vertical="center" wrapText="1"/>
    </xf>
    <xf numFmtId="0" fontId="4" fillId="0" borderId="0" xfId="0" applyFont="1" applyFill="1" applyBorder="1" applyAlignment="1">
      <alignment vertical="center" wrapText="1"/>
    </xf>
    <xf numFmtId="0" fontId="5" fillId="0" borderId="6" xfId="0" applyFont="1" applyBorder="1" applyAlignment="1">
      <alignment vertical="center" wrapText="1"/>
    </xf>
    <xf numFmtId="0" fontId="6" fillId="0" borderId="1" xfId="0" applyFont="1" applyBorder="1" applyAlignment="1">
      <alignment vertical="center" wrapText="1"/>
    </xf>
    <xf numFmtId="9" fontId="5" fillId="0" borderId="1" xfId="0" applyNumberFormat="1" applyFont="1" applyBorder="1" applyAlignment="1">
      <alignment horizontal="center" vertical="center" wrapText="1"/>
    </xf>
    <xf numFmtId="0" fontId="5" fillId="0" borderId="3" xfId="0" applyFont="1" applyBorder="1"/>
    <xf numFmtId="0" fontId="5" fillId="0" borderId="7" xfId="0" applyFont="1" applyBorder="1"/>
    <xf numFmtId="0" fontId="4" fillId="0" borderId="0" xfId="0" applyFont="1" applyAlignment="1">
      <alignment horizontal="right"/>
    </xf>
    <xf numFmtId="0" fontId="4" fillId="0" borderId="4" xfId="0" applyFont="1" applyBorder="1" applyAlignment="1">
      <alignment horizontal="center" vertical="center" wrapText="1"/>
    </xf>
    <xf numFmtId="0" fontId="4" fillId="0" borderId="6" xfId="0" applyFont="1" applyBorder="1" applyAlignment="1">
      <alignment horizontal="left" vertical="center" wrapText="1"/>
    </xf>
    <xf numFmtId="0" fontId="4" fillId="0" borderId="0" xfId="0" applyFont="1"/>
    <xf numFmtId="0" fontId="4" fillId="0" borderId="0" xfId="0" applyFont="1" applyFill="1" applyBorder="1" applyAlignment="1">
      <alignment horizontal="right" vertical="center" wrapText="1"/>
    </xf>
    <xf numFmtId="0" fontId="0" fillId="0" borderId="8" xfId="0" applyBorder="1"/>
    <xf numFmtId="0" fontId="0" fillId="0" borderId="9" xfId="0" applyBorder="1"/>
    <xf numFmtId="0" fontId="3" fillId="0" borderId="3" xfId="0" applyFont="1" applyBorder="1"/>
    <xf numFmtId="0" fontId="0" fillId="0" borderId="10" xfId="0" applyBorder="1"/>
    <xf numFmtId="0" fontId="0" fillId="0" borderId="11" xfId="0" applyBorder="1"/>
    <xf numFmtId="0" fontId="0" fillId="0" borderId="0" xfId="0" applyBorder="1"/>
    <xf numFmtId="4" fontId="3" fillId="0" borderId="10" xfId="0" applyNumberFormat="1" applyFont="1" applyBorder="1"/>
    <xf numFmtId="9" fontId="3" fillId="0" borderId="10" xfId="1" applyFont="1" applyBorder="1"/>
    <xf numFmtId="0" fontId="4" fillId="0" borderId="4" xfId="0" applyFont="1" applyBorder="1"/>
    <xf numFmtId="0" fontId="3" fillId="0" borderId="4" xfId="0" applyFont="1" applyBorder="1"/>
    <xf numFmtId="0" fontId="3" fillId="0" borderId="8" xfId="0" applyFont="1" applyBorder="1"/>
    <xf numFmtId="0" fontId="4" fillId="0" borderId="4" xfId="0" applyFont="1" applyBorder="1" applyAlignment="1">
      <alignment horizontal="center"/>
    </xf>
    <xf numFmtId="6" fontId="5" fillId="0" borderId="1" xfId="0" applyNumberFormat="1" applyFont="1" applyBorder="1" applyAlignment="1">
      <alignment horizontal="center" vertical="center" wrapText="1"/>
    </xf>
    <xf numFmtId="0" fontId="4" fillId="0" borderId="0" xfId="0" applyFont="1" applyAlignment="1">
      <alignment horizontal="center"/>
    </xf>
    <xf numFmtId="0" fontId="4" fillId="0" borderId="6" xfId="0" applyFont="1" applyBorder="1" applyAlignment="1">
      <alignment horizontal="center" vertical="center" wrapText="1"/>
    </xf>
    <xf numFmtId="3" fontId="5" fillId="0" borderId="1" xfId="0" applyNumberFormat="1" applyFont="1" applyBorder="1" applyAlignment="1">
      <alignment vertical="center" wrapText="1"/>
    </xf>
    <xf numFmtId="4" fontId="5" fillId="0" borderId="1" xfId="0" applyNumberFormat="1" applyFont="1" applyBorder="1" applyAlignment="1">
      <alignment vertical="center" wrapText="1"/>
    </xf>
    <xf numFmtId="4" fontId="0" fillId="0" borderId="4" xfId="0" applyNumberFormat="1" applyBorder="1"/>
    <xf numFmtId="3" fontId="4" fillId="0" borderId="6" xfId="0" applyNumberFormat="1" applyFont="1" applyBorder="1"/>
    <xf numFmtId="3" fontId="4" fillId="0" borderId="6" xfId="0" applyNumberFormat="1" applyFont="1" applyBorder="1" applyAlignment="1">
      <alignment horizontal="center" vertical="center" wrapText="1"/>
    </xf>
    <xf numFmtId="3" fontId="0" fillId="0" borderId="0" xfId="0" applyNumberFormat="1"/>
    <xf numFmtId="3" fontId="4" fillId="0" borderId="1" xfId="0" applyNumberFormat="1" applyFont="1" applyBorder="1" applyAlignment="1">
      <alignment vertical="center" wrapText="1"/>
    </xf>
    <xf numFmtId="0" fontId="4" fillId="0" borderId="1" xfId="0" applyFont="1" applyBorder="1" applyAlignment="1">
      <alignment horizontal="center" vertical="center" wrapText="1"/>
    </xf>
    <xf numFmtId="0" fontId="8" fillId="0" borderId="15" xfId="0" applyFont="1" applyBorder="1" applyAlignment="1">
      <alignment horizontal="center"/>
    </xf>
    <xf numFmtId="0" fontId="4" fillId="0" borderId="15" xfId="0" applyFont="1" applyBorder="1" applyAlignment="1">
      <alignment horizontal="center"/>
    </xf>
    <xf numFmtId="0" fontId="3" fillId="0" borderId="6" xfId="0" applyFont="1" applyBorder="1" applyAlignment="1">
      <alignment horizontal="center" vertical="center"/>
    </xf>
    <xf numFmtId="0" fontId="12" fillId="0" borderId="0" xfId="0" applyFont="1"/>
    <xf numFmtId="0" fontId="0" fillId="0" borderId="16" xfId="0" applyBorder="1" applyAlignment="1">
      <alignment horizontal="center"/>
    </xf>
    <xf numFmtId="49" fontId="0" fillId="0" borderId="17" xfId="0" applyNumberFormat="1" applyBorder="1"/>
    <xf numFmtId="3" fontId="13" fillId="0" borderId="18" xfId="0" applyNumberFormat="1" applyFont="1" applyBorder="1" applyAlignment="1">
      <alignment horizontal="center" vertical="center"/>
    </xf>
    <xf numFmtId="3" fontId="13" fillId="0" borderId="15" xfId="0" applyNumberFormat="1" applyFont="1" applyBorder="1" applyAlignment="1">
      <alignment horizontal="center" vertical="center"/>
    </xf>
    <xf numFmtId="0" fontId="0" fillId="0" borderId="19" xfId="0" applyBorder="1"/>
    <xf numFmtId="49" fontId="0" fillId="0" borderId="20" xfId="0" applyNumberFormat="1" applyBorder="1"/>
    <xf numFmtId="3" fontId="14" fillId="0" borderId="21" xfId="0" applyNumberFormat="1" applyFont="1" applyBorder="1" applyAlignment="1">
      <alignment horizontal="center"/>
    </xf>
    <xf numFmtId="3" fontId="13" fillId="0" borderId="21" xfId="0" applyNumberFormat="1" applyFont="1" applyBorder="1" applyAlignment="1">
      <alignment horizontal="center"/>
    </xf>
    <xf numFmtId="49" fontId="0" fillId="0" borderId="22" xfId="0" applyNumberFormat="1" applyBorder="1"/>
    <xf numFmtId="3" fontId="14" fillId="0" borderId="16" xfId="0" applyNumberFormat="1" applyFont="1" applyBorder="1" applyAlignment="1">
      <alignment horizontal="center"/>
    </xf>
    <xf numFmtId="49" fontId="0" fillId="0" borderId="16" xfId="0" applyNumberFormat="1" applyBorder="1"/>
    <xf numFmtId="3" fontId="14" fillId="0" borderId="23" xfId="0" applyNumberFormat="1" applyFont="1" applyBorder="1" applyAlignment="1">
      <alignment horizontal="center"/>
    </xf>
    <xf numFmtId="49" fontId="0" fillId="0" borderId="15" xfId="0" applyNumberFormat="1" applyBorder="1"/>
    <xf numFmtId="49" fontId="0" fillId="0" borderId="0" xfId="0" applyNumberFormat="1"/>
    <xf numFmtId="0" fontId="8" fillId="0" borderId="15" xfId="0" applyFont="1" applyBorder="1"/>
    <xf numFmtId="0" fontId="8" fillId="0" borderId="0" xfId="0" applyFont="1" applyAlignment="1">
      <alignment horizontal="right"/>
    </xf>
    <xf numFmtId="0" fontId="8" fillId="0" borderId="4" xfId="0" applyFont="1" applyBorder="1"/>
    <xf numFmtId="165" fontId="8" fillId="0" borderId="0" xfId="0" applyNumberFormat="1" applyFont="1"/>
    <xf numFmtId="0" fontId="8" fillId="0" borderId="15" xfId="0" applyFont="1" applyBorder="1" applyAlignment="1">
      <alignment horizontal="center" wrapText="1"/>
    </xf>
    <xf numFmtId="4" fontId="15" fillId="0" borderId="15" xfId="0" applyNumberFormat="1" applyFont="1" applyBorder="1" applyAlignment="1">
      <alignment horizontal="center" vertical="center"/>
    </xf>
    <xf numFmtId="4" fontId="15" fillId="0" borderId="15" xfId="0" applyNumberFormat="1" applyFont="1" applyBorder="1" applyAlignment="1">
      <alignment vertical="center"/>
    </xf>
    <xf numFmtId="0" fontId="8" fillId="0" borderId="0" xfId="0" applyFont="1"/>
    <xf numFmtId="0" fontId="8" fillId="0" borderId="15" xfId="0" applyFont="1" applyBorder="1" applyAlignment="1">
      <alignment horizontal="center" vertical="center"/>
    </xf>
    <xf numFmtId="0" fontId="8" fillId="0" borderId="15" xfId="0" applyFont="1" applyBorder="1" applyAlignment="1">
      <alignment horizontal="center" vertical="center" wrapText="1"/>
    </xf>
    <xf numFmtId="0" fontId="8" fillId="0" borderId="0" xfId="0" applyFont="1" applyAlignment="1">
      <alignment horizontal="center"/>
    </xf>
    <xf numFmtId="0" fontId="8" fillId="0" borderId="0" xfId="0" applyFont="1" applyFill="1" applyBorder="1" applyAlignment="1">
      <alignment horizontal="center"/>
    </xf>
    <xf numFmtId="3" fontId="17" fillId="0" borderId="23" xfId="0" applyNumberFormat="1" applyFont="1" applyBorder="1" applyAlignment="1">
      <alignment vertical="center"/>
    </xf>
    <xf numFmtId="3" fontId="17" fillId="0" borderId="21" xfId="0" applyNumberFormat="1" applyFont="1" applyBorder="1" applyAlignment="1">
      <alignment vertical="center"/>
    </xf>
    <xf numFmtId="49" fontId="10" fillId="0" borderId="22" xfId="0" applyNumberFormat="1" applyFont="1" applyBorder="1"/>
    <xf numFmtId="49" fontId="8" fillId="0" borderId="15" xfId="0" applyNumberFormat="1" applyFont="1" applyBorder="1"/>
    <xf numFmtId="0" fontId="0" fillId="0" borderId="15" xfId="0" applyFont="1" applyBorder="1"/>
    <xf numFmtId="3" fontId="8" fillId="0" borderId="15" xfId="0" applyNumberFormat="1" applyFont="1" applyBorder="1" applyAlignment="1">
      <alignment horizontal="center" vertical="center"/>
    </xf>
    <xf numFmtId="3" fontId="15" fillId="0" borderId="15" xfId="0" applyNumberFormat="1" applyFont="1" applyBorder="1" applyAlignment="1">
      <alignment horizontal="center"/>
    </xf>
    <xf numFmtId="49" fontId="10" fillId="0" borderId="15" xfId="0" applyNumberFormat="1" applyFont="1" applyBorder="1"/>
    <xf numFmtId="3" fontId="9" fillId="2" borderId="15" xfId="0" applyNumberFormat="1" applyFont="1" applyFill="1" applyBorder="1" applyAlignment="1">
      <alignment horizontal="center"/>
    </xf>
    <xf numFmtId="3" fontId="0" fillId="0" borderId="0" xfId="0" applyNumberFormat="1" applyAlignment="1">
      <alignment vertical="center"/>
    </xf>
    <xf numFmtId="3" fontId="14" fillId="0" borderId="15" xfId="0" applyNumberFormat="1" applyFont="1" applyBorder="1" applyAlignment="1">
      <alignment horizontal="center"/>
    </xf>
    <xf numFmtId="3" fontId="14" fillId="0" borderId="15" xfId="0" applyNumberFormat="1" applyFont="1" applyBorder="1" applyAlignment="1">
      <alignment horizontal="center" vertical="center"/>
    </xf>
    <xf numFmtId="0" fontId="8" fillId="0" borderId="0" xfId="0" applyFont="1" applyFill="1" applyBorder="1" applyAlignment="1">
      <alignment horizontal="right"/>
    </xf>
    <xf numFmtId="49" fontId="8" fillId="0" borderId="0" xfId="0" applyNumberFormat="1" applyFont="1" applyBorder="1"/>
    <xf numFmtId="3" fontId="15" fillId="0" borderId="0" xfId="0" applyNumberFormat="1" applyFont="1" applyBorder="1" applyAlignment="1">
      <alignment horizontal="center"/>
    </xf>
    <xf numFmtId="3" fontId="9" fillId="0" borderId="0" xfId="0" applyNumberFormat="1" applyFont="1" applyBorder="1" applyAlignment="1">
      <alignment horizontal="center" vertical="center"/>
    </xf>
    <xf numFmtId="3" fontId="8" fillId="0" borderId="15" xfId="0" applyNumberFormat="1" applyFont="1" applyBorder="1" applyAlignment="1">
      <alignment horizontal="center"/>
    </xf>
    <xf numFmtId="3" fontId="9" fillId="2" borderId="15" xfId="0" applyNumberFormat="1" applyFont="1" applyFill="1" applyBorder="1" applyAlignment="1">
      <alignment horizontal="center" vertical="center"/>
    </xf>
    <xf numFmtId="49" fontId="0" fillId="0" borderId="15" xfId="0" applyNumberFormat="1" applyFont="1" applyBorder="1"/>
    <xf numFmtId="0" fontId="5" fillId="0" borderId="6" xfId="0" applyFont="1" applyBorder="1" applyAlignment="1">
      <alignment horizontal="center" vertical="center"/>
    </xf>
    <xf numFmtId="0" fontId="5" fillId="0" borderId="4" xfId="0" applyFont="1" applyBorder="1" applyAlignment="1">
      <alignment horizontal="center" vertical="center"/>
    </xf>
    <xf numFmtId="4" fontId="5" fillId="0" borderId="0" xfId="0" applyNumberFormat="1" applyFont="1"/>
    <xf numFmtId="3" fontId="18" fillId="0" borderId="4" xfId="0" applyNumberFormat="1" applyFont="1" applyBorder="1" applyAlignment="1">
      <alignment horizontal="center" vertical="center" wrapText="1"/>
    </xf>
    <xf numFmtId="3" fontId="18" fillId="0" borderId="5" xfId="0" applyNumberFormat="1" applyFont="1" applyBorder="1" applyAlignment="1">
      <alignment horizontal="center" vertical="center" wrapText="1"/>
    </xf>
    <xf numFmtId="1" fontId="4" fillId="0" borderId="1" xfId="0" applyNumberFormat="1" applyFont="1" applyBorder="1" applyAlignment="1">
      <alignment horizontal="center" vertical="center" wrapText="1"/>
    </xf>
    <xf numFmtId="166" fontId="1" fillId="0" borderId="5" xfId="0" applyNumberFormat="1" applyFont="1" applyBorder="1" applyAlignment="1">
      <alignment horizontal="center" vertical="center" wrapText="1"/>
    </xf>
    <xf numFmtId="164" fontId="1" fillId="0" borderId="5" xfId="2" applyFont="1" applyBorder="1" applyAlignment="1">
      <alignment horizontal="center" vertical="center" wrapText="1"/>
    </xf>
    <xf numFmtId="164" fontId="1" fillId="0" borderId="4" xfId="2" applyFont="1" applyBorder="1" applyAlignment="1">
      <alignment horizontal="center" vertical="center" wrapText="1"/>
    </xf>
    <xf numFmtId="164" fontId="4" fillId="0" borderId="6" xfId="2" applyFont="1" applyBorder="1" applyAlignment="1">
      <alignment horizontal="center" vertical="center" wrapText="1"/>
    </xf>
    <xf numFmtId="0" fontId="4" fillId="0" borderId="6" xfId="2" applyNumberFormat="1" applyFont="1" applyBorder="1" applyAlignment="1">
      <alignment horizontal="center" vertical="center" wrapText="1"/>
    </xf>
    <xf numFmtId="1" fontId="4" fillId="0" borderId="6" xfId="2" applyNumberFormat="1" applyFont="1" applyBorder="1" applyAlignment="1">
      <alignment horizontal="center" vertical="center" wrapText="1"/>
    </xf>
    <xf numFmtId="0" fontId="19" fillId="0" borderId="0" xfId="0" applyFont="1"/>
    <xf numFmtId="9" fontId="19" fillId="0" borderId="0" xfId="0" applyNumberFormat="1" applyFont="1"/>
    <xf numFmtId="0" fontId="0" fillId="0" borderId="0" xfId="0" applyAlignment="1">
      <alignment horizontal="center"/>
    </xf>
    <xf numFmtId="2" fontId="0" fillId="0" borderId="0" xfId="0" applyNumberFormat="1"/>
    <xf numFmtId="3" fontId="1" fillId="0" borderId="4" xfId="0" applyNumberFormat="1" applyFont="1" applyBorder="1" applyAlignment="1">
      <alignment horizontal="center" vertical="center" wrapText="1"/>
    </xf>
    <xf numFmtId="3" fontId="1" fillId="0" borderId="5" xfId="0" applyNumberFormat="1" applyFont="1" applyBorder="1" applyAlignment="1">
      <alignment horizontal="center" vertical="center" wrapText="1"/>
    </xf>
    <xf numFmtId="1" fontId="4" fillId="0" borderId="2" xfId="0" applyNumberFormat="1" applyFont="1" applyBorder="1" applyAlignment="1">
      <alignment horizontal="center" vertical="center"/>
    </xf>
    <xf numFmtId="9" fontId="0" fillId="0" borderId="1" xfId="0" applyNumberFormat="1" applyBorder="1"/>
    <xf numFmtId="0" fontId="0" fillId="0" borderId="0" xfId="0" applyAlignment="1">
      <alignment horizontal="center" vertical="center"/>
    </xf>
    <xf numFmtId="1" fontId="4" fillId="0" borderId="4" xfId="0" applyNumberFormat="1" applyFont="1" applyBorder="1" applyAlignment="1">
      <alignment horizontal="center" vertical="center"/>
    </xf>
    <xf numFmtId="3" fontId="8" fillId="0" borderId="0" xfId="0" applyNumberFormat="1" applyFont="1" applyAlignment="1">
      <alignment horizontal="center" vertical="center"/>
    </xf>
    <xf numFmtId="4" fontId="8" fillId="0" borderId="0" xfId="0" applyNumberFormat="1" applyFont="1"/>
    <xf numFmtId="10" fontId="8" fillId="0" borderId="0" xfId="0" applyNumberFormat="1" applyFont="1"/>
    <xf numFmtId="2" fontId="8" fillId="0" borderId="0" xfId="0" applyNumberFormat="1" applyFont="1"/>
    <xf numFmtId="2" fontId="0" fillId="0" borderId="0" xfId="0" applyNumberFormat="1" applyAlignment="1">
      <alignment horizontal="center" vertical="center"/>
    </xf>
    <xf numFmtId="3" fontId="17" fillId="0" borderId="24" xfId="0" applyNumberFormat="1" applyFont="1" applyBorder="1" applyAlignment="1">
      <alignment horizontal="center" vertical="center"/>
    </xf>
    <xf numFmtId="3" fontId="20" fillId="0" borderId="15" xfId="0" applyNumberFormat="1" applyFont="1" applyBorder="1" applyAlignment="1">
      <alignment horizontal="center"/>
    </xf>
    <xf numFmtId="2" fontId="8" fillId="0" borderId="0" xfId="0" applyNumberFormat="1" applyFont="1" applyAlignment="1">
      <alignment horizontal="left"/>
    </xf>
    <xf numFmtId="0" fontId="4" fillId="0" borderId="0" xfId="0" applyFont="1" applyAlignment="1">
      <alignment horizontal="center"/>
    </xf>
    <xf numFmtId="4" fontId="5" fillId="0" borderId="2" xfId="0" applyNumberFormat="1" applyFont="1" applyBorder="1" applyAlignment="1">
      <alignment horizontal="center"/>
    </xf>
    <xf numFmtId="4" fontId="5" fillId="0" borderId="5" xfId="0" applyNumberFormat="1" applyFont="1" applyBorder="1" applyAlignment="1">
      <alignment horizontal="center"/>
    </xf>
    <xf numFmtId="0" fontId="4" fillId="0" borderId="1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 xfId="0" applyFont="1" applyBorder="1" applyAlignment="1">
      <alignment horizontal="right"/>
    </xf>
    <xf numFmtId="0" fontId="4" fillId="0" borderId="13" xfId="0" applyFont="1" applyBorder="1" applyAlignment="1">
      <alignment horizontal="right"/>
    </xf>
    <xf numFmtId="0" fontId="4" fillId="0" borderId="5" xfId="0" applyFont="1" applyBorder="1" applyAlignment="1">
      <alignment horizontal="right"/>
    </xf>
    <xf numFmtId="0" fontId="4" fillId="0" borderId="8" xfId="0" applyFont="1" applyBorder="1" applyAlignment="1">
      <alignment horizontal="justify" vertical="top"/>
    </xf>
    <xf numFmtId="0" fontId="4" fillId="0" borderId="7" xfId="0" applyFont="1" applyBorder="1" applyAlignment="1">
      <alignment horizontal="justify" vertical="top"/>
    </xf>
    <xf numFmtId="0" fontId="4" fillId="0" borderId="9" xfId="0" applyFont="1" applyBorder="1" applyAlignment="1">
      <alignment horizontal="justify" vertical="top"/>
    </xf>
    <xf numFmtId="0" fontId="4" fillId="0" borderId="3" xfId="0" applyFont="1" applyBorder="1" applyAlignment="1">
      <alignment horizontal="justify" vertical="top"/>
    </xf>
    <xf numFmtId="0" fontId="4" fillId="0" borderId="0" xfId="0" applyFont="1" applyBorder="1" applyAlignment="1">
      <alignment horizontal="justify" vertical="top"/>
    </xf>
    <xf numFmtId="0" fontId="4" fillId="0" borderId="10" xfId="0" applyFont="1" applyBorder="1" applyAlignment="1">
      <alignment horizontal="justify" vertical="top"/>
    </xf>
    <xf numFmtId="0" fontId="4" fillId="0" borderId="11" xfId="0" applyFont="1" applyBorder="1" applyAlignment="1">
      <alignment horizontal="justify" vertical="top"/>
    </xf>
    <xf numFmtId="0" fontId="4" fillId="0" borderId="14" xfId="0" applyFont="1" applyBorder="1" applyAlignment="1">
      <alignment horizontal="justify" vertical="top"/>
    </xf>
    <xf numFmtId="0" fontId="4" fillId="0" borderId="1" xfId="0" applyFont="1" applyBorder="1" applyAlignment="1">
      <alignment horizontal="justify" vertical="top"/>
    </xf>
    <xf numFmtId="4" fontId="5" fillId="0" borderId="2" xfId="0" applyNumberFormat="1" applyFont="1" applyBorder="1" applyAlignment="1">
      <alignment horizontal="center" vertical="center" wrapText="1"/>
    </xf>
    <xf numFmtId="4" fontId="5" fillId="0" borderId="5" xfId="0" applyNumberFormat="1" applyFont="1" applyBorder="1" applyAlignment="1">
      <alignment horizontal="center" vertical="center" wrapText="1"/>
    </xf>
    <xf numFmtId="0" fontId="3" fillId="0" borderId="0" xfId="0" applyFont="1" applyAlignment="1">
      <alignment horizontal="center"/>
    </xf>
    <xf numFmtId="4" fontId="5" fillId="0" borderId="0" xfId="0" applyNumberFormat="1" applyFont="1" applyBorder="1" applyAlignment="1">
      <alignment horizontal="center" vertical="center" wrapText="1"/>
    </xf>
    <xf numFmtId="3" fontId="0" fillId="0" borderId="4" xfId="0" applyNumberFormat="1" applyBorder="1" applyAlignment="1">
      <alignment horizontal="center"/>
    </xf>
    <xf numFmtId="4" fontId="0" fillId="0" borderId="4" xfId="0" applyNumberFormat="1" applyBorder="1" applyAlignment="1">
      <alignment horizontal="center"/>
    </xf>
    <xf numFmtId="4" fontId="0" fillId="0" borderId="2" xfId="0" applyNumberFormat="1" applyBorder="1" applyAlignment="1">
      <alignment horizontal="center"/>
    </xf>
    <xf numFmtId="4" fontId="0" fillId="0" borderId="5" xfId="0" applyNumberFormat="1" applyBorder="1" applyAlignment="1">
      <alignment horizontal="center"/>
    </xf>
    <xf numFmtId="0" fontId="3" fillId="0" borderId="4" xfId="0" applyFont="1" applyBorder="1" applyAlignment="1">
      <alignment horizontal="center"/>
    </xf>
    <xf numFmtId="0" fontId="0" fillId="0" borderId="4" xfId="0" applyBorder="1" applyAlignment="1">
      <alignment horizontal="center"/>
    </xf>
    <xf numFmtId="0" fontId="3" fillId="0" borderId="8" xfId="0" applyFont="1" applyBorder="1" applyAlignment="1">
      <alignment horizontal="distributed" vertical="top" wrapText="1"/>
    </xf>
    <xf numFmtId="0" fontId="3" fillId="0" borderId="9" xfId="0" applyFont="1" applyBorder="1" applyAlignment="1">
      <alignment horizontal="distributed" vertical="top"/>
    </xf>
    <xf numFmtId="0" fontId="3" fillId="0" borderId="11" xfId="0" applyFont="1" applyBorder="1" applyAlignment="1">
      <alignment horizontal="distributed" vertical="top"/>
    </xf>
    <xf numFmtId="0" fontId="3" fillId="0" borderId="1" xfId="0" applyFont="1" applyBorder="1" applyAlignment="1">
      <alignment horizontal="distributed" vertical="top"/>
    </xf>
    <xf numFmtId="0" fontId="8" fillId="0" borderId="0" xfId="0" applyFont="1" applyAlignment="1">
      <alignment horizontal="justify" vertical="top"/>
    </xf>
    <xf numFmtId="0" fontId="15" fillId="0" borderId="8" xfId="0" applyFont="1" applyBorder="1" applyAlignment="1">
      <alignment horizontal="justify" vertical="top"/>
    </xf>
    <xf numFmtId="0" fontId="11" fillId="0" borderId="7" xfId="0" applyFont="1" applyBorder="1" applyAlignment="1">
      <alignment horizontal="justify" vertical="top"/>
    </xf>
    <xf numFmtId="0" fontId="11" fillId="0" borderId="9" xfId="0" applyFont="1" applyBorder="1" applyAlignment="1">
      <alignment horizontal="justify" vertical="top"/>
    </xf>
    <xf numFmtId="0" fontId="11" fillId="0" borderId="3" xfId="0" applyFont="1" applyBorder="1" applyAlignment="1">
      <alignment horizontal="justify" vertical="top"/>
    </xf>
    <xf numFmtId="0" fontId="11" fillId="0" borderId="0" xfId="0" applyFont="1" applyBorder="1" applyAlignment="1">
      <alignment horizontal="justify" vertical="top"/>
    </xf>
    <xf numFmtId="0" fontId="11" fillId="0" borderId="10" xfId="0" applyFont="1" applyBorder="1" applyAlignment="1">
      <alignment horizontal="justify" vertical="top"/>
    </xf>
    <xf numFmtId="0" fontId="11" fillId="0" borderId="11" xfId="0" applyFont="1" applyBorder="1" applyAlignment="1">
      <alignment horizontal="justify" vertical="top"/>
    </xf>
    <xf numFmtId="0" fontId="11" fillId="0" borderId="14" xfId="0" applyFont="1" applyBorder="1" applyAlignment="1">
      <alignment horizontal="justify" vertical="top"/>
    </xf>
    <xf numFmtId="0" fontId="11" fillId="0" borderId="1" xfId="0" applyFont="1" applyBorder="1" applyAlignment="1">
      <alignment horizontal="justify" vertical="top"/>
    </xf>
    <xf numFmtId="0" fontId="0" fillId="0" borderId="0" xfId="0" applyAlignment="1">
      <alignment horizontal="center"/>
    </xf>
  </cellXfs>
  <cellStyles count="3">
    <cellStyle name="Monétaire" xfId="2" builtinId="4"/>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5"/>
  <sheetViews>
    <sheetView tabSelected="1" workbookViewId="0">
      <selection activeCell="E17" sqref="E17"/>
    </sheetView>
  </sheetViews>
  <sheetFormatPr baseColWidth="10" defaultColWidth="11.42578125" defaultRowHeight="15.75" x14ac:dyDescent="0.25"/>
  <cols>
    <col min="1" max="1" width="13" style="6" customWidth="1"/>
    <col min="2" max="2" width="15.140625" style="6" customWidth="1"/>
    <col min="3" max="3" width="14.42578125" style="6" customWidth="1"/>
    <col min="4" max="4" width="12.42578125" style="6" customWidth="1"/>
    <col min="5" max="5" width="14.7109375" style="6" customWidth="1"/>
    <col min="6" max="6" width="16.140625" style="6" customWidth="1"/>
    <col min="7" max="7" width="13" style="6" bestFit="1" customWidth="1"/>
    <col min="8" max="12" width="11.42578125" style="6"/>
    <col min="13" max="13" width="14.28515625" style="6" customWidth="1"/>
    <col min="14" max="16384" width="11.42578125" style="6"/>
  </cols>
  <sheetData>
    <row r="2" spans="1:7" x14ac:dyDescent="0.25">
      <c r="B2" s="124" t="s">
        <v>47</v>
      </c>
      <c r="C2" s="124"/>
      <c r="D2" s="124"/>
      <c r="E2" s="124"/>
    </row>
    <row r="3" spans="1:7" ht="16.5" thickBot="1" x14ac:dyDescent="0.3"/>
    <row r="4" spans="1:7" ht="30.75" customHeight="1" x14ac:dyDescent="0.25">
      <c r="B4" s="127" t="s">
        <v>0</v>
      </c>
      <c r="C4" s="127"/>
      <c r="D4" s="127"/>
      <c r="E4" s="127" t="s">
        <v>1</v>
      </c>
      <c r="F4" s="127" t="s">
        <v>2</v>
      </c>
      <c r="G4" s="127" t="s">
        <v>3</v>
      </c>
    </row>
    <row r="5" spans="1:7" ht="16.5" thickBot="1" x14ac:dyDescent="0.3">
      <c r="B5" s="128"/>
      <c r="C5" s="128"/>
      <c r="D5" s="128"/>
      <c r="E5" s="128"/>
      <c r="F5" s="128"/>
      <c r="G5" s="128"/>
    </row>
    <row r="6" spans="1:7" ht="48" thickBot="1" x14ac:dyDescent="0.3">
      <c r="A6" s="95">
        <v>0</v>
      </c>
      <c r="B6" s="12" t="s">
        <v>4</v>
      </c>
      <c r="C6" s="13" t="s">
        <v>5</v>
      </c>
      <c r="D6" s="34">
        <v>200000</v>
      </c>
      <c r="E6" s="14">
        <v>0.2</v>
      </c>
      <c r="F6" s="37">
        <f>D6+(E6*D6)</f>
        <v>240000</v>
      </c>
      <c r="G6" s="38">
        <f>F6/(1+3%)^A6</f>
        <v>240000</v>
      </c>
    </row>
    <row r="7" spans="1:7" ht="48" thickBot="1" x14ac:dyDescent="0.3">
      <c r="A7" s="95">
        <v>1</v>
      </c>
      <c r="B7" s="12" t="s">
        <v>6</v>
      </c>
      <c r="C7" s="13" t="s">
        <v>5</v>
      </c>
      <c r="D7" s="34">
        <v>200000</v>
      </c>
      <c r="E7" s="14">
        <v>0.25</v>
      </c>
      <c r="F7" s="37">
        <f t="shared" ref="F7:F10" si="0">D7+(E7*D7)</f>
        <v>250000</v>
      </c>
      <c r="G7" s="38">
        <f t="shared" ref="G7:G10" si="1">F7/(1+3%)^A7</f>
        <v>242718.44660194175</v>
      </c>
    </row>
    <row r="8" spans="1:7" ht="48" thickBot="1" x14ac:dyDescent="0.3">
      <c r="A8" s="95">
        <v>2</v>
      </c>
      <c r="B8" s="12" t="s">
        <v>7</v>
      </c>
      <c r="C8" s="2" t="s">
        <v>5</v>
      </c>
      <c r="D8" s="34">
        <v>200000</v>
      </c>
      <c r="E8" s="14">
        <v>0.25</v>
      </c>
      <c r="F8" s="37">
        <f t="shared" si="0"/>
        <v>250000</v>
      </c>
      <c r="G8" s="38">
        <f t="shared" si="1"/>
        <v>235648.97728343861</v>
      </c>
    </row>
    <row r="9" spans="1:7" ht="48" thickBot="1" x14ac:dyDescent="0.3">
      <c r="A9" s="95">
        <v>3</v>
      </c>
      <c r="B9" s="12" t="s">
        <v>8</v>
      </c>
      <c r="C9" s="2" t="s">
        <v>5</v>
      </c>
      <c r="D9" s="34">
        <v>200000</v>
      </c>
      <c r="E9" s="14">
        <v>0.2</v>
      </c>
      <c r="F9" s="37">
        <f t="shared" si="0"/>
        <v>240000</v>
      </c>
      <c r="G9" s="38">
        <f t="shared" si="1"/>
        <v>219633.99824475829</v>
      </c>
    </row>
    <row r="10" spans="1:7" ht="48" thickBot="1" x14ac:dyDescent="0.3">
      <c r="A10" s="94">
        <v>4</v>
      </c>
      <c r="B10" s="12" t="s">
        <v>9</v>
      </c>
      <c r="C10" s="2" t="s">
        <v>5</v>
      </c>
      <c r="D10" s="34">
        <v>200000</v>
      </c>
      <c r="E10" s="14">
        <v>0.2</v>
      </c>
      <c r="F10" s="37">
        <f t="shared" si="0"/>
        <v>240000</v>
      </c>
      <c r="G10" s="38">
        <f t="shared" si="1"/>
        <v>213236.89149976536</v>
      </c>
    </row>
    <row r="11" spans="1:7" ht="45.75" customHeight="1" thickBot="1" x14ac:dyDescent="0.3">
      <c r="B11" s="12" t="s">
        <v>9</v>
      </c>
      <c r="C11" s="2" t="s">
        <v>10</v>
      </c>
      <c r="D11" s="34">
        <v>10000</v>
      </c>
      <c r="E11" s="2"/>
      <c r="F11" s="37">
        <f>$D11+($E11*$D11)</f>
        <v>10000</v>
      </c>
      <c r="G11" s="37">
        <f>$D11+($E11*$D11)</f>
        <v>10000</v>
      </c>
    </row>
    <row r="12" spans="1:7" ht="16.5" thickBot="1" x14ac:dyDescent="0.3">
      <c r="A12" s="15"/>
      <c r="B12" s="129" t="s">
        <v>11</v>
      </c>
      <c r="C12" s="130"/>
      <c r="D12" s="130"/>
      <c r="E12" s="130"/>
      <c r="F12" s="131"/>
      <c r="G12" s="96">
        <f>SUM(G6:G11)</f>
        <v>1161238.3136299041</v>
      </c>
    </row>
    <row r="13" spans="1:7" x14ac:dyDescent="0.25">
      <c r="E13" s="16"/>
    </row>
    <row r="14" spans="1:7" ht="16.5" thickBot="1" x14ac:dyDescent="0.3"/>
    <row r="15" spans="1:7" ht="16.5" thickBot="1" x14ac:dyDescent="0.3">
      <c r="C15" s="17" t="s">
        <v>12</v>
      </c>
      <c r="D15" s="125">
        <f>-190000+G12</f>
        <v>971238.31362990406</v>
      </c>
      <c r="E15" s="126"/>
    </row>
  </sheetData>
  <mergeCells count="9">
    <mergeCell ref="B2:E2"/>
    <mergeCell ref="D15:E15"/>
    <mergeCell ref="C4:C5"/>
    <mergeCell ref="D4:D5"/>
    <mergeCell ref="G4:G5"/>
    <mergeCell ref="B12:F12"/>
    <mergeCell ref="E4:E5"/>
    <mergeCell ref="F4:F5"/>
    <mergeCell ref="B4:B5"/>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6"/>
  <sheetViews>
    <sheetView topLeftCell="A4" workbookViewId="0">
      <selection activeCell="A27" sqref="A27"/>
    </sheetView>
  </sheetViews>
  <sheetFormatPr baseColWidth="10" defaultRowHeight="15" x14ac:dyDescent="0.25"/>
  <cols>
    <col min="1" max="1" width="22.7109375" customWidth="1"/>
    <col min="2" max="2" width="12.28515625" bestFit="1" customWidth="1"/>
    <col min="3" max="7" width="11.7109375" bestFit="1" customWidth="1"/>
  </cols>
  <sheetData>
    <row r="2" spans="1:10" ht="15.75" x14ac:dyDescent="0.25">
      <c r="B2" s="124" t="s">
        <v>21</v>
      </c>
      <c r="C2" s="124"/>
      <c r="D2" s="124"/>
      <c r="E2" s="124"/>
    </row>
    <row r="3" spans="1:10" ht="15.75" x14ac:dyDescent="0.25">
      <c r="B3" s="35"/>
      <c r="C3" s="35"/>
      <c r="D3" s="35"/>
      <c r="E3" s="35"/>
    </row>
    <row r="4" spans="1:10" ht="15.75" thickBot="1" x14ac:dyDescent="0.3">
      <c r="B4" s="45">
        <v>0</v>
      </c>
      <c r="C4" s="45">
        <v>1</v>
      </c>
      <c r="D4" s="45">
        <v>2</v>
      </c>
      <c r="E4" s="45">
        <v>3</v>
      </c>
      <c r="F4" s="45">
        <v>4</v>
      </c>
      <c r="G4" s="45">
        <v>5</v>
      </c>
    </row>
    <row r="5" spans="1:10" ht="51" customHeight="1" thickBot="1" x14ac:dyDescent="0.3">
      <c r="A5" s="5" t="s">
        <v>17</v>
      </c>
      <c r="B5" s="44" t="s">
        <v>48</v>
      </c>
      <c r="C5" s="44" t="s">
        <v>13</v>
      </c>
      <c r="D5" s="44" t="s">
        <v>14</v>
      </c>
      <c r="E5" s="44" t="s">
        <v>15</v>
      </c>
      <c r="F5" s="44" t="s">
        <v>16</v>
      </c>
      <c r="G5" s="44" t="s">
        <v>45</v>
      </c>
      <c r="H5" s="6"/>
    </row>
    <row r="6" spans="1:10" ht="29.25" customHeight="1" thickBot="1" x14ac:dyDescent="0.3">
      <c r="A6" s="7" t="s">
        <v>20</v>
      </c>
      <c r="B6" s="43">
        <v>-90000</v>
      </c>
      <c r="C6" s="97">
        <v>23000</v>
      </c>
      <c r="D6" s="98">
        <v>27000</v>
      </c>
      <c r="E6" s="98">
        <v>31000</v>
      </c>
      <c r="F6" s="98">
        <v>28000</v>
      </c>
      <c r="G6" s="8">
        <f>17000+3100</f>
        <v>20100</v>
      </c>
      <c r="H6" s="6"/>
    </row>
    <row r="7" spans="1:10" ht="32.25" thickBot="1" x14ac:dyDescent="0.3">
      <c r="A7" s="7" t="s">
        <v>19</v>
      </c>
      <c r="B7" s="99">
        <f>B6/(1+7%)^B4</f>
        <v>-90000</v>
      </c>
      <c r="C7" s="99">
        <f t="shared" ref="C7:G7" si="0">C6/(1+7%)^C4</f>
        <v>21495.327102803738</v>
      </c>
      <c r="D7" s="99">
        <f t="shared" si="0"/>
        <v>23582.845663376713</v>
      </c>
      <c r="E7" s="99">
        <f t="shared" si="0"/>
        <v>25305.234183616409</v>
      </c>
      <c r="F7" s="99">
        <f t="shared" si="0"/>
        <v>21361.065937330706</v>
      </c>
      <c r="G7" s="99">
        <f t="shared" si="0"/>
        <v>14331.022207621734</v>
      </c>
      <c r="H7" s="6"/>
    </row>
    <row r="8" spans="1:10" ht="16.5" thickBot="1" x14ac:dyDescent="0.3">
      <c r="A8" s="9"/>
      <c r="B8" s="10"/>
      <c r="C8" s="10"/>
      <c r="D8" s="10"/>
      <c r="E8" s="10"/>
      <c r="F8" s="10"/>
      <c r="G8" s="6"/>
    </row>
    <row r="9" spans="1:10" ht="16.5" thickBot="1" x14ac:dyDescent="0.3">
      <c r="A9" s="9" t="s">
        <v>23</v>
      </c>
      <c r="B9" s="141">
        <f>SUM(B7:G7)</f>
        <v>16075.495094749303</v>
      </c>
      <c r="C9" s="142"/>
      <c r="D9" s="10"/>
      <c r="E9" s="10"/>
      <c r="F9" s="10"/>
      <c r="G9" s="6"/>
    </row>
    <row r="10" spans="1:10" ht="16.5" thickBot="1" x14ac:dyDescent="0.3">
      <c r="A10" s="9"/>
      <c r="B10" s="10"/>
      <c r="C10" s="10"/>
      <c r="D10" s="10"/>
      <c r="E10" s="10"/>
      <c r="F10" s="10"/>
      <c r="G10" s="6"/>
    </row>
    <row r="11" spans="1:10" ht="32.25" thickBot="1" x14ac:dyDescent="0.3">
      <c r="A11" s="9" t="s">
        <v>49</v>
      </c>
      <c r="B11" s="141">
        <f>(B9/-B7)+1</f>
        <v>1.1786166121638812</v>
      </c>
      <c r="C11" s="142"/>
      <c r="D11" s="10"/>
      <c r="E11" s="10"/>
      <c r="F11" s="10"/>
      <c r="G11" s="6"/>
    </row>
    <row r="12" spans="1:10" ht="15.75" x14ac:dyDescent="0.25">
      <c r="A12" s="6"/>
      <c r="B12" s="6"/>
      <c r="C12" s="6"/>
      <c r="D12" s="6"/>
      <c r="E12" s="6"/>
      <c r="F12" s="6"/>
      <c r="G12" s="6"/>
      <c r="J12" s="42"/>
    </row>
    <row r="13" spans="1:10" ht="16.5" thickBot="1" x14ac:dyDescent="0.3">
      <c r="A13" s="6"/>
      <c r="B13" s="46">
        <v>0</v>
      </c>
      <c r="C13" s="46">
        <v>1</v>
      </c>
      <c r="D13" s="46">
        <v>2</v>
      </c>
      <c r="E13" s="46">
        <v>3</v>
      </c>
      <c r="F13" s="46">
        <v>4</v>
      </c>
      <c r="G13" s="46">
        <v>5</v>
      </c>
    </row>
    <row r="14" spans="1:10" ht="48" customHeight="1" thickBot="1" x14ac:dyDescent="0.3">
      <c r="A14" s="5" t="s">
        <v>18</v>
      </c>
      <c r="B14" s="44" t="s">
        <v>48</v>
      </c>
      <c r="C14" s="44" t="s">
        <v>13</v>
      </c>
      <c r="D14" s="44" t="s">
        <v>14</v>
      </c>
      <c r="E14" s="44" t="s">
        <v>15</v>
      </c>
      <c r="F14" s="44" t="s">
        <v>16</v>
      </c>
      <c r="G14" s="44" t="s">
        <v>45</v>
      </c>
      <c r="H14" s="6"/>
    </row>
    <row r="15" spans="1:10" ht="25.5" customHeight="1" thickBot="1" x14ac:dyDescent="0.3">
      <c r="A15" s="7" t="s">
        <v>20</v>
      </c>
      <c r="B15" s="43">
        <v>-90000</v>
      </c>
      <c r="C15" s="97">
        <v>13000</v>
      </c>
      <c r="D15" s="98">
        <v>22000</v>
      </c>
      <c r="E15" s="98">
        <v>44000</v>
      </c>
      <c r="F15" s="98">
        <v>36000</v>
      </c>
      <c r="G15" s="98">
        <f>12000+3100</f>
        <v>15100</v>
      </c>
      <c r="H15" s="6"/>
    </row>
    <row r="16" spans="1:10" ht="32.25" thickBot="1" x14ac:dyDescent="0.3">
      <c r="A16" s="7" t="s">
        <v>19</v>
      </c>
      <c r="B16" s="99">
        <f>B15/(1+7%)^B13</f>
        <v>-90000</v>
      </c>
      <c r="C16" s="99">
        <f t="shared" ref="C16:F16" si="1">C15/(1+7%)^C13</f>
        <v>12149.532710280373</v>
      </c>
      <c r="D16" s="99">
        <f t="shared" si="1"/>
        <v>19215.652022010654</v>
      </c>
      <c r="E16" s="99">
        <f t="shared" si="1"/>
        <v>35917.106583197485</v>
      </c>
      <c r="F16" s="99">
        <f t="shared" si="1"/>
        <v>27464.227633710907</v>
      </c>
      <c r="G16" s="99">
        <f>G15/(1+7%)^G13</f>
        <v>10766.091310203392</v>
      </c>
      <c r="H16" s="6"/>
    </row>
    <row r="17" spans="1:7" ht="16.5" thickBot="1" x14ac:dyDescent="0.3">
      <c r="A17" s="6"/>
      <c r="B17" s="6"/>
      <c r="C17" s="6"/>
      <c r="D17" s="6"/>
      <c r="E17" s="6"/>
      <c r="F17" s="6"/>
      <c r="G17" s="6"/>
    </row>
    <row r="18" spans="1:7" ht="16.5" thickBot="1" x14ac:dyDescent="0.3">
      <c r="A18" s="11" t="s">
        <v>22</v>
      </c>
      <c r="B18" s="141">
        <f>SUM(B16:G16)</f>
        <v>15512.610259402809</v>
      </c>
      <c r="C18" s="142"/>
      <c r="D18" s="6"/>
      <c r="E18" s="6"/>
      <c r="F18" s="6"/>
      <c r="G18" s="6"/>
    </row>
    <row r="19" spans="1:7" ht="16.5" thickBot="1" x14ac:dyDescent="0.3">
      <c r="A19" s="6"/>
      <c r="B19" s="6"/>
      <c r="C19" s="6"/>
      <c r="D19" s="6"/>
      <c r="E19" s="6"/>
      <c r="F19" s="6"/>
      <c r="G19" s="6"/>
    </row>
    <row r="20" spans="1:7" ht="32.25" thickBot="1" x14ac:dyDescent="0.3">
      <c r="A20" s="9" t="s">
        <v>50</v>
      </c>
      <c r="B20" s="141">
        <f>(B18/-B16)+1</f>
        <v>1.1723623362155868</v>
      </c>
      <c r="C20" s="142"/>
      <c r="D20" s="6"/>
      <c r="E20" s="6"/>
      <c r="F20" s="6"/>
      <c r="G20" s="6"/>
    </row>
    <row r="21" spans="1:7" ht="15.75" x14ac:dyDescent="0.25">
      <c r="A21" s="6"/>
      <c r="B21" s="6"/>
      <c r="C21" s="6"/>
      <c r="D21" s="6"/>
      <c r="E21" s="6"/>
      <c r="F21" s="6"/>
      <c r="G21" s="6"/>
    </row>
    <row r="22" spans="1:7" ht="16.5" thickBot="1" x14ac:dyDescent="0.3">
      <c r="A22" s="6"/>
      <c r="B22" s="6"/>
      <c r="C22" s="6"/>
      <c r="D22" s="6"/>
      <c r="E22" s="6"/>
      <c r="F22" s="6"/>
      <c r="G22" s="6"/>
    </row>
    <row r="23" spans="1:7" ht="15.75" x14ac:dyDescent="0.25">
      <c r="A23" s="132" t="s">
        <v>97</v>
      </c>
      <c r="B23" s="133"/>
      <c r="C23" s="133"/>
      <c r="D23" s="133"/>
      <c r="E23" s="133"/>
      <c r="F23" s="134"/>
      <c r="G23" s="6"/>
    </row>
    <row r="24" spans="1:7" ht="15.75" x14ac:dyDescent="0.25">
      <c r="A24" s="135"/>
      <c r="B24" s="136"/>
      <c r="C24" s="136"/>
      <c r="D24" s="136"/>
      <c r="E24" s="136"/>
      <c r="F24" s="137"/>
      <c r="G24" s="6"/>
    </row>
    <row r="25" spans="1:7" ht="15.75" x14ac:dyDescent="0.25">
      <c r="A25" s="135"/>
      <c r="B25" s="136"/>
      <c r="C25" s="136"/>
      <c r="D25" s="136"/>
      <c r="E25" s="136"/>
      <c r="F25" s="137"/>
      <c r="G25" s="6"/>
    </row>
    <row r="26" spans="1:7" ht="16.5" thickBot="1" x14ac:dyDescent="0.3">
      <c r="A26" s="138"/>
      <c r="B26" s="139"/>
      <c r="C26" s="139"/>
      <c r="D26" s="139"/>
      <c r="E26" s="139"/>
      <c r="F26" s="140"/>
      <c r="G26" s="6"/>
    </row>
  </sheetData>
  <mergeCells count="6">
    <mergeCell ref="A23:F26"/>
    <mergeCell ref="B2:E2"/>
    <mergeCell ref="B9:C9"/>
    <mergeCell ref="B11:C11"/>
    <mergeCell ref="B20:C20"/>
    <mergeCell ref="B18:C18"/>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Q27"/>
  <sheetViews>
    <sheetView workbookViewId="0">
      <selection activeCell="E12" sqref="E12"/>
    </sheetView>
  </sheetViews>
  <sheetFormatPr baseColWidth="10" defaultRowHeight="15" x14ac:dyDescent="0.25"/>
  <cols>
    <col min="1" max="1" width="37.85546875" customWidth="1"/>
    <col min="2" max="2" width="24.28515625" customWidth="1"/>
    <col min="3" max="3" width="22.85546875" customWidth="1"/>
    <col min="4" max="4" width="22.7109375" customWidth="1"/>
    <col min="5" max="5" width="19.42578125" customWidth="1"/>
    <col min="8" max="8" width="23.85546875" customWidth="1"/>
  </cols>
  <sheetData>
    <row r="2" spans="1:17" ht="15.75" x14ac:dyDescent="0.25">
      <c r="A2" s="124" t="s">
        <v>35</v>
      </c>
      <c r="B2" s="124"/>
      <c r="C2" s="124"/>
      <c r="D2" s="124"/>
    </row>
    <row r="3" spans="1:17" ht="15.75" x14ac:dyDescent="0.25">
      <c r="A3" s="35"/>
      <c r="B3" s="35"/>
      <c r="C3" s="35"/>
      <c r="D3" s="35"/>
    </row>
    <row r="4" spans="1:17" ht="15.75" thickBot="1" x14ac:dyDescent="0.3">
      <c r="B4" s="45">
        <v>0</v>
      </c>
      <c r="C4" s="45">
        <v>1</v>
      </c>
      <c r="D4" s="45">
        <v>2</v>
      </c>
      <c r="E4" s="45">
        <v>3</v>
      </c>
    </row>
    <row r="5" spans="1:17" ht="32.25" thickBot="1" x14ac:dyDescent="0.3">
      <c r="A5" s="18"/>
      <c r="B5" s="36" t="s">
        <v>48</v>
      </c>
      <c r="C5" s="36" t="s">
        <v>13</v>
      </c>
      <c r="D5" s="44" t="s">
        <v>14</v>
      </c>
      <c r="E5" s="44" t="s">
        <v>46</v>
      </c>
    </row>
    <row r="6" spans="1:17" ht="25.5" customHeight="1" thickBot="1" x14ac:dyDescent="0.3">
      <c r="A6" s="19" t="s">
        <v>25</v>
      </c>
      <c r="B6" s="41">
        <v>-45000</v>
      </c>
      <c r="C6" s="102">
        <v>11000</v>
      </c>
      <c r="D6" s="101">
        <v>16000</v>
      </c>
      <c r="E6" s="100">
        <f>20000+8000</f>
        <v>28000</v>
      </c>
    </row>
    <row r="7" spans="1:17" ht="32.25" thickBot="1" x14ac:dyDescent="0.3">
      <c r="A7" s="19" t="s">
        <v>26</v>
      </c>
      <c r="B7" s="104">
        <f>B6/(1+12%)^B4</f>
        <v>-45000</v>
      </c>
      <c r="C7" s="103">
        <f t="shared" ref="C7:E7" si="0">C6/(1+12%)^C4</f>
        <v>9821.4285714285706</v>
      </c>
      <c r="D7" s="103">
        <f t="shared" si="0"/>
        <v>12755.102040816324</v>
      </c>
      <c r="E7" s="103">
        <f t="shared" si="0"/>
        <v>19929.846938775503</v>
      </c>
      <c r="K7" s="108"/>
      <c r="O7" s="108"/>
    </row>
    <row r="8" spans="1:17" ht="32.25" thickBot="1" x14ac:dyDescent="0.3">
      <c r="A8" s="19" t="s">
        <v>27</v>
      </c>
      <c r="B8" s="105">
        <f>B6/(1+9%)^B4</f>
        <v>-45000</v>
      </c>
      <c r="C8" s="103">
        <f t="shared" ref="C8:E8" si="1">C6/(1+9%)^C4</f>
        <v>10091.743119266055</v>
      </c>
      <c r="D8" s="103">
        <f t="shared" si="1"/>
        <v>13466.879892264958</v>
      </c>
      <c r="E8" s="103">
        <f t="shared" si="1"/>
        <v>21621.137441709798</v>
      </c>
      <c r="K8" s="108"/>
      <c r="L8" s="109"/>
      <c r="M8" s="109"/>
      <c r="O8" s="108"/>
      <c r="P8" s="109"/>
      <c r="Q8" s="109"/>
    </row>
    <row r="9" spans="1:17" x14ac:dyDescent="0.25">
      <c r="K9" s="108"/>
      <c r="L9" s="109"/>
      <c r="M9" s="109"/>
      <c r="O9" s="108"/>
      <c r="P9" s="109"/>
      <c r="Q9" s="109"/>
    </row>
    <row r="10" spans="1:17" ht="15.75" thickBot="1" x14ac:dyDescent="0.3">
      <c r="K10" s="108"/>
      <c r="L10" s="109"/>
      <c r="M10" s="109"/>
      <c r="O10" s="108"/>
      <c r="P10" s="109"/>
      <c r="Q10" s="109"/>
    </row>
    <row r="11" spans="1:17" ht="16.5" thickBot="1" x14ac:dyDescent="0.3">
      <c r="A11" s="21" t="s">
        <v>28</v>
      </c>
      <c r="B11" s="39">
        <f>SUM(B7:E7)</f>
        <v>-2493.6224489796004</v>
      </c>
      <c r="D11" s="9"/>
      <c r="E11" s="144"/>
      <c r="F11" s="144"/>
      <c r="K11" s="108"/>
      <c r="L11" s="109"/>
      <c r="M11" s="109"/>
      <c r="O11" s="108"/>
      <c r="P11" s="109"/>
      <c r="Q11" s="109"/>
    </row>
    <row r="12" spans="1:17" ht="15.75" x14ac:dyDescent="0.25">
      <c r="A12" s="4"/>
      <c r="D12" s="106" t="s">
        <v>93</v>
      </c>
      <c r="E12" s="107">
        <f>IRR(B6:E6)</f>
        <v>9.1929086123903048E-2</v>
      </c>
      <c r="F12" s="27"/>
      <c r="K12" s="108"/>
      <c r="L12" s="109"/>
      <c r="M12" s="109"/>
      <c r="O12" s="108"/>
      <c r="P12" s="109"/>
      <c r="Q12" s="109"/>
    </row>
    <row r="13" spans="1:17" ht="15.75" thickBot="1" x14ac:dyDescent="0.3">
      <c r="A13" s="4"/>
      <c r="D13" s="27"/>
      <c r="E13" s="27"/>
      <c r="F13" s="27"/>
    </row>
    <row r="14" spans="1:17" ht="16.5" thickBot="1" x14ac:dyDescent="0.3">
      <c r="A14" s="17" t="s">
        <v>29</v>
      </c>
      <c r="B14" s="39">
        <f>SUM(B8:E8)</f>
        <v>179.76045324081497</v>
      </c>
      <c r="D14" s="9"/>
      <c r="E14" s="144"/>
      <c r="F14" s="144"/>
    </row>
    <row r="18" spans="1:3" x14ac:dyDescent="0.25">
      <c r="A18" s="143" t="s">
        <v>32</v>
      </c>
      <c r="B18" s="143"/>
    </row>
    <row r="19" spans="1:3" ht="15.75" thickBot="1" x14ac:dyDescent="0.3"/>
    <row r="20" spans="1:3" x14ac:dyDescent="0.25">
      <c r="A20" s="22"/>
      <c r="B20" s="23"/>
    </row>
    <row r="21" spans="1:3" x14ac:dyDescent="0.25">
      <c r="A21" s="24" t="s">
        <v>30</v>
      </c>
      <c r="B21" s="29"/>
    </row>
    <row r="22" spans="1:3" x14ac:dyDescent="0.25">
      <c r="A22" s="3"/>
      <c r="B22" s="25"/>
    </row>
    <row r="23" spans="1:3" x14ac:dyDescent="0.25">
      <c r="A23" s="24" t="s">
        <v>31</v>
      </c>
      <c r="B23" s="28">
        <f>-45000+C6/(1+B21)+D6/(1+B21)^2+E6/(1+B21)^3</f>
        <v>10000</v>
      </c>
    </row>
    <row r="24" spans="1:3" ht="15.75" thickBot="1" x14ac:dyDescent="0.3">
      <c r="A24" s="26"/>
      <c r="B24" s="1"/>
    </row>
    <row r="26" spans="1:3" x14ac:dyDescent="0.25">
      <c r="C26" s="27"/>
    </row>
    <row r="27" spans="1:3" x14ac:dyDescent="0.25">
      <c r="C27" s="27"/>
    </row>
  </sheetData>
  <mergeCells count="4">
    <mergeCell ref="A2:D2"/>
    <mergeCell ref="A18:B18"/>
    <mergeCell ref="E11:F11"/>
    <mergeCell ref="E14:F14"/>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33"/>
  <sheetViews>
    <sheetView topLeftCell="A4" workbookViewId="0">
      <selection activeCell="B22" sqref="B22"/>
    </sheetView>
  </sheetViews>
  <sheetFormatPr baseColWidth="10" defaultRowHeight="15" x14ac:dyDescent="0.25"/>
  <cols>
    <col min="1" max="1" width="43.42578125" customWidth="1"/>
    <col min="2" max="2" width="12.85546875" customWidth="1"/>
    <col min="3" max="4" width="13.42578125" customWidth="1"/>
    <col min="5" max="6" width="13.7109375" customWidth="1"/>
    <col min="9" max="9" width="11.28515625" customWidth="1"/>
    <col min="10" max="10" width="14" customWidth="1"/>
    <col min="11" max="11" width="11.85546875" bestFit="1" customWidth="1"/>
  </cols>
  <sheetData>
    <row r="2" spans="1:7" ht="15.75" x14ac:dyDescent="0.25">
      <c r="C2" s="124" t="s">
        <v>24</v>
      </c>
      <c r="D2" s="124"/>
      <c r="E2" s="124"/>
      <c r="F2" s="124"/>
    </row>
    <row r="3" spans="1:7" ht="15.75" x14ac:dyDescent="0.25">
      <c r="C3" s="35"/>
      <c r="D3" s="35"/>
      <c r="E3" s="35"/>
      <c r="F3" s="35"/>
    </row>
    <row r="4" spans="1:7" ht="15.75" thickBot="1" x14ac:dyDescent="0.3">
      <c r="B4" s="45">
        <v>0</v>
      </c>
      <c r="C4" s="45">
        <v>1</v>
      </c>
      <c r="D4" s="45">
        <v>2</v>
      </c>
      <c r="E4" s="45">
        <v>3</v>
      </c>
      <c r="F4" s="45">
        <v>4</v>
      </c>
      <c r="G4" s="45">
        <v>5</v>
      </c>
    </row>
    <row r="5" spans="1:7" ht="50.25" customHeight="1" thickBot="1" x14ac:dyDescent="0.3">
      <c r="A5" s="31" t="s">
        <v>34</v>
      </c>
      <c r="B5" s="47" t="s">
        <v>48</v>
      </c>
      <c r="C5" s="36" t="s">
        <v>13</v>
      </c>
      <c r="D5" s="44" t="s">
        <v>14</v>
      </c>
      <c r="E5" s="44" t="s">
        <v>15</v>
      </c>
      <c r="F5" s="44" t="s">
        <v>16</v>
      </c>
      <c r="G5" s="44" t="s">
        <v>45</v>
      </c>
    </row>
    <row r="6" spans="1:7" ht="16.5" thickBot="1" x14ac:dyDescent="0.3">
      <c r="A6" s="30" t="s">
        <v>33</v>
      </c>
      <c r="B6" s="40">
        <v>-122000</v>
      </c>
      <c r="C6" s="110">
        <v>35000</v>
      </c>
      <c r="D6" s="111">
        <v>36000</v>
      </c>
      <c r="E6" s="111">
        <v>38000</v>
      </c>
      <c r="F6" s="111">
        <v>37000</v>
      </c>
      <c r="G6" s="111">
        <f>32000+9000</f>
        <v>41000</v>
      </c>
    </row>
    <row r="7" spans="1:7" ht="16.5" thickBot="1" x14ac:dyDescent="0.3">
      <c r="A7" s="30" t="s">
        <v>19</v>
      </c>
      <c r="B7" s="112">
        <f>B6/(1+7%)^B4</f>
        <v>-122000</v>
      </c>
      <c r="C7" s="112">
        <f t="shared" ref="C7:G7" si="0">C6/(1+7%)^C4</f>
        <v>32710.280373831774</v>
      </c>
      <c r="D7" s="112">
        <f t="shared" si="0"/>
        <v>31443.794217835617</v>
      </c>
      <c r="E7" s="112">
        <f t="shared" si="0"/>
        <v>31019.319321852374</v>
      </c>
      <c r="F7" s="112">
        <f t="shared" si="0"/>
        <v>28227.122845758433</v>
      </c>
      <c r="G7" s="115">
        <f t="shared" si="0"/>
        <v>29232.433358830403</v>
      </c>
    </row>
    <row r="9" spans="1:7" ht="15.75" thickBot="1" x14ac:dyDescent="0.3"/>
    <row r="10" spans="1:7" ht="15.75" thickBot="1" x14ac:dyDescent="0.3">
      <c r="A10" s="4" t="s">
        <v>12</v>
      </c>
      <c r="B10" s="147">
        <f>SUM(B7:G7)</f>
        <v>30632.950118108602</v>
      </c>
      <c r="C10" s="148"/>
    </row>
    <row r="12" spans="1:7" ht="15.75" thickBot="1" x14ac:dyDescent="0.3"/>
    <row r="13" spans="1:7" ht="16.5" thickBot="1" x14ac:dyDescent="0.3">
      <c r="A13" s="20" t="s">
        <v>51</v>
      </c>
      <c r="B13" s="147">
        <f>(B10/-B6)+1</f>
        <v>1.2510897550664639</v>
      </c>
      <c r="C13" s="148"/>
    </row>
    <row r="16" spans="1:7" ht="15.75" thickBot="1" x14ac:dyDescent="0.3"/>
    <row r="17" spans="1:11" x14ac:dyDescent="0.25">
      <c r="A17" s="32" t="s">
        <v>36</v>
      </c>
      <c r="B17" s="23"/>
      <c r="C17" s="3"/>
    </row>
    <row r="18" spans="1:11" x14ac:dyDescent="0.25">
      <c r="A18" s="24"/>
      <c r="B18" s="25"/>
    </row>
    <row r="19" spans="1:11" x14ac:dyDescent="0.25">
      <c r="A19" s="24" t="s">
        <v>30</v>
      </c>
      <c r="B19" s="29">
        <v>7.0000000000000007E-2</v>
      </c>
    </row>
    <row r="20" spans="1:11" x14ac:dyDescent="0.25">
      <c r="A20" s="3"/>
      <c r="B20" s="25"/>
    </row>
    <row r="21" spans="1:11" x14ac:dyDescent="0.25">
      <c r="A21" s="24" t="s">
        <v>31</v>
      </c>
      <c r="B21" s="28">
        <f>-122000+C6/(1+B19)+D6/(1+B19)^2+E6/(1+B19)^3 + F6/(1+B19)^4 +G6/(1+B19)^5</f>
        <v>30632.950118108602</v>
      </c>
    </row>
    <row r="22" spans="1:11" ht="15.75" thickBot="1" x14ac:dyDescent="0.3">
      <c r="A22" s="26"/>
      <c r="B22" s="113">
        <f>IRR(B6:G6)</f>
        <v>0.15734433622085597</v>
      </c>
    </row>
    <row r="25" spans="1:11" ht="15.75" x14ac:dyDescent="0.25">
      <c r="A25" s="20" t="s">
        <v>37</v>
      </c>
    </row>
    <row r="26" spans="1:11" ht="15.75" thickBot="1" x14ac:dyDescent="0.3"/>
    <row r="27" spans="1:11" ht="15.75" thickBot="1" x14ac:dyDescent="0.3">
      <c r="A27" s="150"/>
      <c r="B27" s="149" t="s">
        <v>33</v>
      </c>
      <c r="C27" s="149"/>
      <c r="D27" s="149" t="s">
        <v>38</v>
      </c>
      <c r="E27" s="149"/>
      <c r="F27" s="151" t="s">
        <v>39</v>
      </c>
      <c r="G27" s="152"/>
    </row>
    <row r="28" spans="1:11" ht="15.75" thickBot="1" x14ac:dyDescent="0.3">
      <c r="A28" s="150"/>
      <c r="B28" s="149"/>
      <c r="C28" s="149"/>
      <c r="D28" s="149"/>
      <c r="E28" s="149"/>
      <c r="F28" s="153"/>
      <c r="G28" s="154"/>
    </row>
    <row r="29" spans="1:11" ht="16.5" thickBot="1" x14ac:dyDescent="0.3">
      <c r="A29" s="33" t="s">
        <v>40</v>
      </c>
      <c r="B29" s="145">
        <f>C6</f>
        <v>35000</v>
      </c>
      <c r="C29" s="145"/>
      <c r="D29" s="145">
        <f>C$7</f>
        <v>32710.280373831774</v>
      </c>
      <c r="E29" s="145"/>
      <c r="F29" s="146">
        <f>D29</f>
        <v>32710.280373831774</v>
      </c>
      <c r="G29" s="146"/>
      <c r="H29" s="114">
        <v>1</v>
      </c>
    </row>
    <row r="30" spans="1:11" ht="16.5" thickBot="1" x14ac:dyDescent="0.3">
      <c r="A30" s="33" t="s">
        <v>41</v>
      </c>
      <c r="B30" s="145">
        <f>D6</f>
        <v>36000</v>
      </c>
      <c r="C30" s="145"/>
      <c r="D30" s="145">
        <f>D$7</f>
        <v>31443.794217835617</v>
      </c>
      <c r="E30" s="145"/>
      <c r="F30" s="146">
        <f>F29+D30</f>
        <v>64154.074591667391</v>
      </c>
      <c r="G30" s="146"/>
      <c r="H30" s="114">
        <v>2</v>
      </c>
    </row>
    <row r="31" spans="1:11" ht="16.5" thickBot="1" x14ac:dyDescent="0.3">
      <c r="A31" s="33" t="s">
        <v>42</v>
      </c>
      <c r="B31" s="145">
        <f>E6</f>
        <v>38000</v>
      </c>
      <c r="C31" s="145"/>
      <c r="D31" s="145">
        <f>E$7</f>
        <v>31019.319321852374</v>
      </c>
      <c r="E31" s="145"/>
      <c r="F31" s="146">
        <f>F30+D31</f>
        <v>95173.393913519772</v>
      </c>
      <c r="G31" s="146"/>
      <c r="H31" s="114">
        <v>3</v>
      </c>
      <c r="J31" t="s">
        <v>94</v>
      </c>
      <c r="K31" s="109">
        <f>((H32-H31)/(F32-F31))*(122000-F31)+H31</f>
        <v>3.9503840059459456</v>
      </c>
    </row>
    <row r="32" spans="1:11" ht="16.5" thickBot="1" x14ac:dyDescent="0.3">
      <c r="A32" s="33" t="s">
        <v>43</v>
      </c>
      <c r="B32" s="145">
        <f>F6</f>
        <v>37000</v>
      </c>
      <c r="C32" s="145"/>
      <c r="D32" s="145">
        <f>F$7</f>
        <v>28227.122845758433</v>
      </c>
      <c r="E32" s="145"/>
      <c r="F32" s="146">
        <f t="shared" ref="F32:F33" si="1">F31+D32</f>
        <v>123400.51675927821</v>
      </c>
      <c r="G32" s="146"/>
      <c r="H32" s="114">
        <v>4</v>
      </c>
    </row>
    <row r="33" spans="1:8" ht="16.5" thickBot="1" x14ac:dyDescent="0.3">
      <c r="A33" s="33" t="s">
        <v>44</v>
      </c>
      <c r="B33" s="145">
        <f>G6</f>
        <v>41000</v>
      </c>
      <c r="C33" s="145"/>
      <c r="D33" s="145">
        <f>G$7</f>
        <v>29232.433358830403</v>
      </c>
      <c r="E33" s="145"/>
      <c r="F33" s="146">
        <f t="shared" si="1"/>
        <v>152632.95011810862</v>
      </c>
      <c r="G33" s="146"/>
      <c r="H33" s="114">
        <v>5</v>
      </c>
    </row>
  </sheetData>
  <mergeCells count="22">
    <mergeCell ref="A27:A28"/>
    <mergeCell ref="F27:G28"/>
    <mergeCell ref="F29:G29"/>
    <mergeCell ref="B29:C29"/>
    <mergeCell ref="D29:E29"/>
    <mergeCell ref="C2:F2"/>
    <mergeCell ref="B10:C10"/>
    <mergeCell ref="B13:C13"/>
    <mergeCell ref="B27:C28"/>
    <mergeCell ref="D27:E28"/>
    <mergeCell ref="B33:C33"/>
    <mergeCell ref="D33:E33"/>
    <mergeCell ref="F33:G33"/>
    <mergeCell ref="B30:C30"/>
    <mergeCell ref="D30:E30"/>
    <mergeCell ref="F30:G30"/>
    <mergeCell ref="B31:C31"/>
    <mergeCell ref="D31:E31"/>
    <mergeCell ref="F31:G31"/>
    <mergeCell ref="B32:C32"/>
    <mergeCell ref="D32:E32"/>
    <mergeCell ref="F32:G32"/>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6"/>
  <sheetViews>
    <sheetView topLeftCell="A61" workbookViewId="0">
      <selection activeCell="A81" sqref="A81:G86"/>
    </sheetView>
  </sheetViews>
  <sheetFormatPr baseColWidth="10" defaultRowHeight="15" x14ac:dyDescent="0.25"/>
  <cols>
    <col min="1" max="1" width="45.28515625" customWidth="1"/>
    <col min="2" max="2" width="12.42578125" bestFit="1" customWidth="1"/>
    <col min="3" max="3" width="12.7109375" customWidth="1"/>
    <col min="4" max="4" width="13.140625" customWidth="1"/>
  </cols>
  <sheetData>
    <row r="1" spans="1:7" x14ac:dyDescent="0.25">
      <c r="A1" s="48" t="s">
        <v>52</v>
      </c>
    </row>
    <row r="2" spans="1:7" x14ac:dyDescent="0.25">
      <c r="A2" t="s">
        <v>95</v>
      </c>
    </row>
    <row r="3" spans="1:7" x14ac:dyDescent="0.25">
      <c r="B3" s="49">
        <v>1</v>
      </c>
      <c r="C3" s="49">
        <v>2</v>
      </c>
      <c r="D3" s="49">
        <v>3</v>
      </c>
      <c r="E3" s="49">
        <v>4</v>
      </c>
      <c r="F3" s="49">
        <v>5</v>
      </c>
    </row>
    <row r="4" spans="1:7" ht="15.75" x14ac:dyDescent="0.25">
      <c r="A4" s="50" t="s">
        <v>53</v>
      </c>
      <c r="B4" s="51">
        <v>34800</v>
      </c>
      <c r="C4" s="51">
        <v>36000</v>
      </c>
      <c r="D4" s="51">
        <v>37800</v>
      </c>
      <c r="E4" s="52">
        <v>37200</v>
      </c>
      <c r="F4" s="52">
        <v>37200</v>
      </c>
      <c r="G4" s="53"/>
    </row>
    <row r="5" spans="1:7" ht="15.75" x14ac:dyDescent="0.25">
      <c r="A5" s="54" t="s">
        <v>54</v>
      </c>
      <c r="B5" s="55">
        <v>19200</v>
      </c>
      <c r="C5" s="56">
        <f>B5+600</f>
        <v>19800</v>
      </c>
      <c r="D5" s="56">
        <f t="shared" ref="D5:F5" si="0">C5+600</f>
        <v>20400</v>
      </c>
      <c r="E5" s="56">
        <f t="shared" si="0"/>
        <v>21000</v>
      </c>
      <c r="F5" s="56">
        <f t="shared" si="0"/>
        <v>21600</v>
      </c>
    </row>
    <row r="6" spans="1:7" ht="15.75" x14ac:dyDescent="0.25">
      <c r="A6" s="57" t="s">
        <v>85</v>
      </c>
      <c r="B6" s="55">
        <f>48000/5</f>
        <v>9600</v>
      </c>
      <c r="C6" s="55">
        <f t="shared" ref="C6:F6" si="1">48000/5</f>
        <v>9600</v>
      </c>
      <c r="D6" s="55">
        <f t="shared" si="1"/>
        <v>9600</v>
      </c>
      <c r="E6" s="55">
        <f t="shared" si="1"/>
        <v>9600</v>
      </c>
      <c r="F6" s="55">
        <f t="shared" si="1"/>
        <v>9600</v>
      </c>
    </row>
    <row r="7" spans="1:7" ht="15.75" x14ac:dyDescent="0.25">
      <c r="A7" s="54" t="s">
        <v>55</v>
      </c>
      <c r="B7" s="58">
        <f>B4-B5-B6</f>
        <v>6000</v>
      </c>
      <c r="C7" s="58">
        <f t="shared" ref="C7:F7" si="2">C4-C5-C6</f>
        <v>6600</v>
      </c>
      <c r="D7" s="58">
        <f t="shared" si="2"/>
        <v>7800</v>
      </c>
      <c r="E7" s="58">
        <f t="shared" si="2"/>
        <v>6600</v>
      </c>
      <c r="F7" s="58">
        <f t="shared" si="2"/>
        <v>6000</v>
      </c>
    </row>
    <row r="8" spans="1:7" ht="15.75" x14ac:dyDescent="0.25">
      <c r="A8" s="54" t="s">
        <v>56</v>
      </c>
      <c r="B8" s="55">
        <f>B7*34%</f>
        <v>2040.0000000000002</v>
      </c>
      <c r="C8" s="55">
        <f t="shared" ref="C8:F8" si="3">C7*34%</f>
        <v>2244</v>
      </c>
      <c r="D8" s="55">
        <f t="shared" si="3"/>
        <v>2652</v>
      </c>
      <c r="E8" s="55">
        <f t="shared" si="3"/>
        <v>2244</v>
      </c>
      <c r="F8" s="55">
        <f t="shared" si="3"/>
        <v>2040.0000000000002</v>
      </c>
    </row>
    <row r="9" spans="1:7" ht="15.75" x14ac:dyDescent="0.25">
      <c r="A9" s="59" t="s">
        <v>57</v>
      </c>
      <c r="B9" s="60">
        <f>B7-B8</f>
        <v>3960</v>
      </c>
      <c r="C9" s="60">
        <f t="shared" ref="C9:F9" si="4">C7-C8</f>
        <v>4356</v>
      </c>
      <c r="D9" s="60">
        <f t="shared" si="4"/>
        <v>5148</v>
      </c>
      <c r="E9" s="60">
        <f t="shared" si="4"/>
        <v>4356</v>
      </c>
      <c r="F9" s="60">
        <f t="shared" si="4"/>
        <v>3960</v>
      </c>
    </row>
    <row r="10" spans="1:7" x14ac:dyDescent="0.25">
      <c r="A10" s="54" t="s">
        <v>87</v>
      </c>
      <c r="B10" s="116">
        <f>B6</f>
        <v>9600</v>
      </c>
      <c r="C10" s="116">
        <f t="shared" ref="C10:F10" si="5">C6</f>
        <v>9600</v>
      </c>
      <c r="D10" s="116">
        <f t="shared" si="5"/>
        <v>9600</v>
      </c>
      <c r="E10" s="116">
        <f t="shared" si="5"/>
        <v>9600</v>
      </c>
      <c r="F10" s="116">
        <f t="shared" si="5"/>
        <v>9600</v>
      </c>
    </row>
    <row r="11" spans="1:7" ht="15.75" x14ac:dyDescent="0.25">
      <c r="A11" s="61" t="s">
        <v>58</v>
      </c>
      <c r="B11" s="55">
        <f>B9+B6</f>
        <v>13560</v>
      </c>
      <c r="C11" s="55">
        <f t="shared" ref="C11:F11" si="6">C9+C6</f>
        <v>13956</v>
      </c>
      <c r="D11" s="55">
        <f t="shared" si="6"/>
        <v>14748</v>
      </c>
      <c r="E11" s="55">
        <f t="shared" si="6"/>
        <v>13956</v>
      </c>
      <c r="F11" s="55">
        <f t="shared" si="6"/>
        <v>13560</v>
      </c>
    </row>
    <row r="12" spans="1:7" x14ac:dyDescent="0.25">
      <c r="A12" s="62"/>
    </row>
    <row r="13" spans="1:7" x14ac:dyDescent="0.25">
      <c r="A13" s="62"/>
    </row>
    <row r="14" spans="1:7" x14ac:dyDescent="0.25">
      <c r="A14" s="62"/>
      <c r="B14" s="45">
        <v>0</v>
      </c>
      <c r="C14" s="45">
        <v>1</v>
      </c>
      <c r="D14" s="45">
        <v>2</v>
      </c>
      <c r="E14" s="45">
        <v>3</v>
      </c>
      <c r="F14" s="45">
        <v>4</v>
      </c>
      <c r="G14" s="45">
        <v>5</v>
      </c>
    </row>
    <row r="15" spans="1:7" x14ac:dyDescent="0.25">
      <c r="A15" s="63" t="s">
        <v>59</v>
      </c>
      <c r="B15" s="71">
        <v>-48000</v>
      </c>
      <c r="C15" s="91">
        <f>B11</f>
        <v>13560</v>
      </c>
      <c r="D15" s="91">
        <f t="shared" ref="D15:G15" si="7">C11</f>
        <v>13956</v>
      </c>
      <c r="E15" s="91">
        <f t="shared" si="7"/>
        <v>14748</v>
      </c>
      <c r="F15" s="91">
        <f t="shared" si="7"/>
        <v>13956</v>
      </c>
      <c r="G15" s="91">
        <f t="shared" si="7"/>
        <v>13560</v>
      </c>
    </row>
    <row r="16" spans="1:7" x14ac:dyDescent="0.25">
      <c r="A16" s="63" t="s">
        <v>60</v>
      </c>
      <c r="B16" s="91">
        <f>B15/(1+5%)^B14</f>
        <v>-48000</v>
      </c>
      <c r="C16" s="91">
        <f>C15/(1+5%)^C14</f>
        <v>12914.285714285714</v>
      </c>
      <c r="D16" s="91">
        <f t="shared" ref="D16:G16" si="8">D15/(1+5%)^D14</f>
        <v>12658.503401360544</v>
      </c>
      <c r="E16" s="91">
        <f t="shared" si="8"/>
        <v>12739.876903142207</v>
      </c>
      <c r="F16" s="91">
        <f t="shared" si="8"/>
        <v>11481.635738195504</v>
      </c>
      <c r="G16" s="91">
        <f t="shared" si="8"/>
        <v>10624.614817312304</v>
      </c>
    </row>
    <row r="18" spans="1:7" x14ac:dyDescent="0.25">
      <c r="A18" s="64" t="s">
        <v>61</v>
      </c>
      <c r="B18" s="117">
        <f>SUM(B16:G16)</f>
        <v>12418.916574296269</v>
      </c>
    </row>
    <row r="19" spans="1:7" ht="15.75" thickBot="1" x14ac:dyDescent="0.3"/>
    <row r="20" spans="1:7" ht="15.75" thickBot="1" x14ac:dyDescent="0.3">
      <c r="A20" s="64" t="s">
        <v>62</v>
      </c>
      <c r="B20" s="119">
        <f>(1+B18/B15)</f>
        <v>0.74127257136882774</v>
      </c>
      <c r="D20" s="65" t="s">
        <v>63</v>
      </c>
    </row>
    <row r="22" spans="1:7" x14ac:dyDescent="0.25">
      <c r="A22" s="64" t="s">
        <v>64</v>
      </c>
      <c r="B22" s="118">
        <f>IRR(B15:G15)</f>
        <v>0.13907940584671263</v>
      </c>
    </row>
    <row r="23" spans="1:7" x14ac:dyDescent="0.25">
      <c r="B23" s="70"/>
    </row>
    <row r="24" spans="1:7" x14ac:dyDescent="0.25">
      <c r="A24" s="66" t="s">
        <v>65</v>
      </c>
    </row>
    <row r="26" spans="1:7" ht="30" x14ac:dyDescent="0.25">
      <c r="A26" s="45" t="s">
        <v>66</v>
      </c>
      <c r="B26" s="67" t="s">
        <v>67</v>
      </c>
      <c r="C26" s="67" t="s">
        <v>68</v>
      </c>
    </row>
    <row r="27" spans="1:7" x14ac:dyDescent="0.25">
      <c r="A27" s="45">
        <v>1</v>
      </c>
      <c r="B27" s="68">
        <f>C16</f>
        <v>12914.285714285714</v>
      </c>
      <c r="C27" s="68">
        <f>C16</f>
        <v>12914.285714285714</v>
      </c>
    </row>
    <row r="28" spans="1:7" x14ac:dyDescent="0.25">
      <c r="A28" s="45">
        <v>2</v>
      </c>
      <c r="B28" s="68">
        <f>D16</f>
        <v>12658.503401360544</v>
      </c>
      <c r="C28" s="68">
        <f>B28+C27</f>
        <v>25572.789115646257</v>
      </c>
    </row>
    <row r="29" spans="1:7" x14ac:dyDescent="0.25">
      <c r="A29" s="45">
        <v>3</v>
      </c>
      <c r="B29" s="68">
        <f>E16</f>
        <v>12739.876903142207</v>
      </c>
      <c r="C29" s="68">
        <f t="shared" ref="C29:C31" si="9">B29+C28</f>
        <v>38312.666018788463</v>
      </c>
      <c r="E29" s="165" t="s">
        <v>94</v>
      </c>
      <c r="F29" s="165"/>
      <c r="G29" s="109">
        <f>((A30-A29)/(C30-C29)*(48000-C30)+A30)</f>
        <v>3.843724204643165</v>
      </c>
    </row>
    <row r="30" spans="1:7" x14ac:dyDescent="0.25">
      <c r="A30" s="45">
        <v>4</v>
      </c>
      <c r="B30" s="68">
        <f>F16</f>
        <v>11481.635738195504</v>
      </c>
      <c r="C30" s="68">
        <f t="shared" si="9"/>
        <v>49794.301756983965</v>
      </c>
    </row>
    <row r="31" spans="1:7" x14ac:dyDescent="0.25">
      <c r="A31" s="45">
        <v>5</v>
      </c>
      <c r="B31" s="68">
        <f>G16</f>
        <v>10624.614817312304</v>
      </c>
      <c r="C31" s="68">
        <f t="shared" si="9"/>
        <v>60418.916574296265</v>
      </c>
    </row>
    <row r="33" spans="1:5" x14ac:dyDescent="0.25">
      <c r="A33" s="70"/>
    </row>
    <row r="35" spans="1:5" x14ac:dyDescent="0.25">
      <c r="A35" s="155"/>
      <c r="B35" s="155"/>
      <c r="C35" s="155"/>
      <c r="D35" s="155"/>
      <c r="E35" s="155"/>
    </row>
    <row r="36" spans="1:5" x14ac:dyDescent="0.25">
      <c r="A36" s="155"/>
      <c r="B36" s="155"/>
      <c r="C36" s="155"/>
      <c r="D36" s="155"/>
      <c r="E36" s="155"/>
    </row>
    <row r="37" spans="1:5" x14ac:dyDescent="0.25">
      <c r="A37" s="155"/>
      <c r="B37" s="155"/>
      <c r="C37" s="155"/>
      <c r="D37" s="155"/>
      <c r="E37" s="155"/>
    </row>
    <row r="38" spans="1:5" x14ac:dyDescent="0.25">
      <c r="A38" s="48" t="s">
        <v>69</v>
      </c>
    </row>
    <row r="40" spans="1:5" x14ac:dyDescent="0.25">
      <c r="A40" s="70" t="s">
        <v>70</v>
      </c>
      <c r="B40" s="70"/>
      <c r="C40" s="70" t="s">
        <v>71</v>
      </c>
    </row>
    <row r="41" spans="1:5" x14ac:dyDescent="0.25">
      <c r="A41" s="70" t="s">
        <v>72</v>
      </c>
      <c r="B41" s="70"/>
      <c r="C41" s="70" t="s">
        <v>73</v>
      </c>
    </row>
    <row r="42" spans="1:5" x14ac:dyDescent="0.25">
      <c r="A42" s="70" t="s">
        <v>74</v>
      </c>
      <c r="B42" s="70"/>
      <c r="C42" s="70" t="s">
        <v>75</v>
      </c>
    </row>
    <row r="43" spans="1:5" x14ac:dyDescent="0.25">
      <c r="A43" s="70" t="s">
        <v>76</v>
      </c>
      <c r="B43" s="70"/>
      <c r="C43" s="120">
        <f>(24000*6%)/(1-(1+6%)^-5)</f>
        <v>5697.5136103485447</v>
      </c>
    </row>
    <row r="45" spans="1:5" x14ac:dyDescent="0.25">
      <c r="A45" s="70" t="s">
        <v>77</v>
      </c>
    </row>
    <row r="46" spans="1:5" ht="17.25" x14ac:dyDescent="0.25">
      <c r="A46" s="70" t="s">
        <v>78</v>
      </c>
    </row>
    <row r="47" spans="1:5" x14ac:dyDescent="0.25">
      <c r="A47" s="70"/>
    </row>
    <row r="48" spans="1:5" x14ac:dyDescent="0.25">
      <c r="A48" s="70" t="s">
        <v>79</v>
      </c>
    </row>
    <row r="49" spans="1:6" ht="60" x14ac:dyDescent="0.25">
      <c r="A49" s="71" t="s">
        <v>80</v>
      </c>
      <c r="B49" s="72" t="s">
        <v>81</v>
      </c>
      <c r="C49" s="71" t="s">
        <v>82</v>
      </c>
      <c r="D49" s="72" t="s">
        <v>83</v>
      </c>
      <c r="E49" s="72" t="s">
        <v>84</v>
      </c>
    </row>
    <row r="50" spans="1:6" x14ac:dyDescent="0.25">
      <c r="A50" s="45">
        <v>1</v>
      </c>
      <c r="B50" s="68">
        <v>24000</v>
      </c>
      <c r="C50" s="69">
        <f>6%*B50</f>
        <v>1440</v>
      </c>
      <c r="D50" s="69">
        <f>$C$43-C50</f>
        <v>4257.5136103485447</v>
      </c>
      <c r="E50" s="68">
        <f>$C$43</f>
        <v>5697.5136103485447</v>
      </c>
    </row>
    <row r="51" spans="1:6" x14ac:dyDescent="0.25">
      <c r="A51" s="45">
        <v>2</v>
      </c>
      <c r="B51" s="68">
        <f>B50-D50</f>
        <v>19742.486389651454</v>
      </c>
      <c r="C51" s="69">
        <f>6%*B51</f>
        <v>1184.5491833790873</v>
      </c>
      <c r="D51" s="69">
        <f t="shared" ref="D51:D53" si="10">$C$43-C51</f>
        <v>4512.9644269694572</v>
      </c>
      <c r="E51" s="68">
        <f t="shared" ref="E51:E54" si="11">$C$43</f>
        <v>5697.5136103485447</v>
      </c>
    </row>
    <row r="52" spans="1:6" x14ac:dyDescent="0.25">
      <c r="A52" s="45">
        <v>3</v>
      </c>
      <c r="B52" s="68">
        <f>B51-D51</f>
        <v>15229.521962681996</v>
      </c>
      <c r="C52" s="69">
        <f t="shared" ref="C52" si="12">6%*B52</f>
        <v>913.77131776091971</v>
      </c>
      <c r="D52" s="69">
        <f t="shared" si="10"/>
        <v>4783.7422925876253</v>
      </c>
      <c r="E52" s="68">
        <f t="shared" si="11"/>
        <v>5697.5136103485447</v>
      </c>
    </row>
    <row r="53" spans="1:6" x14ac:dyDescent="0.25">
      <c r="A53" s="45">
        <v>4</v>
      </c>
      <c r="B53" s="68">
        <f t="shared" ref="B53:B54" si="13">B52-D52</f>
        <v>10445.779670094371</v>
      </c>
      <c r="C53" s="69">
        <f>6%*B53</f>
        <v>626.74678020566228</v>
      </c>
      <c r="D53" s="69">
        <f t="shared" si="10"/>
        <v>5070.7668301428821</v>
      </c>
      <c r="E53" s="68">
        <f t="shared" si="11"/>
        <v>5697.5136103485447</v>
      </c>
    </row>
    <row r="54" spans="1:6" x14ac:dyDescent="0.25">
      <c r="A54" s="45">
        <v>5</v>
      </c>
      <c r="B54" s="68">
        <f t="shared" si="13"/>
        <v>5375.0128399514888</v>
      </c>
      <c r="C54" s="69">
        <f>E54-D54</f>
        <v>322.50077039705593</v>
      </c>
      <c r="D54" s="69">
        <f>B54</f>
        <v>5375.0128399514888</v>
      </c>
      <c r="E54" s="68">
        <f t="shared" si="11"/>
        <v>5697.5136103485447</v>
      </c>
    </row>
    <row r="56" spans="1:6" x14ac:dyDescent="0.25">
      <c r="B56" s="73">
        <v>1</v>
      </c>
      <c r="C56" s="73">
        <v>2</v>
      </c>
      <c r="D56" s="73">
        <v>3</v>
      </c>
      <c r="E56" s="74">
        <v>4</v>
      </c>
      <c r="F56" s="73">
        <v>5</v>
      </c>
    </row>
    <row r="57" spans="1:6" ht="15.75" x14ac:dyDescent="0.25">
      <c r="A57" s="59" t="s">
        <v>53</v>
      </c>
      <c r="B57" s="51">
        <v>34800</v>
      </c>
      <c r="C57" s="51">
        <v>36000</v>
      </c>
      <c r="D57" s="51">
        <v>37800</v>
      </c>
      <c r="E57" s="52">
        <v>37200</v>
      </c>
      <c r="F57" s="52">
        <v>37200</v>
      </c>
    </row>
    <row r="58" spans="1:6" ht="15.75" x14ac:dyDescent="0.25">
      <c r="A58" s="54" t="s">
        <v>54</v>
      </c>
      <c r="B58" s="55">
        <v>19200</v>
      </c>
      <c r="C58" s="56">
        <f>B58+600</f>
        <v>19800</v>
      </c>
      <c r="D58" s="56">
        <f t="shared" ref="D58:F58" si="14">C58+600</f>
        <v>20400</v>
      </c>
      <c r="E58" s="56">
        <f t="shared" si="14"/>
        <v>21000</v>
      </c>
      <c r="F58" s="56">
        <f t="shared" si="14"/>
        <v>21600</v>
      </c>
    </row>
    <row r="59" spans="1:6" ht="15.75" x14ac:dyDescent="0.25">
      <c r="A59" s="54" t="s">
        <v>85</v>
      </c>
      <c r="B59" s="55">
        <f>48000/5</f>
        <v>9600</v>
      </c>
      <c r="C59" s="55">
        <f t="shared" ref="C59:F59" si="15">48000/5</f>
        <v>9600</v>
      </c>
      <c r="D59" s="55">
        <f t="shared" si="15"/>
        <v>9600</v>
      </c>
      <c r="E59" s="55">
        <f t="shared" si="15"/>
        <v>9600</v>
      </c>
      <c r="F59" s="55">
        <f t="shared" si="15"/>
        <v>9600</v>
      </c>
    </row>
    <row r="60" spans="1:6" x14ac:dyDescent="0.25">
      <c r="A60" s="77" t="s">
        <v>86</v>
      </c>
      <c r="B60" s="121">
        <f>C50</f>
        <v>1440</v>
      </c>
      <c r="C60" s="121">
        <f>C51</f>
        <v>1184.5491833790873</v>
      </c>
      <c r="D60" s="121">
        <f>C52</f>
        <v>913.77131776091971</v>
      </c>
      <c r="E60" s="121">
        <f>C53</f>
        <v>626.74678020566228</v>
      </c>
      <c r="F60" s="121">
        <f>C54</f>
        <v>322.50077039705593</v>
      </c>
    </row>
    <row r="61" spans="1:6" x14ac:dyDescent="0.25">
      <c r="A61" s="54" t="s">
        <v>55</v>
      </c>
      <c r="B61" s="76">
        <f>B57-B58-B59-B60</f>
        <v>4560</v>
      </c>
      <c r="C61" s="76">
        <f t="shared" ref="C61:F61" si="16">C57-C58-C59-C60</f>
        <v>5415.4508166209125</v>
      </c>
      <c r="D61" s="76">
        <f t="shared" si="16"/>
        <v>6886.2286822390806</v>
      </c>
      <c r="E61" s="76">
        <f t="shared" si="16"/>
        <v>5973.2532197943374</v>
      </c>
      <c r="F61" s="76">
        <f t="shared" si="16"/>
        <v>5677.4992296029441</v>
      </c>
    </row>
    <row r="62" spans="1:6" x14ac:dyDescent="0.25">
      <c r="A62" s="54" t="s">
        <v>56</v>
      </c>
      <c r="B62" s="76">
        <f>B61*34%</f>
        <v>1550.4</v>
      </c>
      <c r="C62" s="76">
        <f t="shared" ref="C62:F62" si="17">C61*34%</f>
        <v>1841.2532776511105</v>
      </c>
      <c r="D62" s="76">
        <f t="shared" si="17"/>
        <v>2341.3177519612877</v>
      </c>
      <c r="E62" s="76">
        <f t="shared" si="17"/>
        <v>2030.9060947300748</v>
      </c>
      <c r="F62" s="76">
        <f t="shared" si="17"/>
        <v>1930.349738065001</v>
      </c>
    </row>
    <row r="63" spans="1:6" x14ac:dyDescent="0.25">
      <c r="A63" s="59" t="s">
        <v>57</v>
      </c>
      <c r="B63" s="75">
        <f>B61-B62</f>
        <v>3009.6</v>
      </c>
      <c r="C63" s="75">
        <f t="shared" ref="C63:F63" si="18">C61-C62</f>
        <v>3574.1975389698018</v>
      </c>
      <c r="D63" s="75">
        <f t="shared" si="18"/>
        <v>4544.9109302777924</v>
      </c>
      <c r="E63" s="75">
        <f t="shared" si="18"/>
        <v>3942.3471250642624</v>
      </c>
      <c r="F63" s="75">
        <f t="shared" si="18"/>
        <v>3747.149491537943</v>
      </c>
    </row>
    <row r="64" spans="1:6" x14ac:dyDescent="0.25">
      <c r="A64" s="54" t="s">
        <v>87</v>
      </c>
      <c r="B64" s="42">
        <f>B59</f>
        <v>9600</v>
      </c>
      <c r="C64" s="42">
        <f t="shared" ref="C64:F64" si="19">C59</f>
        <v>9600</v>
      </c>
      <c r="D64" s="42">
        <f t="shared" si="19"/>
        <v>9600</v>
      </c>
      <c r="E64" s="42">
        <f t="shared" si="19"/>
        <v>9600</v>
      </c>
      <c r="F64" s="42">
        <f t="shared" si="19"/>
        <v>9600</v>
      </c>
    </row>
    <row r="65" spans="1:7" x14ac:dyDescent="0.25">
      <c r="A65" s="78" t="s">
        <v>58</v>
      </c>
      <c r="B65" s="76">
        <f>B63+B64</f>
        <v>12609.6</v>
      </c>
      <c r="C65" s="76">
        <f t="shared" ref="C65:F65" si="20">C63+C64</f>
        <v>13174.197538969802</v>
      </c>
      <c r="D65" s="76">
        <f t="shared" si="20"/>
        <v>14144.910930277792</v>
      </c>
      <c r="E65" s="76">
        <f t="shared" si="20"/>
        <v>13542.347125064261</v>
      </c>
      <c r="F65" s="76">
        <f t="shared" si="20"/>
        <v>13347.149491537943</v>
      </c>
    </row>
    <row r="68" spans="1:7" x14ac:dyDescent="0.25">
      <c r="A68" s="62"/>
      <c r="B68" s="45">
        <v>0</v>
      </c>
      <c r="C68" s="45">
        <v>1</v>
      </c>
      <c r="D68" s="45">
        <v>2</v>
      </c>
      <c r="E68" s="45">
        <v>3</v>
      </c>
      <c r="F68" s="45">
        <v>4</v>
      </c>
      <c r="G68" s="45">
        <v>5</v>
      </c>
    </row>
    <row r="69" spans="1:7" x14ac:dyDescent="0.25">
      <c r="A69" s="79" t="s">
        <v>88</v>
      </c>
      <c r="B69" s="91">
        <v>-48000</v>
      </c>
      <c r="C69" s="80">
        <f>B65</f>
        <v>12609.6</v>
      </c>
      <c r="D69" s="80">
        <f t="shared" ref="D69:G69" si="21">C65</f>
        <v>13174.197538969802</v>
      </c>
      <c r="E69" s="80">
        <f t="shared" si="21"/>
        <v>14144.910930277792</v>
      </c>
      <c r="F69" s="80">
        <f t="shared" si="21"/>
        <v>13542.347125064261</v>
      </c>
      <c r="G69" s="80">
        <f t="shared" si="21"/>
        <v>13347.149491537943</v>
      </c>
    </row>
    <row r="70" spans="1:7" x14ac:dyDescent="0.25">
      <c r="A70" s="93" t="s">
        <v>92</v>
      </c>
      <c r="B70" s="81">
        <v>24000</v>
      </c>
      <c r="C70" s="92"/>
      <c r="D70" s="92"/>
      <c r="E70" s="92"/>
      <c r="F70" s="92"/>
      <c r="G70" s="92"/>
    </row>
    <row r="71" spans="1:7" x14ac:dyDescent="0.25">
      <c r="A71" s="82" t="s">
        <v>89</v>
      </c>
      <c r="B71" s="83"/>
      <c r="C71" s="80">
        <f>$D50</f>
        <v>4257.5136103485447</v>
      </c>
      <c r="D71" s="80">
        <f>$D51</f>
        <v>4512.9644269694572</v>
      </c>
      <c r="E71" s="80">
        <f>$D52</f>
        <v>4783.7422925876253</v>
      </c>
      <c r="F71" s="80">
        <f>$D53</f>
        <v>5070.7668301428821</v>
      </c>
      <c r="G71" s="80">
        <f>$D54</f>
        <v>5375.0128399514888</v>
      </c>
    </row>
    <row r="72" spans="1:7" x14ac:dyDescent="0.25">
      <c r="A72" s="78" t="s">
        <v>91</v>
      </c>
      <c r="B72" s="81">
        <f>B69+B70</f>
        <v>-24000</v>
      </c>
      <c r="C72" s="80">
        <f>C69-C71</f>
        <v>8352.0863896514566</v>
      </c>
      <c r="D72" s="80">
        <f t="shared" ref="D72:G72" si="22">D69-D71</f>
        <v>8661.2331120003437</v>
      </c>
      <c r="E72" s="80">
        <f t="shared" si="22"/>
        <v>9361.1686376901671</v>
      </c>
      <c r="F72" s="80">
        <f t="shared" si="22"/>
        <v>8471.5802949213794</v>
      </c>
      <c r="G72" s="80">
        <f t="shared" si="22"/>
        <v>7972.1366515864538</v>
      </c>
    </row>
    <row r="73" spans="1:7" x14ac:dyDescent="0.25">
      <c r="A73" s="88"/>
      <c r="B73" s="89"/>
      <c r="C73" s="90"/>
      <c r="D73" s="90"/>
      <c r="E73" s="90"/>
      <c r="F73" s="90"/>
      <c r="G73" s="90"/>
    </row>
    <row r="74" spans="1:7" x14ac:dyDescent="0.25">
      <c r="C74" s="84"/>
      <c r="D74" s="84"/>
      <c r="E74" s="84"/>
      <c r="F74" s="84"/>
      <c r="G74" s="84"/>
    </row>
    <row r="75" spans="1:7" x14ac:dyDescent="0.25">
      <c r="A75" s="62"/>
      <c r="B75" s="45">
        <v>0</v>
      </c>
      <c r="C75" s="80">
        <v>1</v>
      </c>
      <c r="D75" s="80">
        <v>2</v>
      </c>
      <c r="E75" s="80">
        <v>3</v>
      </c>
      <c r="F75" s="80">
        <v>4</v>
      </c>
      <c r="G75" s="80">
        <v>5</v>
      </c>
    </row>
    <row r="76" spans="1:7" ht="15.75" x14ac:dyDescent="0.25">
      <c r="A76" s="78" t="str">
        <f>A72</f>
        <v>=FNT EN TENANT COMPTE DE L' EMPRUNT</v>
      </c>
      <c r="B76" s="85">
        <v>-24000</v>
      </c>
      <c r="C76" s="86">
        <f>C72</f>
        <v>8352.0863896514566</v>
      </c>
      <c r="D76" s="86">
        <f t="shared" ref="D76:G76" si="23">D72</f>
        <v>8661.2331120003437</v>
      </c>
      <c r="E76" s="86">
        <f t="shared" si="23"/>
        <v>9361.1686376901671</v>
      </c>
      <c r="F76" s="86">
        <f t="shared" si="23"/>
        <v>8471.5802949213794</v>
      </c>
      <c r="G76" s="86">
        <f t="shared" si="23"/>
        <v>7972.1366515864538</v>
      </c>
    </row>
    <row r="77" spans="1:7" x14ac:dyDescent="0.25">
      <c r="A77" s="63" t="s">
        <v>90</v>
      </c>
      <c r="B77" s="122">
        <f>B76/(1+5%)^B75</f>
        <v>-24000</v>
      </c>
      <c r="C77" s="122">
        <f t="shared" ref="C77:G77" si="24">C76/(1+5%)^C75</f>
        <v>7954.3679901442438</v>
      </c>
      <c r="D77" s="122">
        <f t="shared" si="24"/>
        <v>7855.9937523812641</v>
      </c>
      <c r="E77" s="122">
        <f t="shared" si="24"/>
        <v>8086.5294354304424</v>
      </c>
      <c r="F77" s="122">
        <f t="shared" si="24"/>
        <v>6969.5900740299603</v>
      </c>
      <c r="G77" s="122">
        <f t="shared" si="24"/>
        <v>6246.3776691802304</v>
      </c>
    </row>
    <row r="79" spans="1:7" x14ac:dyDescent="0.25">
      <c r="A79" s="87" t="s">
        <v>12</v>
      </c>
      <c r="B79" s="123">
        <f>SUM(B77:G77)</f>
        <v>13112.858921166142</v>
      </c>
    </row>
    <row r="80" spans="1:7" ht="15.75" thickBot="1" x14ac:dyDescent="0.3"/>
    <row r="81" spans="1:7" x14ac:dyDescent="0.25">
      <c r="A81" s="156" t="s">
        <v>96</v>
      </c>
      <c r="B81" s="157"/>
      <c r="C81" s="157"/>
      <c r="D81" s="157"/>
      <c r="E81" s="157"/>
      <c r="F81" s="157"/>
      <c r="G81" s="158"/>
    </row>
    <row r="82" spans="1:7" x14ac:dyDescent="0.25">
      <c r="A82" s="159"/>
      <c r="B82" s="160"/>
      <c r="C82" s="160"/>
      <c r="D82" s="160"/>
      <c r="E82" s="160"/>
      <c r="F82" s="160"/>
      <c r="G82" s="161"/>
    </row>
    <row r="83" spans="1:7" x14ac:dyDescent="0.25">
      <c r="A83" s="159"/>
      <c r="B83" s="160"/>
      <c r="C83" s="160"/>
      <c r="D83" s="160"/>
      <c r="E83" s="160"/>
      <c r="F83" s="160"/>
      <c r="G83" s="161"/>
    </row>
    <row r="84" spans="1:7" x14ac:dyDescent="0.25">
      <c r="A84" s="159"/>
      <c r="B84" s="160"/>
      <c r="C84" s="160"/>
      <c r="D84" s="160"/>
      <c r="E84" s="160"/>
      <c r="F84" s="160"/>
      <c r="G84" s="161"/>
    </row>
    <row r="85" spans="1:7" x14ac:dyDescent="0.25">
      <c r="A85" s="159"/>
      <c r="B85" s="160"/>
      <c r="C85" s="160"/>
      <c r="D85" s="160"/>
      <c r="E85" s="160"/>
      <c r="F85" s="160"/>
      <c r="G85" s="161"/>
    </row>
    <row r="86" spans="1:7" ht="15.75" thickBot="1" x14ac:dyDescent="0.3">
      <c r="A86" s="162"/>
      <c r="B86" s="163"/>
      <c r="C86" s="163"/>
      <c r="D86" s="163"/>
      <c r="E86" s="163"/>
      <c r="F86" s="163"/>
      <c r="G86" s="164"/>
    </row>
  </sheetData>
  <mergeCells count="3">
    <mergeCell ref="A35:E37"/>
    <mergeCell ref="A81:G86"/>
    <mergeCell ref="E29:F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Exercice 1</vt:lpstr>
      <vt:lpstr>Exercice 2</vt:lpstr>
      <vt:lpstr>Exercice 3</vt:lpstr>
      <vt:lpstr>Exercice 4</vt:lpstr>
      <vt:lpstr>Etude de Cas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dc:creator>
  <cp:lastModifiedBy>RIDLEY .</cp:lastModifiedBy>
  <dcterms:created xsi:type="dcterms:W3CDTF">2013-10-20T20:36:09Z</dcterms:created>
  <dcterms:modified xsi:type="dcterms:W3CDTF">2019-04-19T15:53:44Z</dcterms:modified>
</cp:coreProperties>
</file>