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E:\Skype\week 4 advance excel and BI task\excel tasks\"/>
    </mc:Choice>
  </mc:AlternateContent>
  <xr:revisionPtr revIDLastSave="0" documentId="13_ncr:1_{F5956DBF-E61B-44C8-86C6-A50F9A1DE96E}" xr6:coauthVersionLast="47" xr6:coauthVersionMax="47" xr10:uidLastSave="{00000000-0000-0000-0000-000000000000}"/>
  <bookViews>
    <workbookView xWindow="-108" yWindow="-108" windowWidth="23256" windowHeight="12576" activeTab="3" xr2:uid="{00000000-000D-0000-FFFF-FFFF00000000}"/>
  </bookViews>
  <sheets>
    <sheet name="Employee data" sheetId="1" r:id="rId1"/>
    <sheet name="Paid leave" sheetId="2" r:id="rId2"/>
    <sheet name="pivots" sheetId="7" r:id="rId3"/>
    <sheet name="Visuals" sheetId="8" r:id="rId4"/>
  </sheets>
  <definedNames>
    <definedName name="Slicer_Bonus_Eligibility">#N/A</definedName>
    <definedName name="Slicer_Department">#N/A</definedName>
    <definedName name="Slicer_Employees__performance">#N/A</definedName>
    <definedName name="Slicer_Gender">#N/A</definedName>
    <definedName name="Slicer_Job_Title">#N/A</definedName>
    <definedName name="Slicer_Salary_categor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5" i="1" l="1"/>
  <c r="T16" i="1"/>
  <c r="T17" i="1"/>
  <c r="T18" i="1"/>
  <c r="T14" i="1"/>
  <c r="S18" i="1"/>
  <c r="S17" i="1"/>
  <c r="S16" i="1"/>
  <c r="S15" i="1"/>
  <c r="S1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2" i="1"/>
  <c r="K2"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 i="1"/>
  <c r="O4" i="1"/>
  <c r="O5" i="1"/>
  <c r="S9" i="1" s="1"/>
  <c r="T9" i="1" s="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V6" i="1"/>
  <c r="V5" i="1"/>
  <c r="V4" i="1"/>
  <c r="V3" i="1"/>
  <c r="S5" i="1"/>
  <c r="S4" i="1"/>
  <c r="S3" i="1"/>
  <c r="S2" i="1"/>
  <c r="S8" i="1" l="1"/>
  <c r="T8" i="1" s="1"/>
  <c r="S10" i="1"/>
  <c r="T10" i="1" s="1"/>
</calcChain>
</file>

<file path=xl/sharedStrings.xml><?xml version="1.0" encoding="utf-8"?>
<sst xmlns="http://schemas.openxmlformats.org/spreadsheetml/2006/main" count="358" uniqueCount="154">
  <si>
    <t>Employee ID</t>
  </si>
  <si>
    <t>Name</t>
  </si>
  <si>
    <t>Department</t>
  </si>
  <si>
    <t>Gender</t>
  </si>
  <si>
    <t>Salary ($)</t>
  </si>
  <si>
    <t>Hire Date</t>
  </si>
  <si>
    <t>Performance Rating</t>
  </si>
  <si>
    <t>Bonus (%)</t>
  </si>
  <si>
    <t>Job Title</t>
  </si>
  <si>
    <t>E001</t>
  </si>
  <si>
    <t>Jessica May</t>
  </si>
  <si>
    <t>Sales</t>
  </si>
  <si>
    <t>Female</t>
  </si>
  <si>
    <t>Sales Associate</t>
  </si>
  <si>
    <t>E002</t>
  </si>
  <si>
    <t>Marcus Mosley</t>
  </si>
  <si>
    <t>IT</t>
  </si>
  <si>
    <t>Systems Analyst</t>
  </si>
  <si>
    <t>E003</t>
  </si>
  <si>
    <t>Nicholas Cannon</t>
  </si>
  <si>
    <t>Male</t>
  </si>
  <si>
    <t>Software Engineer</t>
  </si>
  <si>
    <t>E004</t>
  </si>
  <si>
    <t>Kimberly Smith</t>
  </si>
  <si>
    <t>IT Manager</t>
  </si>
  <si>
    <t>E005</t>
  </si>
  <si>
    <t>John Jones</t>
  </si>
  <si>
    <t>Marketing</t>
  </si>
  <si>
    <t>Marketing Analyst</t>
  </si>
  <si>
    <t>E006</t>
  </si>
  <si>
    <t>Alexander Jacobs</t>
  </si>
  <si>
    <t>HR</t>
  </si>
  <si>
    <t>HR Associate</t>
  </si>
  <si>
    <t>E007</t>
  </si>
  <si>
    <t>Mary Fox</t>
  </si>
  <si>
    <t>HR Manager</t>
  </si>
  <si>
    <t>E008</t>
  </si>
  <si>
    <t>Robert Fisher</t>
  </si>
  <si>
    <t>E009</t>
  </si>
  <si>
    <t>Jeremy Blanchard</t>
  </si>
  <si>
    <t>E010</t>
  </si>
  <si>
    <t>Pamela Melendez</t>
  </si>
  <si>
    <t>E011</t>
  </si>
  <si>
    <t>Scott Whitaker</t>
  </si>
  <si>
    <t>E012</t>
  </si>
  <si>
    <t>David Mcconnell</t>
  </si>
  <si>
    <t>E013</t>
  </si>
  <si>
    <t>Kathryn Mann</t>
  </si>
  <si>
    <t>E014</t>
  </si>
  <si>
    <t>Destiny Reed</t>
  </si>
  <si>
    <t>Marketing Lead</t>
  </si>
  <si>
    <t>E015</t>
  </si>
  <si>
    <t>Adam Howard</t>
  </si>
  <si>
    <t>Sales Executive</t>
  </si>
  <si>
    <t>E016</t>
  </si>
  <si>
    <t>Sara Weeks</t>
  </si>
  <si>
    <t>E017</t>
  </si>
  <si>
    <t>Laurie Lewis</t>
  </si>
  <si>
    <t>E018</t>
  </si>
  <si>
    <t>Arthur Deleon</t>
  </si>
  <si>
    <t>E019</t>
  </si>
  <si>
    <t>Jonathan Lam</t>
  </si>
  <si>
    <t>E020</t>
  </si>
  <si>
    <t>Mario Smith</t>
  </si>
  <si>
    <t>E021</t>
  </si>
  <si>
    <t>Jeremy Arias</t>
  </si>
  <si>
    <t>E022</t>
  </si>
  <si>
    <t>Stephanie Marquez</t>
  </si>
  <si>
    <t>E023</t>
  </si>
  <si>
    <t>Ellen Edwards</t>
  </si>
  <si>
    <t>E024</t>
  </si>
  <si>
    <t>Jennifer Kennedy</t>
  </si>
  <si>
    <t>E025</t>
  </si>
  <si>
    <t>Andre Villa DDS</t>
  </si>
  <si>
    <t>E026</t>
  </si>
  <si>
    <t>Crystal Tanner</t>
  </si>
  <si>
    <t>E027</t>
  </si>
  <si>
    <t>Juan Martin</t>
  </si>
  <si>
    <t>E028</t>
  </si>
  <si>
    <t>Phyllis Cook</t>
  </si>
  <si>
    <t>E029</t>
  </si>
  <si>
    <t>Margaret Griffith</t>
  </si>
  <si>
    <t>E030</t>
  </si>
  <si>
    <t>Keith Williams</t>
  </si>
  <si>
    <t>E031</t>
  </si>
  <si>
    <t>Mr. Michael Oliver DDS</t>
  </si>
  <si>
    <t>E032</t>
  </si>
  <si>
    <t>Marco Price</t>
  </si>
  <si>
    <t>E033</t>
  </si>
  <si>
    <t>Susan Johnson</t>
  </si>
  <si>
    <t>E034</t>
  </si>
  <si>
    <t>Joseph Barajas</t>
  </si>
  <si>
    <t>E035</t>
  </si>
  <si>
    <t>Denise Weiss</t>
  </si>
  <si>
    <t>E036</t>
  </si>
  <si>
    <t>Jennifer Moore</t>
  </si>
  <si>
    <t>E037</t>
  </si>
  <si>
    <t>Michael Williams</t>
  </si>
  <si>
    <t>E038</t>
  </si>
  <si>
    <t>Lisa Wright</t>
  </si>
  <si>
    <t>E039</t>
  </si>
  <si>
    <t>Justin Lopez</t>
  </si>
  <si>
    <t>E040</t>
  </si>
  <si>
    <t>Amy Gomez</t>
  </si>
  <si>
    <t>E041</t>
  </si>
  <si>
    <t>Jim Lopez</t>
  </si>
  <si>
    <t>E042</t>
  </si>
  <si>
    <t>Ms. Renee Haney</t>
  </si>
  <si>
    <t>E043</t>
  </si>
  <si>
    <t>Lisa Russell</t>
  </si>
  <si>
    <t>E044</t>
  </si>
  <si>
    <t>Scott Calderon</t>
  </si>
  <si>
    <t>E045</t>
  </si>
  <si>
    <t>Kyle Silva</t>
  </si>
  <si>
    <t>E046</t>
  </si>
  <si>
    <t>Lisa Baldwin</t>
  </si>
  <si>
    <t>E047</t>
  </si>
  <si>
    <t>Mary Davis</t>
  </si>
  <si>
    <t>E048</t>
  </si>
  <si>
    <t>Donna Munoz DDS</t>
  </si>
  <si>
    <t>E049</t>
  </si>
  <si>
    <t>Katelyn Hernandez</t>
  </si>
  <si>
    <t>E050</t>
  </si>
  <si>
    <t>John Mayer</t>
  </si>
  <si>
    <t>Total Paid Leave</t>
  </si>
  <si>
    <t xml:space="preserve">Total employees - </t>
  </si>
  <si>
    <t xml:space="preserve">Averge salary - </t>
  </si>
  <si>
    <t xml:space="preserve">Minimum salary - </t>
  </si>
  <si>
    <t xml:space="preserve">Maximum salary - </t>
  </si>
  <si>
    <t xml:space="preserve">total emp in each department </t>
  </si>
  <si>
    <t>Salary category</t>
  </si>
  <si>
    <t>Bonus Eligibility</t>
  </si>
  <si>
    <t>Employees' performance</t>
  </si>
  <si>
    <t>Total paid leaves</t>
  </si>
  <si>
    <t>Bonus Amount</t>
  </si>
  <si>
    <t>Salary + Bonus</t>
  </si>
  <si>
    <t xml:space="preserve">Month of joining </t>
  </si>
  <si>
    <t>Good</t>
  </si>
  <si>
    <t>Excellent</t>
  </si>
  <si>
    <t>Needs Improvement</t>
  </si>
  <si>
    <t>Count</t>
  </si>
  <si>
    <t>Percentage</t>
  </si>
  <si>
    <t>Employees Ratings</t>
  </si>
  <si>
    <t xml:space="preserve">Employees Performance </t>
  </si>
  <si>
    <t>Row Labels</t>
  </si>
  <si>
    <t>Grand Total</t>
  </si>
  <si>
    <t>Count of Gender</t>
  </si>
  <si>
    <t>Column Labels</t>
  </si>
  <si>
    <t>Count of Performance Rating</t>
  </si>
  <si>
    <t>Sum of Salary ($)</t>
  </si>
  <si>
    <t>Sum of Salary + Bonus</t>
  </si>
  <si>
    <t>Needs 
Improvement</t>
  </si>
  <si>
    <t>Count of Bonus Eligibility</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</si>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</sst>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yyyy/mm/dd;@"/>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2" fontId="0" fillId="0" borderId="0" xfId="0" applyNumberFormat="1"/>
    <xf numFmtId="164" fontId="0" fillId="0" borderId="0" xfId="0" applyNumberFormat="1"/>
    <xf numFmtId="0" fontId="0" fillId="2" borderId="0" xfId="0" applyFill="1"/>
    <xf numFmtId="0" fontId="0" fillId="2" borderId="0" xfId="0" applyFill="1" applyAlignment="1">
      <alignment horizontal="center"/>
    </xf>
    <xf numFmtId="0" fontId="1" fillId="0" borderId="0" xfId="0" applyFont="1" applyAlignment="1">
      <alignment horizontal="center" vertical="top"/>
    </xf>
    <xf numFmtId="0" fontId="1" fillId="0" borderId="2" xfId="0" applyFont="1" applyBorder="1" applyAlignment="1">
      <alignment horizontal="center" vertical="top"/>
    </xf>
    <xf numFmtId="0" fontId="0" fillId="0" borderId="0" xfId="0" applyAlignment="1">
      <alignment horizontal="center"/>
    </xf>
    <xf numFmtId="0" fontId="0" fillId="3" borderId="0" xfId="0" applyFill="1"/>
    <xf numFmtId="0" fontId="0" fillId="3" borderId="0" xfId="0" applyFill="1" applyAlignment="1">
      <alignment horizontal="center"/>
    </xf>
    <xf numFmtId="0" fontId="1" fillId="4" borderId="1" xfId="0" applyFont="1" applyFill="1" applyBorder="1" applyAlignment="1">
      <alignment horizontal="center" vertical="top"/>
    </xf>
    <xf numFmtId="164" fontId="1" fillId="4" borderId="1" xfId="0" applyNumberFormat="1" applyFont="1" applyFill="1" applyBorder="1" applyAlignment="1">
      <alignment horizontal="center" vertical="top"/>
    </xf>
    <xf numFmtId="0" fontId="1" fillId="5" borderId="1" xfId="0" applyFont="1" applyFill="1" applyBorder="1" applyAlignment="1">
      <alignment horizontal="center" vertical="top"/>
    </xf>
    <xf numFmtId="0" fontId="1" fillId="2" borderId="1" xfId="0" applyFont="1" applyFill="1" applyBorder="1" applyAlignment="1">
      <alignment horizontal="center" vertical="top"/>
    </xf>
    <xf numFmtId="0" fontId="1" fillId="2" borderId="0" xfId="0" applyFont="1" applyFill="1" applyAlignment="1">
      <alignment horizontal="center" vertical="top"/>
    </xf>
    <xf numFmtId="0" fontId="1" fillId="6" borderId="2" xfId="0" applyFont="1" applyFill="1" applyBorder="1" applyAlignment="1">
      <alignment horizontal="center" vertical="top"/>
    </xf>
    <xf numFmtId="0" fontId="1" fillId="6" borderId="0" xfId="0" applyFont="1" applyFill="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numFmt numFmtId="0" formatCode="General"/>
    </dxf>
    <dxf>
      <fill>
        <patternFill patternType="solid">
          <fgColor indexed="64"/>
          <bgColor theme="5" tint="0.39997558519241921"/>
        </patternFill>
      </fill>
      <alignment horizontal="center" vertical="bottom" textRotation="0" wrapText="0" indent="0" justifyLastLine="0" shrinkToFit="0" readingOrder="0"/>
    </dxf>
    <dxf>
      <numFmt numFmtId="2" formatCode="0.00"/>
    </dxf>
    <dxf>
      <numFmt numFmtId="164" formatCode="[$-14009]yyyy/mm/dd;@"/>
    </dxf>
    <dxf>
      <numFmt numFmtId="164" formatCode="[$-14009]yyyy/mm/dd;@"/>
    </dxf>
    <dxf>
      <numFmt numFmtId="2" formatCode="0.0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2.xlsx]pivots!PivotTable1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pivots!$B$1</c:f>
              <c:strCache>
                <c:ptCount val="1"/>
                <c:pt idx="0">
                  <c:v>Total</c:v>
                </c:pt>
              </c:strCache>
            </c:strRef>
          </c:tx>
          <c:spPr>
            <a:solidFill>
              <a:schemeClr val="accent1"/>
            </a:solidFill>
            <a:ln>
              <a:noFill/>
            </a:ln>
            <a:effectLst/>
            <a:sp3d/>
          </c:spPr>
          <c:invertIfNegative val="0"/>
          <c:cat>
            <c:strRef>
              <c:f>pivots!$A$2:$A$6</c:f>
              <c:strCache>
                <c:ptCount val="4"/>
                <c:pt idx="0">
                  <c:v>HR</c:v>
                </c:pt>
                <c:pt idx="1">
                  <c:v>IT</c:v>
                </c:pt>
                <c:pt idx="2">
                  <c:v>Marketing</c:v>
                </c:pt>
                <c:pt idx="3">
                  <c:v>Sales</c:v>
                </c:pt>
              </c:strCache>
            </c:strRef>
          </c:cat>
          <c:val>
            <c:numRef>
              <c:f>pivots!$B$2:$B$6</c:f>
              <c:numCache>
                <c:formatCode>General</c:formatCode>
                <c:ptCount val="4"/>
                <c:pt idx="0">
                  <c:v>15</c:v>
                </c:pt>
                <c:pt idx="1">
                  <c:v>12</c:v>
                </c:pt>
                <c:pt idx="2">
                  <c:v>9</c:v>
                </c:pt>
                <c:pt idx="3">
                  <c:v>14</c:v>
                </c:pt>
              </c:numCache>
            </c:numRef>
          </c:val>
          <c:extLst>
            <c:ext xmlns:c16="http://schemas.microsoft.com/office/drawing/2014/chart" uri="{C3380CC4-5D6E-409C-BE32-E72D297353CC}">
              <c16:uniqueId val="{00000000-BF96-4FA3-828A-C6A28264BBC3}"/>
            </c:ext>
          </c:extLst>
        </c:ser>
        <c:dLbls>
          <c:showLegendKey val="0"/>
          <c:showVal val="0"/>
          <c:showCatName val="0"/>
          <c:showSerName val="0"/>
          <c:showPercent val="0"/>
          <c:showBubbleSize val="0"/>
        </c:dLbls>
        <c:gapWidth val="150"/>
        <c:shape val="box"/>
        <c:axId val="1056080592"/>
        <c:axId val="1056081072"/>
        <c:axId val="0"/>
      </c:bar3DChart>
      <c:catAx>
        <c:axId val="105608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081072"/>
        <c:crosses val="autoZero"/>
        <c:auto val="1"/>
        <c:lblAlgn val="ctr"/>
        <c:lblOffset val="100"/>
        <c:noMultiLvlLbl val="0"/>
      </c:catAx>
      <c:valAx>
        <c:axId val="10560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08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2.xlsx]pivots!PivotTable3</c:name>
    <c:fmtId val="4"/>
  </c:pivotSource>
  <c:chart>
    <c:title>
      <c:layout>
        <c:manualLayout>
          <c:xMode val="edge"/>
          <c:yMode val="edge"/>
          <c:x val="0.46448275862068972"/>
          <c:y val="3.7582258739396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151561227260385"/>
          <c:y val="0.21193008482635323"/>
          <c:w val="0.5593771382025523"/>
          <c:h val="0.61319905663965912"/>
        </c:manualLayout>
      </c:layout>
      <c:bar3DChart>
        <c:barDir val="bar"/>
        <c:grouping val="clustered"/>
        <c:varyColors val="0"/>
        <c:ser>
          <c:idx val="0"/>
          <c:order val="0"/>
          <c:tx>
            <c:strRef>
              <c:f>pivots!$B$10</c:f>
              <c:strCache>
                <c:ptCount val="1"/>
                <c:pt idx="0">
                  <c:v>Total</c:v>
                </c:pt>
              </c:strCache>
            </c:strRef>
          </c:tx>
          <c:spPr>
            <a:solidFill>
              <a:schemeClr val="accent1"/>
            </a:solidFill>
            <a:ln>
              <a:noFill/>
            </a:ln>
            <a:effectLst/>
            <a:sp3d/>
          </c:spPr>
          <c:invertIfNegative val="0"/>
          <c:cat>
            <c:strRef>
              <c:f>pivots!$A$11:$A$15</c:f>
              <c:strCache>
                <c:ptCount val="4"/>
                <c:pt idx="0">
                  <c:v>HR</c:v>
                </c:pt>
                <c:pt idx="1">
                  <c:v>IT</c:v>
                </c:pt>
                <c:pt idx="2">
                  <c:v>Marketing</c:v>
                </c:pt>
                <c:pt idx="3">
                  <c:v>Sales</c:v>
                </c:pt>
              </c:strCache>
            </c:strRef>
          </c:cat>
          <c:val>
            <c:numRef>
              <c:f>pivots!$B$11:$B$15</c:f>
              <c:numCache>
                <c:formatCode>0.00</c:formatCode>
                <c:ptCount val="4"/>
                <c:pt idx="0">
                  <c:v>1118119</c:v>
                </c:pt>
                <c:pt idx="1">
                  <c:v>886923</c:v>
                </c:pt>
                <c:pt idx="2">
                  <c:v>604038</c:v>
                </c:pt>
                <c:pt idx="3">
                  <c:v>1071267</c:v>
                </c:pt>
              </c:numCache>
            </c:numRef>
          </c:val>
          <c:extLst>
            <c:ext xmlns:c16="http://schemas.microsoft.com/office/drawing/2014/chart" uri="{C3380CC4-5D6E-409C-BE32-E72D297353CC}">
              <c16:uniqueId val="{00000000-ACDA-41A3-AFAA-5D1B88A3A39A}"/>
            </c:ext>
          </c:extLst>
        </c:ser>
        <c:dLbls>
          <c:showLegendKey val="0"/>
          <c:showVal val="0"/>
          <c:showCatName val="0"/>
          <c:showSerName val="0"/>
          <c:showPercent val="0"/>
          <c:showBubbleSize val="0"/>
        </c:dLbls>
        <c:gapWidth val="150"/>
        <c:shape val="box"/>
        <c:axId val="1365520048"/>
        <c:axId val="1365521008"/>
        <c:axId val="0"/>
      </c:bar3DChart>
      <c:catAx>
        <c:axId val="136552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521008"/>
        <c:crosses val="autoZero"/>
        <c:auto val="1"/>
        <c:lblAlgn val="ctr"/>
        <c:lblOffset val="100"/>
        <c:noMultiLvlLbl val="0"/>
      </c:catAx>
      <c:valAx>
        <c:axId val="1365521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52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2.xlsx]pivots!PivotTable2</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pivots!$E$1:$E$2</c:f>
              <c:strCache>
                <c:ptCount val="1"/>
                <c:pt idx="0">
                  <c:v>1</c:v>
                </c:pt>
              </c:strCache>
            </c:strRef>
          </c:tx>
          <c:spPr>
            <a:solidFill>
              <a:schemeClr val="accent1"/>
            </a:solidFill>
            <a:ln>
              <a:noFill/>
            </a:ln>
            <a:effectLst/>
            <a:sp3d/>
          </c:spPr>
          <c:invertIfNegative val="0"/>
          <c:cat>
            <c:strRef>
              <c:f>pivots!$D$3:$D$6</c:f>
              <c:strCache>
                <c:ptCount val="4"/>
                <c:pt idx="0">
                  <c:v>HR</c:v>
                </c:pt>
                <c:pt idx="1">
                  <c:v>IT</c:v>
                </c:pt>
                <c:pt idx="2">
                  <c:v>Marketing</c:v>
                </c:pt>
                <c:pt idx="3">
                  <c:v>Sales</c:v>
                </c:pt>
              </c:strCache>
            </c:strRef>
          </c:cat>
          <c:val>
            <c:numRef>
              <c:f>pivots!$E$3:$E$6</c:f>
              <c:numCache>
                <c:formatCode>General</c:formatCode>
                <c:ptCount val="4"/>
                <c:pt idx="0">
                  <c:v>1</c:v>
                </c:pt>
                <c:pt idx="1">
                  <c:v>3</c:v>
                </c:pt>
                <c:pt idx="2">
                  <c:v>2</c:v>
                </c:pt>
                <c:pt idx="3">
                  <c:v>3</c:v>
                </c:pt>
              </c:numCache>
            </c:numRef>
          </c:val>
          <c:extLst>
            <c:ext xmlns:c16="http://schemas.microsoft.com/office/drawing/2014/chart" uri="{C3380CC4-5D6E-409C-BE32-E72D297353CC}">
              <c16:uniqueId val="{00000000-EF12-4150-9F84-B424E2D959D7}"/>
            </c:ext>
          </c:extLst>
        </c:ser>
        <c:ser>
          <c:idx val="1"/>
          <c:order val="1"/>
          <c:tx>
            <c:strRef>
              <c:f>pivots!$F$1:$F$2</c:f>
              <c:strCache>
                <c:ptCount val="1"/>
                <c:pt idx="0">
                  <c:v>2</c:v>
                </c:pt>
              </c:strCache>
            </c:strRef>
          </c:tx>
          <c:spPr>
            <a:solidFill>
              <a:schemeClr val="accent2"/>
            </a:solidFill>
            <a:ln>
              <a:noFill/>
            </a:ln>
            <a:effectLst/>
            <a:sp3d/>
          </c:spPr>
          <c:invertIfNegative val="0"/>
          <c:cat>
            <c:strRef>
              <c:f>pivots!$D$3:$D$6</c:f>
              <c:strCache>
                <c:ptCount val="4"/>
                <c:pt idx="0">
                  <c:v>HR</c:v>
                </c:pt>
                <c:pt idx="1">
                  <c:v>IT</c:v>
                </c:pt>
                <c:pt idx="2">
                  <c:v>Marketing</c:v>
                </c:pt>
                <c:pt idx="3">
                  <c:v>Sales</c:v>
                </c:pt>
              </c:strCache>
            </c:strRef>
          </c:cat>
          <c:val>
            <c:numRef>
              <c:f>pivots!$F$3:$F$6</c:f>
              <c:numCache>
                <c:formatCode>General</c:formatCode>
                <c:ptCount val="4"/>
                <c:pt idx="0">
                  <c:v>5</c:v>
                </c:pt>
                <c:pt idx="1">
                  <c:v>1</c:v>
                </c:pt>
                <c:pt idx="2">
                  <c:v>2</c:v>
                </c:pt>
                <c:pt idx="3">
                  <c:v>1</c:v>
                </c:pt>
              </c:numCache>
            </c:numRef>
          </c:val>
          <c:extLst>
            <c:ext xmlns:c16="http://schemas.microsoft.com/office/drawing/2014/chart" uri="{C3380CC4-5D6E-409C-BE32-E72D297353CC}">
              <c16:uniqueId val="{00000006-EF12-4150-9F84-B424E2D959D7}"/>
            </c:ext>
          </c:extLst>
        </c:ser>
        <c:ser>
          <c:idx val="2"/>
          <c:order val="2"/>
          <c:tx>
            <c:strRef>
              <c:f>pivots!$G$1:$G$2</c:f>
              <c:strCache>
                <c:ptCount val="1"/>
                <c:pt idx="0">
                  <c:v>3</c:v>
                </c:pt>
              </c:strCache>
            </c:strRef>
          </c:tx>
          <c:spPr>
            <a:solidFill>
              <a:schemeClr val="accent3"/>
            </a:solidFill>
            <a:ln>
              <a:noFill/>
            </a:ln>
            <a:effectLst/>
            <a:sp3d/>
          </c:spPr>
          <c:invertIfNegative val="0"/>
          <c:cat>
            <c:strRef>
              <c:f>pivots!$D$3:$D$6</c:f>
              <c:strCache>
                <c:ptCount val="4"/>
                <c:pt idx="0">
                  <c:v>HR</c:v>
                </c:pt>
                <c:pt idx="1">
                  <c:v>IT</c:v>
                </c:pt>
                <c:pt idx="2">
                  <c:v>Marketing</c:v>
                </c:pt>
                <c:pt idx="3">
                  <c:v>Sales</c:v>
                </c:pt>
              </c:strCache>
            </c:strRef>
          </c:cat>
          <c:val>
            <c:numRef>
              <c:f>pivots!$G$3:$G$6</c:f>
              <c:numCache>
                <c:formatCode>General</c:formatCode>
                <c:ptCount val="4"/>
                <c:pt idx="0">
                  <c:v>3</c:v>
                </c:pt>
                <c:pt idx="1">
                  <c:v>2</c:v>
                </c:pt>
                <c:pt idx="2">
                  <c:v>2</c:v>
                </c:pt>
                <c:pt idx="3">
                  <c:v>6</c:v>
                </c:pt>
              </c:numCache>
            </c:numRef>
          </c:val>
          <c:extLst>
            <c:ext xmlns:c16="http://schemas.microsoft.com/office/drawing/2014/chart" uri="{C3380CC4-5D6E-409C-BE32-E72D297353CC}">
              <c16:uniqueId val="{00000007-EF12-4150-9F84-B424E2D959D7}"/>
            </c:ext>
          </c:extLst>
        </c:ser>
        <c:ser>
          <c:idx val="3"/>
          <c:order val="3"/>
          <c:tx>
            <c:strRef>
              <c:f>pivots!$H$1:$H$2</c:f>
              <c:strCache>
                <c:ptCount val="1"/>
                <c:pt idx="0">
                  <c:v>4</c:v>
                </c:pt>
              </c:strCache>
            </c:strRef>
          </c:tx>
          <c:spPr>
            <a:solidFill>
              <a:schemeClr val="accent4"/>
            </a:solidFill>
            <a:ln>
              <a:noFill/>
            </a:ln>
            <a:effectLst/>
            <a:sp3d/>
          </c:spPr>
          <c:invertIfNegative val="0"/>
          <c:cat>
            <c:strRef>
              <c:f>pivots!$D$3:$D$6</c:f>
              <c:strCache>
                <c:ptCount val="4"/>
                <c:pt idx="0">
                  <c:v>HR</c:v>
                </c:pt>
                <c:pt idx="1">
                  <c:v>IT</c:v>
                </c:pt>
                <c:pt idx="2">
                  <c:v>Marketing</c:v>
                </c:pt>
                <c:pt idx="3">
                  <c:v>Sales</c:v>
                </c:pt>
              </c:strCache>
            </c:strRef>
          </c:cat>
          <c:val>
            <c:numRef>
              <c:f>pivots!$H$3:$H$6</c:f>
              <c:numCache>
                <c:formatCode>General</c:formatCode>
                <c:ptCount val="4"/>
                <c:pt idx="0">
                  <c:v>2</c:v>
                </c:pt>
                <c:pt idx="1">
                  <c:v>3</c:v>
                </c:pt>
                <c:pt idx="3">
                  <c:v>2</c:v>
                </c:pt>
              </c:numCache>
            </c:numRef>
          </c:val>
          <c:extLst>
            <c:ext xmlns:c16="http://schemas.microsoft.com/office/drawing/2014/chart" uri="{C3380CC4-5D6E-409C-BE32-E72D297353CC}">
              <c16:uniqueId val="{00000008-EF12-4150-9F84-B424E2D959D7}"/>
            </c:ext>
          </c:extLst>
        </c:ser>
        <c:ser>
          <c:idx val="4"/>
          <c:order val="4"/>
          <c:tx>
            <c:strRef>
              <c:f>pivots!$I$1:$I$2</c:f>
              <c:strCache>
                <c:ptCount val="1"/>
                <c:pt idx="0">
                  <c:v>5</c:v>
                </c:pt>
              </c:strCache>
            </c:strRef>
          </c:tx>
          <c:spPr>
            <a:solidFill>
              <a:schemeClr val="accent5"/>
            </a:solidFill>
            <a:ln>
              <a:noFill/>
            </a:ln>
            <a:effectLst/>
            <a:sp3d/>
          </c:spPr>
          <c:invertIfNegative val="0"/>
          <c:cat>
            <c:strRef>
              <c:f>pivots!$D$3:$D$6</c:f>
              <c:strCache>
                <c:ptCount val="4"/>
                <c:pt idx="0">
                  <c:v>HR</c:v>
                </c:pt>
                <c:pt idx="1">
                  <c:v>IT</c:v>
                </c:pt>
                <c:pt idx="2">
                  <c:v>Marketing</c:v>
                </c:pt>
                <c:pt idx="3">
                  <c:v>Sales</c:v>
                </c:pt>
              </c:strCache>
            </c:strRef>
          </c:cat>
          <c:val>
            <c:numRef>
              <c:f>pivots!$I$3:$I$6</c:f>
              <c:numCache>
                <c:formatCode>General</c:formatCode>
                <c:ptCount val="4"/>
                <c:pt idx="0">
                  <c:v>4</c:v>
                </c:pt>
                <c:pt idx="1">
                  <c:v>3</c:v>
                </c:pt>
                <c:pt idx="2">
                  <c:v>3</c:v>
                </c:pt>
                <c:pt idx="3">
                  <c:v>2</c:v>
                </c:pt>
              </c:numCache>
            </c:numRef>
          </c:val>
          <c:extLst>
            <c:ext xmlns:c16="http://schemas.microsoft.com/office/drawing/2014/chart" uri="{C3380CC4-5D6E-409C-BE32-E72D297353CC}">
              <c16:uniqueId val="{0000000A-EF12-4150-9F84-B424E2D959D7}"/>
            </c:ext>
          </c:extLst>
        </c:ser>
        <c:dLbls>
          <c:showLegendKey val="0"/>
          <c:showVal val="0"/>
          <c:showCatName val="0"/>
          <c:showSerName val="0"/>
          <c:showPercent val="0"/>
          <c:showBubbleSize val="0"/>
        </c:dLbls>
        <c:gapWidth val="150"/>
        <c:shape val="box"/>
        <c:axId val="1627820096"/>
        <c:axId val="1627819136"/>
        <c:axId val="0"/>
      </c:bar3DChart>
      <c:catAx>
        <c:axId val="1627820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19136"/>
        <c:crosses val="autoZero"/>
        <c:auto val="1"/>
        <c:lblAlgn val="ctr"/>
        <c:lblOffset val="100"/>
        <c:noMultiLvlLbl val="0"/>
      </c:catAx>
      <c:valAx>
        <c:axId val="162781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2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2.xlsx]pivots!PivotTable4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pivots!$E$10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2F6-4FA8-B67F-BA3938578DE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2F6-4FA8-B67F-BA3938578DE2}"/>
              </c:ext>
            </c:extLst>
          </c:dPt>
          <c:cat>
            <c:strRef>
              <c:f>pivots!$D$11:$D$13</c:f>
              <c:strCache>
                <c:ptCount val="2"/>
                <c:pt idx="0">
                  <c:v>Female</c:v>
                </c:pt>
                <c:pt idx="1">
                  <c:v>Male</c:v>
                </c:pt>
              </c:strCache>
            </c:strRef>
          </c:cat>
          <c:val>
            <c:numRef>
              <c:f>pivots!$E$11:$E$13</c:f>
              <c:numCache>
                <c:formatCode>0.00</c:formatCode>
                <c:ptCount val="2"/>
                <c:pt idx="0">
                  <c:v>2049199.1699999995</c:v>
                </c:pt>
                <c:pt idx="1">
                  <c:v>1949081.0899999999</c:v>
                </c:pt>
              </c:numCache>
            </c:numRef>
          </c:val>
          <c:extLst>
            <c:ext xmlns:c16="http://schemas.microsoft.com/office/drawing/2014/chart" uri="{C3380CC4-5D6E-409C-BE32-E72D297353CC}">
              <c16:uniqueId val="{00000004-92F6-4FA8-B67F-BA3938578DE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2.xlsx]pivots!PivotTable5</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pivots!$M$1:$M$2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pivots!$L$3:$L$12</c:f>
              <c:strCache>
                <c:ptCount val="9"/>
                <c:pt idx="0">
                  <c:v>HR Associate</c:v>
                </c:pt>
                <c:pt idx="1">
                  <c:v>HR Manager</c:v>
                </c:pt>
                <c:pt idx="2">
                  <c:v>IT Manager</c:v>
                </c:pt>
                <c:pt idx="3">
                  <c:v>Marketing Analyst</c:v>
                </c:pt>
                <c:pt idx="4">
                  <c:v>Marketing Lead</c:v>
                </c:pt>
                <c:pt idx="5">
                  <c:v>Sales Associate</c:v>
                </c:pt>
                <c:pt idx="6">
                  <c:v>Sales Executive</c:v>
                </c:pt>
                <c:pt idx="7">
                  <c:v>Software Engineer</c:v>
                </c:pt>
                <c:pt idx="8">
                  <c:v>Systems Analyst</c:v>
                </c:pt>
              </c:strCache>
            </c:strRef>
          </c:cat>
          <c:val>
            <c:numRef>
              <c:f>pivots!$M$3:$M$12</c:f>
              <c:numCache>
                <c:formatCode>General</c:formatCode>
                <c:ptCount val="9"/>
                <c:pt idx="0">
                  <c:v>3</c:v>
                </c:pt>
                <c:pt idx="1">
                  <c:v>4</c:v>
                </c:pt>
                <c:pt idx="3">
                  <c:v>3</c:v>
                </c:pt>
                <c:pt idx="4">
                  <c:v>1</c:v>
                </c:pt>
                <c:pt idx="5">
                  <c:v>7</c:v>
                </c:pt>
                <c:pt idx="6">
                  <c:v>4</c:v>
                </c:pt>
                <c:pt idx="7">
                  <c:v>1</c:v>
                </c:pt>
                <c:pt idx="8">
                  <c:v>2</c:v>
                </c:pt>
              </c:numCache>
            </c:numRef>
          </c:val>
          <c:smooth val="0"/>
          <c:extLst>
            <c:ext xmlns:c16="http://schemas.microsoft.com/office/drawing/2014/chart" uri="{C3380CC4-5D6E-409C-BE32-E72D297353CC}">
              <c16:uniqueId val="{00000000-8D83-416E-8952-BDB26A60E4EA}"/>
            </c:ext>
          </c:extLst>
        </c:ser>
        <c:ser>
          <c:idx val="1"/>
          <c:order val="1"/>
          <c:tx>
            <c:strRef>
              <c:f>pivots!$N$1:$N$2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pivots!$L$3:$L$12</c:f>
              <c:strCache>
                <c:ptCount val="9"/>
                <c:pt idx="0">
                  <c:v>HR Associate</c:v>
                </c:pt>
                <c:pt idx="1">
                  <c:v>HR Manager</c:v>
                </c:pt>
                <c:pt idx="2">
                  <c:v>IT Manager</c:v>
                </c:pt>
                <c:pt idx="3">
                  <c:v>Marketing Analyst</c:v>
                </c:pt>
                <c:pt idx="4">
                  <c:v>Marketing Lead</c:v>
                </c:pt>
                <c:pt idx="5">
                  <c:v>Sales Associate</c:v>
                </c:pt>
                <c:pt idx="6">
                  <c:v>Sales Executive</c:v>
                </c:pt>
                <c:pt idx="7">
                  <c:v>Software Engineer</c:v>
                </c:pt>
                <c:pt idx="8">
                  <c:v>Systems Analyst</c:v>
                </c:pt>
              </c:strCache>
            </c:strRef>
          </c:cat>
          <c:val>
            <c:numRef>
              <c:f>pivots!$N$3:$N$12</c:f>
              <c:numCache>
                <c:formatCode>General</c:formatCode>
                <c:ptCount val="9"/>
                <c:pt idx="0">
                  <c:v>5</c:v>
                </c:pt>
                <c:pt idx="1">
                  <c:v>3</c:v>
                </c:pt>
                <c:pt idx="2">
                  <c:v>5</c:v>
                </c:pt>
                <c:pt idx="3">
                  <c:v>2</c:v>
                </c:pt>
                <c:pt idx="4">
                  <c:v>3</c:v>
                </c:pt>
                <c:pt idx="5">
                  <c:v>2</c:v>
                </c:pt>
                <c:pt idx="6">
                  <c:v>1</c:v>
                </c:pt>
                <c:pt idx="7">
                  <c:v>2</c:v>
                </c:pt>
                <c:pt idx="8">
                  <c:v>2</c:v>
                </c:pt>
              </c:numCache>
            </c:numRef>
          </c:val>
          <c:smooth val="0"/>
          <c:extLst>
            <c:ext xmlns:c16="http://schemas.microsoft.com/office/drawing/2014/chart" uri="{C3380CC4-5D6E-409C-BE32-E72D297353CC}">
              <c16:uniqueId val="{00000004-8D83-416E-8952-BDB26A60E4EA}"/>
            </c:ext>
          </c:extLst>
        </c:ser>
        <c:dLbls>
          <c:showLegendKey val="0"/>
          <c:showVal val="0"/>
          <c:showCatName val="0"/>
          <c:showSerName val="0"/>
          <c:showPercent val="0"/>
          <c:showBubbleSize val="0"/>
        </c:dLbls>
        <c:marker val="1"/>
        <c:smooth val="0"/>
        <c:axId val="1627816736"/>
        <c:axId val="1627817216"/>
      </c:lineChart>
      <c:catAx>
        <c:axId val="16278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17216"/>
        <c:crosses val="autoZero"/>
        <c:auto val="1"/>
        <c:lblAlgn val="ctr"/>
        <c:lblOffset val="100"/>
        <c:noMultiLvlLbl val="0"/>
      </c:catAx>
      <c:valAx>
        <c:axId val="16278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601980</xdr:colOff>
      <xdr:row>3</xdr:row>
      <xdr:rowOff>175260</xdr:rowOff>
    </xdr:from>
    <xdr:to>
      <xdr:col>10</xdr:col>
      <xdr:colOff>182880</xdr:colOff>
      <xdr:row>16</xdr:row>
      <xdr:rowOff>45720</xdr:rowOff>
    </xdr:to>
    <xdr:graphicFrame macro="">
      <xdr:nvGraphicFramePr>
        <xdr:cNvPr id="2" name="Chart 1">
          <a:extLst>
            <a:ext uri="{FF2B5EF4-FFF2-40B4-BE49-F238E27FC236}">
              <a16:creationId xmlns:a16="http://schemas.microsoft.com/office/drawing/2014/main" id="{8E5A4F5D-895F-45C8-891A-9D16A5A19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22</xdr:row>
      <xdr:rowOff>137161</xdr:rowOff>
    </xdr:from>
    <xdr:to>
      <xdr:col>2</xdr:col>
      <xdr:colOff>45720</xdr:colOff>
      <xdr:row>30</xdr:row>
      <xdr:rowOff>144781</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42FF6BCD-8AC8-4438-A504-30F92B560AA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1440" y="4160521"/>
              <a:ext cx="117348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13</xdr:row>
      <xdr:rowOff>152401</xdr:rowOff>
    </xdr:from>
    <xdr:to>
      <xdr:col>1</xdr:col>
      <xdr:colOff>586740</xdr:colOff>
      <xdr:row>18</xdr:row>
      <xdr:rowOff>175261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92432226-60AB-4926-968A-45F816483E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580" y="2529841"/>
              <a:ext cx="112776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297180</xdr:colOff>
      <xdr:row>1</xdr:row>
      <xdr:rowOff>175260</xdr:rowOff>
    </xdr:from>
    <xdr:to>
      <xdr:col>23</xdr:col>
      <xdr:colOff>297180</xdr:colOff>
      <xdr:row>17</xdr:row>
      <xdr:rowOff>22860</xdr:rowOff>
    </xdr:to>
    <mc:AlternateContent xmlns:mc="http://schemas.openxmlformats.org/markup-compatibility/2006">
      <mc:Choice xmlns:a14="http://schemas.microsoft.com/office/drawing/2010/main" Requires="a14">
        <xdr:graphicFrame macro="">
          <xdr:nvGraphicFramePr>
            <xdr:cNvPr id="6" name="Job Title">
              <a:extLst>
                <a:ext uri="{FF2B5EF4-FFF2-40B4-BE49-F238E27FC236}">
                  <a16:creationId xmlns:a16="http://schemas.microsoft.com/office/drawing/2014/main" id="{E32EA3E4-14CE-4AEA-A0F0-3936E0B475E8}"/>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2489180" y="358140"/>
              <a:ext cx="1828800" cy="277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xdr:row>
      <xdr:rowOff>38100</xdr:rowOff>
    </xdr:from>
    <xdr:to>
      <xdr:col>2</xdr:col>
      <xdr:colOff>350520</xdr:colOff>
      <xdr:row>9</xdr:row>
      <xdr:rowOff>38100</xdr:rowOff>
    </xdr:to>
    <mc:AlternateContent xmlns:mc="http://schemas.openxmlformats.org/markup-compatibility/2006">
      <mc:Choice xmlns:a14="http://schemas.microsoft.com/office/drawing/2010/main" Requires="a14">
        <xdr:graphicFrame macro="">
          <xdr:nvGraphicFramePr>
            <xdr:cNvPr id="7" name="Employees' performance">
              <a:extLst>
                <a:ext uri="{FF2B5EF4-FFF2-40B4-BE49-F238E27FC236}">
                  <a16:creationId xmlns:a16="http://schemas.microsoft.com/office/drawing/2014/main" id="{73515514-665A-4B22-A2D1-9A2F6A4FE3A8}"/>
                </a:ext>
              </a:extLst>
            </xdr:cNvPr>
            <xdr:cNvGraphicFramePr/>
          </xdr:nvGraphicFramePr>
          <xdr:xfrm>
            <a:off x="0" y="0"/>
            <a:ext cx="0" cy="0"/>
          </xdr:xfrm>
          <a:graphic>
            <a:graphicData uri="http://schemas.microsoft.com/office/drawing/2010/slicer">
              <sle:slicer xmlns:sle="http://schemas.microsoft.com/office/drawing/2010/slicer" name="Employees' performance"/>
            </a:graphicData>
          </a:graphic>
        </xdr:graphicFrame>
      </mc:Choice>
      <mc:Fallback>
        <xdr:sp macro="" textlink="">
          <xdr:nvSpPr>
            <xdr:cNvPr id="0" name=""/>
            <xdr:cNvSpPr>
              <a:spLocks noTextEdit="1"/>
            </xdr:cNvSpPr>
          </xdr:nvSpPr>
          <xdr:spPr>
            <a:xfrm>
              <a:off x="60960" y="403860"/>
              <a:ext cx="150876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335280</xdr:colOff>
      <xdr:row>26</xdr:row>
      <xdr:rowOff>45721</xdr:rowOff>
    </xdr:from>
    <xdr:to>
      <xdr:col>23</xdr:col>
      <xdr:colOff>335280</xdr:colOff>
      <xdr:row>31</xdr:row>
      <xdr:rowOff>68581</xdr:rowOff>
    </xdr:to>
    <mc:AlternateContent xmlns:mc="http://schemas.openxmlformats.org/markup-compatibility/2006">
      <mc:Choice xmlns:a14="http://schemas.microsoft.com/office/drawing/2010/main" Requires="a14">
        <xdr:graphicFrame macro="">
          <xdr:nvGraphicFramePr>
            <xdr:cNvPr id="10" name="Salary category">
              <a:extLst>
                <a:ext uri="{FF2B5EF4-FFF2-40B4-BE49-F238E27FC236}">
                  <a16:creationId xmlns:a16="http://schemas.microsoft.com/office/drawing/2014/main" id="{5C98A167-E338-4487-AD2F-CFD34B15E03D}"/>
                </a:ext>
              </a:extLst>
            </xdr:cNvPr>
            <xdr:cNvGraphicFramePr/>
          </xdr:nvGraphicFramePr>
          <xdr:xfrm>
            <a:off x="0" y="0"/>
            <a:ext cx="0" cy="0"/>
          </xdr:xfrm>
          <a:graphic>
            <a:graphicData uri="http://schemas.microsoft.com/office/drawing/2010/slicer">
              <sle:slicer xmlns:sle="http://schemas.microsoft.com/office/drawing/2010/slicer" name="Salary category"/>
            </a:graphicData>
          </a:graphic>
        </xdr:graphicFrame>
      </mc:Choice>
      <mc:Fallback>
        <xdr:sp macro="" textlink="">
          <xdr:nvSpPr>
            <xdr:cNvPr id="0" name=""/>
            <xdr:cNvSpPr>
              <a:spLocks noTextEdit="1"/>
            </xdr:cNvSpPr>
          </xdr:nvSpPr>
          <xdr:spPr>
            <a:xfrm>
              <a:off x="12527280" y="480060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320040</xdr:colOff>
      <xdr:row>18</xdr:row>
      <xdr:rowOff>129541</xdr:rowOff>
    </xdr:from>
    <xdr:to>
      <xdr:col>23</xdr:col>
      <xdr:colOff>342900</xdr:colOff>
      <xdr:row>24</xdr:row>
      <xdr:rowOff>15241</xdr:rowOff>
    </xdr:to>
    <mc:AlternateContent xmlns:mc="http://schemas.openxmlformats.org/markup-compatibility/2006">
      <mc:Choice xmlns:a14="http://schemas.microsoft.com/office/drawing/2010/main" Requires="a14">
        <xdr:graphicFrame macro="">
          <xdr:nvGraphicFramePr>
            <xdr:cNvPr id="11" name="Bonus Eligibility">
              <a:extLst>
                <a:ext uri="{FF2B5EF4-FFF2-40B4-BE49-F238E27FC236}">
                  <a16:creationId xmlns:a16="http://schemas.microsoft.com/office/drawing/2014/main" id="{C54F10AC-A063-4EB4-896F-F67578E59001}"/>
                </a:ext>
              </a:extLst>
            </xdr:cNvPr>
            <xdr:cNvGraphicFramePr/>
          </xdr:nvGraphicFramePr>
          <xdr:xfrm>
            <a:off x="0" y="0"/>
            <a:ext cx="0" cy="0"/>
          </xdr:xfrm>
          <a:graphic>
            <a:graphicData uri="http://schemas.microsoft.com/office/drawing/2010/slicer">
              <sle:slicer xmlns:sle="http://schemas.microsoft.com/office/drawing/2010/slicer" name="Bonus Eligibility"/>
            </a:graphicData>
          </a:graphic>
        </xdr:graphicFrame>
      </mc:Choice>
      <mc:Fallback>
        <xdr:sp macro="" textlink="">
          <xdr:nvSpPr>
            <xdr:cNvPr id="0" name=""/>
            <xdr:cNvSpPr>
              <a:spLocks noTextEdit="1"/>
            </xdr:cNvSpPr>
          </xdr:nvSpPr>
          <xdr:spPr>
            <a:xfrm>
              <a:off x="12512040" y="3421381"/>
              <a:ext cx="185166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373380</xdr:colOff>
      <xdr:row>3</xdr:row>
      <xdr:rowOff>160020</xdr:rowOff>
    </xdr:from>
    <xdr:to>
      <xdr:col>20</xdr:col>
      <xdr:colOff>68580</xdr:colOff>
      <xdr:row>16</xdr:row>
      <xdr:rowOff>60960</xdr:rowOff>
    </xdr:to>
    <xdr:graphicFrame macro="">
      <xdr:nvGraphicFramePr>
        <xdr:cNvPr id="8" name="Chart 7">
          <a:extLst>
            <a:ext uri="{FF2B5EF4-FFF2-40B4-BE49-F238E27FC236}">
              <a16:creationId xmlns:a16="http://schemas.microsoft.com/office/drawing/2014/main" id="{741652D3-5B7D-44F7-B1C7-04073435C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449580</xdr:colOff>
      <xdr:row>17</xdr:row>
      <xdr:rowOff>137160</xdr:rowOff>
    </xdr:from>
    <xdr:to>
      <xdr:col>7</xdr:col>
      <xdr:colOff>464820</xdr:colOff>
      <xdr:row>31</xdr:row>
      <xdr:rowOff>152400</xdr:rowOff>
    </xdr:to>
    <xdr:graphicFrame macro="">
      <xdr:nvGraphicFramePr>
        <xdr:cNvPr id="9" name="Chart 8">
          <a:extLst>
            <a:ext uri="{FF2B5EF4-FFF2-40B4-BE49-F238E27FC236}">
              <a16:creationId xmlns:a16="http://schemas.microsoft.com/office/drawing/2014/main" id="{70C8D1D6-99DC-4B43-95CF-3EA232FC4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91440</xdr:colOff>
      <xdr:row>17</xdr:row>
      <xdr:rowOff>137160</xdr:rowOff>
    </xdr:from>
    <xdr:to>
      <xdr:col>14</xdr:col>
      <xdr:colOff>7620</xdr:colOff>
      <xdr:row>31</xdr:row>
      <xdr:rowOff>137160</xdr:rowOff>
    </xdr:to>
    <xdr:graphicFrame macro="">
      <xdr:nvGraphicFramePr>
        <xdr:cNvPr id="12" name="Chart 11">
          <a:extLst>
            <a:ext uri="{FF2B5EF4-FFF2-40B4-BE49-F238E27FC236}">
              <a16:creationId xmlns:a16="http://schemas.microsoft.com/office/drawing/2014/main" id="{7BC5A49F-6BBC-495C-BBF9-5463B6FD8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220980</xdr:colOff>
      <xdr:row>17</xdr:row>
      <xdr:rowOff>129540</xdr:rowOff>
    </xdr:from>
    <xdr:to>
      <xdr:col>20</xdr:col>
      <xdr:colOff>45720</xdr:colOff>
      <xdr:row>31</xdr:row>
      <xdr:rowOff>114300</xdr:rowOff>
    </xdr:to>
    <xdr:graphicFrame macro="">
      <xdr:nvGraphicFramePr>
        <xdr:cNvPr id="13" name="Chart 12">
          <a:extLst>
            <a:ext uri="{FF2B5EF4-FFF2-40B4-BE49-F238E27FC236}">
              <a16:creationId xmlns:a16="http://schemas.microsoft.com/office/drawing/2014/main" id="{A2E8FD35-B121-4CFD-A582-53AB85E70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refreshedDate="45736.028718287038" createdVersion="8" refreshedVersion="8" minRefreshableVersion="3" recordCount="50" xr:uid="{32044778-06A6-42BA-9F43-FFD866A79D55}">
  <cacheSource type="worksheet">
    <worksheetSource name="Table2"/>
  </cacheSource>
  <cacheFields count="16">
    <cacheField name="Employee ID" numFmtId="0">
      <sharedItems/>
    </cacheField>
    <cacheField name="Name" numFmtId="0">
      <sharedItems/>
    </cacheField>
    <cacheField name="Department" numFmtId="0">
      <sharedItems count="4">
        <s v="Sales"/>
        <s v="IT"/>
        <s v="Marketing"/>
        <s v="HR"/>
      </sharedItems>
    </cacheField>
    <cacheField name="Gender" numFmtId="0">
      <sharedItems count="2">
        <s v="Female"/>
        <s v="Male"/>
      </sharedItems>
    </cacheField>
    <cacheField name="Salary ($)" numFmtId="2">
      <sharedItems containsSemiMixedTypes="0" containsString="0" containsNumber="1" containsInteger="1" minValue="41254" maxValue="97467"/>
    </cacheField>
    <cacheField name="Hire Date" numFmtId="164">
      <sharedItems containsSemiMixedTypes="0" containsNonDate="0" containsDate="1" containsString="0" minDate="2015-02-14T00:00:00" maxDate="2025-01-02T00:00:00"/>
    </cacheField>
    <cacheField name="Month of joining " numFmtId="164">
      <sharedItems count="12">
        <s v="10"/>
        <s v="03"/>
        <s v="12"/>
        <s v="04"/>
        <s v="05"/>
        <s v="02"/>
        <s v="06"/>
        <s v="01"/>
        <s v="11"/>
        <s v="07"/>
        <s v="08"/>
        <s v="09"/>
      </sharedItems>
    </cacheField>
    <cacheField name="Performance Rating" numFmtId="0">
      <sharedItems containsSemiMixedTypes="0" containsString="0" containsNumber="1" containsInteger="1" minValue="1" maxValue="5" count="5">
        <n v="3"/>
        <n v="1"/>
        <n v="5"/>
        <n v="2"/>
        <n v="4"/>
      </sharedItems>
    </cacheField>
    <cacheField name="Bonus (%)" numFmtId="0">
      <sharedItems containsSemiMixedTypes="0" containsString="0" containsNumber="1" containsInteger="1" minValue="3" maxValue="15"/>
    </cacheField>
    <cacheField name="Bonus Amount" numFmtId="0">
      <sharedItems containsSemiMixedTypes="0" containsString="0" containsNumber="1" minValue="1613.76" maxValue="14305.65"/>
    </cacheField>
    <cacheField name="Salary + Bonus" numFmtId="2">
      <sharedItems containsSemiMixedTypes="0" containsString="0" containsNumber="1" minValue="45379.4" maxValue="109676.65"/>
    </cacheField>
    <cacheField name="Job Title" numFmtId="0">
      <sharedItems count="9">
        <s v="Sales Associate"/>
        <s v="Systems Analyst"/>
        <s v="Software Engineer"/>
        <s v="IT Manager"/>
        <s v="Marketing Analyst"/>
        <s v="HR Associate"/>
        <s v="HR Manager"/>
        <s v="Marketing Lead"/>
        <s v="Sales Executive"/>
      </sharedItems>
    </cacheField>
    <cacheField name="Salary category" numFmtId="0">
      <sharedItems count="2">
        <s v="Above average"/>
        <s v="Below Average"/>
      </sharedItems>
    </cacheField>
    <cacheField name="Bonus Eligibility" numFmtId="0">
      <sharedItems count="2">
        <s v="Not eligible for bonus"/>
        <s v="Eligible for bonus"/>
      </sharedItems>
    </cacheField>
    <cacheField name="Employees' performance" numFmtId="0">
      <sharedItems count="3">
        <s v="Good"/>
        <s v="Needs _x000a_Improvement"/>
        <s v="Excellent"/>
      </sharedItems>
    </cacheField>
    <cacheField name="Total paid leaves" numFmtId="0">
      <sharedItems containsSemiMixedTypes="0" containsString="0" containsNumber="1" containsInteger="1" minValue="12" maxValue="20"/>
    </cacheField>
  </cacheFields>
  <extLst>
    <ext xmlns:x14="http://schemas.microsoft.com/office/spreadsheetml/2009/9/main" uri="{725AE2AE-9491-48be-B2B4-4EB974FC3084}">
      <x14:pivotCacheDefinition pivotCacheId="1339560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E001"/>
    <s v="Jessica May"/>
    <x v="0"/>
    <x v="0"/>
    <n v="91251"/>
    <d v="2021-10-17T00:00:00"/>
    <x v="0"/>
    <x v="0"/>
    <n v="5"/>
    <n v="4562.55"/>
    <n v="95813.55"/>
    <x v="0"/>
    <x v="0"/>
    <x v="0"/>
    <x v="0"/>
    <n v="12"/>
  </r>
  <r>
    <s v="E002"/>
    <s v="Marcus Mosley"/>
    <x v="1"/>
    <x v="0"/>
    <n v="50816"/>
    <d v="2023-03-13T00:00:00"/>
    <x v="1"/>
    <x v="1"/>
    <n v="7"/>
    <n v="3557.12"/>
    <n v="54373.120000000003"/>
    <x v="1"/>
    <x v="1"/>
    <x v="0"/>
    <x v="1"/>
    <n v="15"/>
  </r>
  <r>
    <s v="E003"/>
    <s v="Nicholas Cannon"/>
    <x v="1"/>
    <x v="1"/>
    <n v="54534"/>
    <d v="2021-10-26T00:00:00"/>
    <x v="0"/>
    <x v="1"/>
    <n v="12"/>
    <n v="6544.08"/>
    <n v="61078.080000000002"/>
    <x v="2"/>
    <x v="1"/>
    <x v="0"/>
    <x v="1"/>
    <n v="18"/>
  </r>
  <r>
    <s v="E004"/>
    <s v="Kimberly Smith"/>
    <x v="1"/>
    <x v="1"/>
    <n v="85829"/>
    <d v="2015-12-09T00:00:00"/>
    <x v="2"/>
    <x v="2"/>
    <n v="7"/>
    <n v="6008.03"/>
    <n v="91837.03"/>
    <x v="3"/>
    <x v="0"/>
    <x v="1"/>
    <x v="2"/>
    <n v="20"/>
  </r>
  <r>
    <s v="E005"/>
    <s v="John Jones"/>
    <x v="2"/>
    <x v="0"/>
    <n v="50036"/>
    <d v="2015-04-04T00:00:00"/>
    <x v="3"/>
    <x v="3"/>
    <n v="15"/>
    <n v="7505.4"/>
    <n v="57541.4"/>
    <x v="4"/>
    <x v="1"/>
    <x v="0"/>
    <x v="1"/>
    <n v="14"/>
  </r>
  <r>
    <s v="E006"/>
    <s v="Alexander Jacobs"/>
    <x v="3"/>
    <x v="0"/>
    <n v="92010"/>
    <d v="2019-03-13T00:00:00"/>
    <x v="1"/>
    <x v="2"/>
    <n v="15"/>
    <n v="13801.5"/>
    <n v="105811.5"/>
    <x v="5"/>
    <x v="0"/>
    <x v="1"/>
    <x v="2"/>
    <n v="12"/>
  </r>
  <r>
    <s v="E007"/>
    <s v="Mary Fox"/>
    <x v="3"/>
    <x v="0"/>
    <n v="64048"/>
    <d v="2023-05-10T00:00:00"/>
    <x v="4"/>
    <x v="3"/>
    <n v="7"/>
    <n v="4483.3599999999997"/>
    <n v="68531.360000000001"/>
    <x v="6"/>
    <x v="1"/>
    <x v="0"/>
    <x v="1"/>
    <n v="12"/>
  </r>
  <r>
    <s v="E008"/>
    <s v="Robert Fisher"/>
    <x v="0"/>
    <x v="0"/>
    <n v="96840"/>
    <d v="2016-02-09T00:00:00"/>
    <x v="5"/>
    <x v="4"/>
    <n v="10"/>
    <n v="9684"/>
    <n v="106524"/>
    <x v="0"/>
    <x v="0"/>
    <x v="1"/>
    <x v="2"/>
    <n v="12"/>
  </r>
  <r>
    <s v="E009"/>
    <s v="Jeremy Blanchard"/>
    <x v="3"/>
    <x v="1"/>
    <n v="59454"/>
    <d v="2016-10-05T00:00:00"/>
    <x v="0"/>
    <x v="0"/>
    <n v="10"/>
    <n v="5945.4"/>
    <n v="65399.4"/>
    <x v="5"/>
    <x v="1"/>
    <x v="0"/>
    <x v="0"/>
    <n v="12"/>
  </r>
  <r>
    <s v="E010"/>
    <s v="Pamela Melendez"/>
    <x v="0"/>
    <x v="1"/>
    <n v="43717"/>
    <d v="2017-04-08T00:00:00"/>
    <x v="3"/>
    <x v="0"/>
    <n v="12"/>
    <n v="5246.04"/>
    <n v="48963.040000000001"/>
    <x v="0"/>
    <x v="1"/>
    <x v="0"/>
    <x v="0"/>
    <n v="12"/>
  </r>
  <r>
    <s v="E011"/>
    <s v="Scott Whitaker"/>
    <x v="3"/>
    <x v="1"/>
    <n v="71556"/>
    <d v="2023-04-22T00:00:00"/>
    <x v="3"/>
    <x v="3"/>
    <n v="10"/>
    <n v="7155.6"/>
    <n v="78711.600000000006"/>
    <x v="5"/>
    <x v="1"/>
    <x v="0"/>
    <x v="1"/>
    <n v="12"/>
  </r>
  <r>
    <s v="E012"/>
    <s v="David Mcconnell"/>
    <x v="1"/>
    <x v="1"/>
    <n v="87707"/>
    <d v="2016-06-19T00:00:00"/>
    <x v="6"/>
    <x v="4"/>
    <n v="15"/>
    <n v="13156.05"/>
    <n v="100863.05"/>
    <x v="1"/>
    <x v="0"/>
    <x v="1"/>
    <x v="2"/>
    <n v="15"/>
  </r>
  <r>
    <s v="E013"/>
    <s v="Kathryn Mann"/>
    <x v="0"/>
    <x v="0"/>
    <n v="91023"/>
    <d v="2018-01-17T00:00:00"/>
    <x v="7"/>
    <x v="3"/>
    <n v="15"/>
    <n v="13653.45"/>
    <n v="104676.45"/>
    <x v="0"/>
    <x v="0"/>
    <x v="0"/>
    <x v="1"/>
    <n v="12"/>
  </r>
  <r>
    <s v="E014"/>
    <s v="Destiny Reed"/>
    <x v="2"/>
    <x v="1"/>
    <n v="50141"/>
    <d v="2015-02-14T00:00:00"/>
    <x v="5"/>
    <x v="3"/>
    <n v="10"/>
    <n v="5014.1000000000004"/>
    <n v="55155.1"/>
    <x v="7"/>
    <x v="1"/>
    <x v="0"/>
    <x v="1"/>
    <n v="12"/>
  </r>
  <r>
    <s v="E015"/>
    <s v="Adam Howard"/>
    <x v="0"/>
    <x v="1"/>
    <n v="91661"/>
    <d v="2021-03-17T00:00:00"/>
    <x v="1"/>
    <x v="0"/>
    <n v="10"/>
    <n v="9166.1"/>
    <n v="100827.1"/>
    <x v="8"/>
    <x v="0"/>
    <x v="0"/>
    <x v="0"/>
    <n v="12"/>
  </r>
  <r>
    <s v="E016"/>
    <s v="Sara Weeks"/>
    <x v="0"/>
    <x v="0"/>
    <n v="84041"/>
    <d v="2022-12-01T00:00:00"/>
    <x v="2"/>
    <x v="1"/>
    <n v="10"/>
    <n v="8404.1"/>
    <n v="92445.1"/>
    <x v="8"/>
    <x v="0"/>
    <x v="0"/>
    <x v="1"/>
    <n v="12"/>
  </r>
  <r>
    <s v="E017"/>
    <s v="Laurie Lewis"/>
    <x v="3"/>
    <x v="0"/>
    <n v="97467"/>
    <d v="2018-06-03T00:00:00"/>
    <x v="6"/>
    <x v="1"/>
    <n v="10"/>
    <n v="9746.7000000000007"/>
    <n v="107213.7"/>
    <x v="6"/>
    <x v="0"/>
    <x v="0"/>
    <x v="1"/>
    <n v="12"/>
  </r>
  <r>
    <s v="E018"/>
    <s v="Arthur Deleon"/>
    <x v="2"/>
    <x v="1"/>
    <n v="74374"/>
    <d v="2015-11-03T00:00:00"/>
    <x v="8"/>
    <x v="0"/>
    <n v="5"/>
    <n v="3718.7"/>
    <n v="78092.7"/>
    <x v="4"/>
    <x v="0"/>
    <x v="0"/>
    <x v="0"/>
    <n v="14"/>
  </r>
  <r>
    <s v="E019"/>
    <s v="Jonathan Lam"/>
    <x v="0"/>
    <x v="1"/>
    <n v="53792"/>
    <d v="2022-06-01T00:00:00"/>
    <x v="6"/>
    <x v="2"/>
    <n v="3"/>
    <n v="1613.76"/>
    <n v="55405.760000000002"/>
    <x v="0"/>
    <x v="1"/>
    <x v="0"/>
    <x v="2"/>
    <n v="12"/>
  </r>
  <r>
    <s v="E020"/>
    <s v="Mario Smith"/>
    <x v="1"/>
    <x v="1"/>
    <n v="50041"/>
    <d v="2019-03-23T00:00:00"/>
    <x v="1"/>
    <x v="4"/>
    <n v="15"/>
    <n v="7506.15"/>
    <n v="57547.15"/>
    <x v="2"/>
    <x v="1"/>
    <x v="0"/>
    <x v="2"/>
    <n v="18"/>
  </r>
  <r>
    <s v="E021"/>
    <s v="Jeremy Arias"/>
    <x v="3"/>
    <x v="1"/>
    <n v="95371"/>
    <d v="2024-11-07T00:00:00"/>
    <x v="8"/>
    <x v="3"/>
    <n v="15"/>
    <n v="14305.65"/>
    <n v="109676.65"/>
    <x v="5"/>
    <x v="0"/>
    <x v="0"/>
    <x v="1"/>
    <n v="12"/>
  </r>
  <r>
    <s v="E022"/>
    <s v="Stephanie Marquez"/>
    <x v="0"/>
    <x v="0"/>
    <n v="54599"/>
    <d v="2017-11-05T00:00:00"/>
    <x v="8"/>
    <x v="4"/>
    <n v="12"/>
    <n v="6551.88"/>
    <n v="61150.879999999997"/>
    <x v="0"/>
    <x v="1"/>
    <x v="0"/>
    <x v="2"/>
    <n v="12"/>
  </r>
  <r>
    <s v="E023"/>
    <s v="Ellen Edwards"/>
    <x v="1"/>
    <x v="1"/>
    <n v="91405"/>
    <d v="2022-12-16T00:00:00"/>
    <x v="2"/>
    <x v="0"/>
    <n v="5"/>
    <n v="4570.25"/>
    <n v="95975.25"/>
    <x v="3"/>
    <x v="0"/>
    <x v="0"/>
    <x v="0"/>
    <n v="20"/>
  </r>
  <r>
    <s v="E024"/>
    <s v="Jennifer Kennedy"/>
    <x v="3"/>
    <x v="1"/>
    <n v="95165"/>
    <d v="2018-11-11T00:00:00"/>
    <x v="8"/>
    <x v="2"/>
    <n v="12"/>
    <n v="11419.8"/>
    <n v="106584.8"/>
    <x v="6"/>
    <x v="0"/>
    <x v="1"/>
    <x v="2"/>
    <n v="12"/>
  </r>
  <r>
    <s v="E025"/>
    <s v="Andre Villa DDS"/>
    <x v="0"/>
    <x v="0"/>
    <n v="89530"/>
    <d v="2017-01-26T00:00:00"/>
    <x v="7"/>
    <x v="0"/>
    <n v="12"/>
    <n v="10743.6"/>
    <n v="100273.60000000001"/>
    <x v="0"/>
    <x v="0"/>
    <x v="0"/>
    <x v="0"/>
    <n v="12"/>
  </r>
  <r>
    <s v="E026"/>
    <s v="Crystal Tanner"/>
    <x v="1"/>
    <x v="1"/>
    <n v="88589"/>
    <d v="2019-11-24T00:00:00"/>
    <x v="8"/>
    <x v="2"/>
    <n v="3"/>
    <n v="2657.67"/>
    <n v="91246.67"/>
    <x v="1"/>
    <x v="0"/>
    <x v="1"/>
    <x v="2"/>
    <n v="15"/>
  </r>
  <r>
    <s v="E027"/>
    <s v="Juan Martin"/>
    <x v="1"/>
    <x v="1"/>
    <n v="69378"/>
    <d v="2020-01-11T00:00:00"/>
    <x v="7"/>
    <x v="0"/>
    <n v="12"/>
    <n v="8325.36"/>
    <n v="77703.360000000001"/>
    <x v="3"/>
    <x v="1"/>
    <x v="0"/>
    <x v="0"/>
    <n v="20"/>
  </r>
  <r>
    <s v="E028"/>
    <s v="Phyllis Cook"/>
    <x v="2"/>
    <x v="1"/>
    <n v="64294"/>
    <d v="2021-05-02T00:00:00"/>
    <x v="4"/>
    <x v="1"/>
    <n v="7"/>
    <n v="4500.58"/>
    <n v="68794.58"/>
    <x v="7"/>
    <x v="1"/>
    <x v="0"/>
    <x v="1"/>
    <n v="12"/>
  </r>
  <r>
    <s v="E029"/>
    <s v="Margaret Griffith"/>
    <x v="3"/>
    <x v="0"/>
    <n v="66199"/>
    <d v="2015-07-03T00:00:00"/>
    <x v="9"/>
    <x v="0"/>
    <n v="7"/>
    <n v="4633.93"/>
    <n v="70832.929999999993"/>
    <x v="6"/>
    <x v="1"/>
    <x v="0"/>
    <x v="0"/>
    <n v="12"/>
  </r>
  <r>
    <s v="E030"/>
    <s v="Keith Williams"/>
    <x v="2"/>
    <x v="1"/>
    <n v="41254"/>
    <d v="2023-08-24T00:00:00"/>
    <x v="10"/>
    <x v="2"/>
    <n v="10"/>
    <n v="4125.3999999999996"/>
    <n v="45379.4"/>
    <x v="7"/>
    <x v="1"/>
    <x v="0"/>
    <x v="2"/>
    <n v="12"/>
  </r>
  <r>
    <s v="E031"/>
    <s v="Mr. Michael Oliver DDS"/>
    <x v="0"/>
    <x v="0"/>
    <n v="61653"/>
    <d v="2019-11-26T00:00:00"/>
    <x v="8"/>
    <x v="0"/>
    <n v="7"/>
    <n v="4315.71"/>
    <n v="65968.710000000006"/>
    <x v="8"/>
    <x v="1"/>
    <x v="0"/>
    <x v="0"/>
    <n v="12"/>
  </r>
  <r>
    <s v="E032"/>
    <s v="Marco Price"/>
    <x v="2"/>
    <x v="0"/>
    <n v="70642"/>
    <d v="2019-03-10T00:00:00"/>
    <x v="1"/>
    <x v="0"/>
    <n v="10"/>
    <n v="7064.2"/>
    <n v="77706.2"/>
    <x v="4"/>
    <x v="1"/>
    <x v="0"/>
    <x v="0"/>
    <n v="14"/>
  </r>
  <r>
    <s v="E033"/>
    <s v="Susan Johnson"/>
    <x v="0"/>
    <x v="0"/>
    <n v="94395"/>
    <d v="2025-01-01T00:00:00"/>
    <x v="7"/>
    <x v="1"/>
    <n v="10"/>
    <n v="9439.5"/>
    <n v="103834.5"/>
    <x v="8"/>
    <x v="0"/>
    <x v="0"/>
    <x v="1"/>
    <n v="12"/>
  </r>
  <r>
    <s v="E034"/>
    <s v="Joseph Barajas"/>
    <x v="1"/>
    <x v="0"/>
    <n v="89691"/>
    <d v="2015-07-18T00:00:00"/>
    <x v="9"/>
    <x v="2"/>
    <n v="5"/>
    <n v="4484.55"/>
    <n v="94175.55"/>
    <x v="2"/>
    <x v="0"/>
    <x v="1"/>
    <x v="2"/>
    <n v="18"/>
  </r>
  <r>
    <s v="E035"/>
    <s v="Denise Weiss"/>
    <x v="2"/>
    <x v="0"/>
    <n v="75960"/>
    <d v="2019-05-31T00:00:00"/>
    <x v="4"/>
    <x v="2"/>
    <n v="5"/>
    <n v="3798"/>
    <n v="79758"/>
    <x v="7"/>
    <x v="0"/>
    <x v="1"/>
    <x v="2"/>
    <n v="12"/>
  </r>
  <r>
    <s v="E036"/>
    <s v="Jennifer Moore"/>
    <x v="3"/>
    <x v="1"/>
    <n v="70279"/>
    <d v="2021-02-16T00:00:00"/>
    <x v="5"/>
    <x v="0"/>
    <n v="5"/>
    <n v="3513.95"/>
    <n v="73792.95"/>
    <x v="6"/>
    <x v="1"/>
    <x v="0"/>
    <x v="0"/>
    <n v="12"/>
  </r>
  <r>
    <s v="E037"/>
    <s v="Michael Williams"/>
    <x v="3"/>
    <x v="0"/>
    <n v="48242"/>
    <d v="2021-11-13T00:00:00"/>
    <x v="8"/>
    <x v="3"/>
    <n v="10"/>
    <n v="4824.2"/>
    <n v="53066.2"/>
    <x v="5"/>
    <x v="1"/>
    <x v="0"/>
    <x v="1"/>
    <n v="12"/>
  </r>
  <r>
    <s v="E038"/>
    <s v="Lisa Wright"/>
    <x v="0"/>
    <x v="0"/>
    <n v="94988"/>
    <d v="2020-10-09T00:00:00"/>
    <x v="0"/>
    <x v="0"/>
    <n v="7"/>
    <n v="6649.16"/>
    <n v="101637.16"/>
    <x v="0"/>
    <x v="0"/>
    <x v="0"/>
    <x v="0"/>
    <n v="12"/>
  </r>
  <r>
    <s v="E039"/>
    <s v="Justin Lopez"/>
    <x v="3"/>
    <x v="1"/>
    <n v="86468"/>
    <d v="2019-06-02T00:00:00"/>
    <x v="6"/>
    <x v="4"/>
    <n v="5"/>
    <n v="4323.3999999999996"/>
    <n v="90791.4"/>
    <x v="5"/>
    <x v="0"/>
    <x v="1"/>
    <x v="2"/>
    <n v="12"/>
  </r>
  <r>
    <s v="E040"/>
    <s v="Amy Gomez"/>
    <x v="3"/>
    <x v="1"/>
    <n v="43842"/>
    <d v="2022-01-26T00:00:00"/>
    <x v="7"/>
    <x v="2"/>
    <n v="7"/>
    <n v="3068.94"/>
    <n v="46910.94"/>
    <x v="5"/>
    <x v="1"/>
    <x v="0"/>
    <x v="2"/>
    <n v="12"/>
  </r>
  <r>
    <s v="E041"/>
    <s v="Jim Lopez"/>
    <x v="1"/>
    <x v="1"/>
    <n v="80035"/>
    <d v="2023-02-06T00:00:00"/>
    <x v="5"/>
    <x v="4"/>
    <n v="5"/>
    <n v="4001.75"/>
    <n v="84036.75"/>
    <x v="3"/>
    <x v="0"/>
    <x v="1"/>
    <x v="2"/>
    <n v="20"/>
  </r>
  <r>
    <s v="E042"/>
    <s v="Ms. Renee Haney"/>
    <x v="0"/>
    <x v="0"/>
    <n v="55963"/>
    <d v="2022-09-11T00:00:00"/>
    <x v="11"/>
    <x v="2"/>
    <n v="5"/>
    <n v="2798.15"/>
    <n v="58761.15"/>
    <x v="0"/>
    <x v="1"/>
    <x v="0"/>
    <x v="2"/>
    <n v="12"/>
  </r>
  <r>
    <s v="E043"/>
    <s v="Lisa Russell"/>
    <x v="2"/>
    <x v="1"/>
    <n v="95910"/>
    <d v="2022-03-04T00:00:00"/>
    <x v="1"/>
    <x v="2"/>
    <n v="3"/>
    <n v="2877.3"/>
    <n v="98787.3"/>
    <x v="4"/>
    <x v="0"/>
    <x v="1"/>
    <x v="2"/>
    <n v="14"/>
  </r>
  <r>
    <s v="E044"/>
    <s v="Scott Calderon"/>
    <x v="2"/>
    <x v="0"/>
    <n v="81427"/>
    <d v="2018-01-08T00:00:00"/>
    <x v="7"/>
    <x v="1"/>
    <n v="3"/>
    <n v="2442.81"/>
    <n v="83869.81"/>
    <x v="4"/>
    <x v="0"/>
    <x v="0"/>
    <x v="1"/>
    <n v="14"/>
  </r>
  <r>
    <s v="E045"/>
    <s v="Kyle Silva"/>
    <x v="3"/>
    <x v="1"/>
    <n v="70556"/>
    <d v="2019-01-25T00:00:00"/>
    <x v="7"/>
    <x v="4"/>
    <n v="3"/>
    <n v="2116.6799999999998"/>
    <n v="72672.679999999993"/>
    <x v="6"/>
    <x v="1"/>
    <x v="1"/>
    <x v="2"/>
    <n v="12"/>
  </r>
  <r>
    <s v="E046"/>
    <s v="Lisa Baldwin"/>
    <x v="3"/>
    <x v="0"/>
    <n v="77429"/>
    <d v="2018-06-29T00:00:00"/>
    <x v="6"/>
    <x v="2"/>
    <n v="10"/>
    <n v="7742.9"/>
    <n v="85171.9"/>
    <x v="5"/>
    <x v="0"/>
    <x v="1"/>
    <x v="2"/>
    <n v="12"/>
  </r>
  <r>
    <s v="E047"/>
    <s v="Mary Davis"/>
    <x v="3"/>
    <x v="0"/>
    <n v="80033"/>
    <d v="2024-12-04T00:00:00"/>
    <x v="2"/>
    <x v="3"/>
    <n v="5"/>
    <n v="4001.65"/>
    <n v="84034.65"/>
    <x v="6"/>
    <x v="0"/>
    <x v="0"/>
    <x v="1"/>
    <n v="12"/>
  </r>
  <r>
    <s v="E048"/>
    <s v="Donna Munoz DDS"/>
    <x v="0"/>
    <x v="0"/>
    <n v="67814"/>
    <d v="2024-07-20T00:00:00"/>
    <x v="9"/>
    <x v="1"/>
    <n v="15"/>
    <n v="10172.1"/>
    <n v="77986.100000000006"/>
    <x v="8"/>
    <x v="1"/>
    <x v="0"/>
    <x v="1"/>
    <n v="12"/>
  </r>
  <r>
    <s v="E049"/>
    <s v="Katelyn Hernandez"/>
    <x v="1"/>
    <x v="1"/>
    <n v="88427"/>
    <d v="2020-04-17T00:00:00"/>
    <x v="3"/>
    <x v="1"/>
    <n v="5"/>
    <n v="4421.3500000000004"/>
    <n v="92848.35"/>
    <x v="3"/>
    <x v="0"/>
    <x v="0"/>
    <x v="1"/>
    <n v="20"/>
  </r>
  <r>
    <s v="E050"/>
    <s v="John Mayer"/>
    <x v="1"/>
    <x v="0"/>
    <n v="50471"/>
    <d v="2024-03-31T00:00:00"/>
    <x v="1"/>
    <x v="3"/>
    <n v="15"/>
    <n v="7570.65"/>
    <n v="58041.65"/>
    <x v="1"/>
    <x v="1"/>
    <x v="0"/>
    <x v="1"/>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69F3E-99C1-4C07-8CE7-CB50F0AA29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
  <location ref="A10:B15" firstHeaderRow="1" firstDataRow="1" firstDataCol="1"/>
  <pivotFields count="16">
    <pivotField showAll="0"/>
    <pivotField showAll="0"/>
    <pivotField axis="axisRow" showAll="0">
      <items count="5">
        <item x="3"/>
        <item x="1"/>
        <item x="2"/>
        <item x="0"/>
        <item t="default"/>
      </items>
    </pivotField>
    <pivotField showAll="0">
      <items count="3">
        <item x="0"/>
        <item x="1"/>
        <item t="default"/>
      </items>
    </pivotField>
    <pivotField dataField="1" numFmtId="2" showAll="0"/>
    <pivotField numFmtId="164" showAll="0"/>
    <pivotField showAll="0"/>
    <pivotField showAll="0"/>
    <pivotField showAll="0"/>
    <pivotField showAll="0"/>
    <pivotField numFmtId="2" showAll="0"/>
    <pivotField showAll="0">
      <items count="10">
        <item x="5"/>
        <item x="6"/>
        <item x="3"/>
        <item x="4"/>
        <item x="7"/>
        <item x="0"/>
        <item x="8"/>
        <item x="2"/>
        <item x="1"/>
        <item t="default"/>
      </items>
    </pivotField>
    <pivotField showAll="0">
      <items count="3">
        <item x="0"/>
        <item x="1"/>
        <item t="default"/>
      </items>
    </pivotField>
    <pivotField showAll="0">
      <items count="3">
        <item x="1"/>
        <item x="0"/>
        <item t="default"/>
      </items>
    </pivotField>
    <pivotField showAll="0">
      <items count="4">
        <item x="2"/>
        <item x="0"/>
        <item x="1"/>
        <item t="default"/>
      </items>
    </pivotField>
    <pivotField showAll="0"/>
  </pivotFields>
  <rowFields count="1">
    <field x="2"/>
  </rowFields>
  <rowItems count="5">
    <i>
      <x/>
    </i>
    <i>
      <x v="1"/>
    </i>
    <i>
      <x v="2"/>
    </i>
    <i>
      <x v="3"/>
    </i>
    <i t="grand">
      <x/>
    </i>
  </rowItems>
  <colItems count="1">
    <i/>
  </colItems>
  <dataFields count="1">
    <dataField name="Sum of Salary ($)" fld="4" baseField="0" baseItem="0" numFmtId="2"/>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2E6325-0F8E-446D-8DB2-6AA261E9A9E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epartment">
  <location ref="D1:J6" firstHeaderRow="1" firstDataRow="2" firstDataCol="1"/>
  <pivotFields count="16">
    <pivotField showAll="0" defaultSubtotal="0"/>
    <pivotField showAll="0" defaultSubtotal="0"/>
    <pivotField axis="axisRow" showAll="0" defaultSubtotal="0">
      <items count="4">
        <item x="3"/>
        <item x="1"/>
        <item x="2"/>
        <item x="0"/>
      </items>
    </pivotField>
    <pivotField showAll="0" defaultSubtotal="0">
      <items count="2">
        <item x="0"/>
        <item x="1"/>
      </items>
    </pivotField>
    <pivotField numFmtId="2" showAll="0" defaultSubtotal="0"/>
    <pivotField numFmtId="164" showAll="0" defaultSubtotal="0"/>
    <pivotField showAll="0" defaultSubtotal="0"/>
    <pivotField axis="axisCol" dataField="1" showAll="0" defaultSubtotal="0">
      <items count="5">
        <item x="1"/>
        <item x="3"/>
        <item x="0"/>
        <item x="4"/>
        <item x="2"/>
      </items>
    </pivotField>
    <pivotField showAll="0" defaultSubtotal="0"/>
    <pivotField showAll="0" defaultSubtotal="0"/>
    <pivotField numFmtId="2" showAll="0" defaultSubtotal="0"/>
    <pivotField showAll="0" defaultSubtotal="0">
      <items count="9">
        <item x="5"/>
        <item x="6"/>
        <item x="3"/>
        <item x="4"/>
        <item x="7"/>
        <item x="0"/>
        <item x="8"/>
        <item x="2"/>
        <item x="1"/>
      </items>
    </pivotField>
    <pivotField showAll="0" defaultSubtotal="0">
      <items count="2">
        <item x="0"/>
        <item x="1"/>
      </items>
    </pivotField>
    <pivotField showAll="0" defaultSubtotal="0">
      <items count="2">
        <item x="1"/>
        <item x="0"/>
      </items>
    </pivotField>
    <pivotField showAll="0" defaultSubtotal="0">
      <items count="3">
        <item x="2"/>
        <item x="0"/>
        <item x="1"/>
      </items>
    </pivotField>
    <pivotField showAll="0" defaultSubtotal="0"/>
  </pivotFields>
  <rowFields count="1">
    <field x="2"/>
  </rowFields>
  <rowItems count="4">
    <i>
      <x/>
    </i>
    <i>
      <x v="1"/>
    </i>
    <i>
      <x v="2"/>
    </i>
    <i>
      <x v="3"/>
    </i>
  </rowItems>
  <colFields count="1">
    <field x="7"/>
  </colFields>
  <colItems count="6">
    <i>
      <x/>
    </i>
    <i>
      <x v="1"/>
    </i>
    <i>
      <x v="2"/>
    </i>
    <i>
      <x v="3"/>
    </i>
    <i>
      <x v="4"/>
    </i>
    <i t="grand">
      <x/>
    </i>
  </colItems>
  <dataFields count="1">
    <dataField name="Count of Performance Rating" fld="7" subtotal="count" baseField="2"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4" format="10" series="1">
      <pivotArea type="data" outline="0" fieldPosition="0">
        <references count="2">
          <reference field="4294967294" count="1" selected="0">
            <x v="0"/>
          </reference>
          <reference field="7" count="1" selected="0">
            <x v="0"/>
          </reference>
        </references>
      </pivotArea>
    </chartFormat>
    <chartFormat chart="4" format="11" series="1">
      <pivotArea type="data" outline="0" fieldPosition="0">
        <references count="2">
          <reference field="4294967294" count="1" selected="0">
            <x v="0"/>
          </reference>
          <reference field="7" count="1" selected="0">
            <x v="1"/>
          </reference>
        </references>
      </pivotArea>
    </chartFormat>
    <chartFormat chart="4" format="12" series="1">
      <pivotArea type="data" outline="0" fieldPosition="0">
        <references count="2">
          <reference field="4294967294" count="1" selected="0">
            <x v="0"/>
          </reference>
          <reference field="7" count="1" selected="0">
            <x v="2"/>
          </reference>
        </references>
      </pivotArea>
    </chartFormat>
    <chartFormat chart="4" format="13" series="1">
      <pivotArea type="data" outline="0" fieldPosition="0">
        <references count="2">
          <reference field="4294967294" count="1" selected="0">
            <x v="0"/>
          </reference>
          <reference field="7" count="1" selected="0">
            <x v="3"/>
          </reference>
        </references>
      </pivotArea>
    </chartFormat>
    <chartFormat chart="4"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8F525F-FB8B-4281-AA69-3286C35B31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location ref="A1:B6" firstHeaderRow="1" firstDataRow="1" firstDataCol="1"/>
  <pivotFields count="16">
    <pivotField showAll="0"/>
    <pivotField showAll="0"/>
    <pivotField axis="axisRow" showAll="0">
      <items count="5">
        <item x="3"/>
        <item x="1"/>
        <item x="2"/>
        <item x="0"/>
        <item t="default"/>
      </items>
    </pivotField>
    <pivotField dataField="1" showAll="0">
      <items count="3">
        <item x="0"/>
        <item x="1"/>
        <item t="default"/>
      </items>
    </pivotField>
    <pivotField numFmtId="2" showAll="0"/>
    <pivotField numFmtId="164" showAll="0"/>
    <pivotField showAll="0"/>
    <pivotField showAll="0">
      <items count="6">
        <item x="1"/>
        <item x="3"/>
        <item x="0"/>
        <item x="4"/>
        <item x="2"/>
        <item t="default"/>
      </items>
    </pivotField>
    <pivotField showAll="0"/>
    <pivotField showAll="0"/>
    <pivotField numFmtId="2" showAll="0"/>
    <pivotField showAll="0">
      <items count="10">
        <item x="5"/>
        <item x="6"/>
        <item x="3"/>
        <item x="4"/>
        <item x="7"/>
        <item x="0"/>
        <item x="8"/>
        <item x="2"/>
        <item x="1"/>
        <item t="default"/>
      </items>
    </pivotField>
    <pivotField showAll="0">
      <items count="3">
        <item x="0"/>
        <item x="1"/>
        <item t="default"/>
      </items>
    </pivotField>
    <pivotField showAll="0">
      <items count="3">
        <item x="1"/>
        <item x="0"/>
        <item t="default"/>
      </items>
    </pivotField>
    <pivotField showAll="0">
      <items count="4">
        <item x="2"/>
        <item x="0"/>
        <item x="1"/>
        <item t="default"/>
      </items>
    </pivotField>
    <pivotField showAll="0"/>
  </pivotFields>
  <rowFields count="1">
    <field x="2"/>
  </rowFields>
  <rowItems count="5">
    <i>
      <x/>
    </i>
    <i>
      <x v="1"/>
    </i>
    <i>
      <x v="2"/>
    </i>
    <i>
      <x v="3"/>
    </i>
    <i t="grand">
      <x/>
    </i>
  </rowItems>
  <colItems count="1">
    <i/>
  </colItems>
  <dataFields count="1">
    <dataField name="Count of Gender"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DF6557-386B-4976-A028-A600484CFE2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3" firstHeaderRow="1" firstDataRow="1" firstDataCol="1" rowPageCount="1" colPageCount="1"/>
  <pivotFields count="16">
    <pivotField showAll="0"/>
    <pivotField showAll="0"/>
    <pivotField showAll="0">
      <items count="5">
        <item x="3"/>
        <item x="1"/>
        <item x="2"/>
        <item x="0"/>
        <item t="default"/>
      </items>
    </pivotField>
    <pivotField showAll="0">
      <items count="3">
        <item x="0"/>
        <item x="1"/>
        <item t="default"/>
      </items>
    </pivotField>
    <pivotField numFmtId="2" showAll="0"/>
    <pivotField numFmtId="164" showAll="0"/>
    <pivotField showAll="0"/>
    <pivotField showAll="0"/>
    <pivotField showAll="0"/>
    <pivotField showAll="0"/>
    <pivotField numFmtId="2" showAll="0"/>
    <pivotField showAll="0">
      <items count="10">
        <item x="5"/>
        <item x="6"/>
        <item x="3"/>
        <item x="4"/>
        <item x="7"/>
        <item x="0"/>
        <item x="8"/>
        <item x="2"/>
        <item x="1"/>
        <item t="default"/>
      </items>
    </pivotField>
    <pivotField axis="axisPage" showAll="0">
      <items count="3">
        <item x="0"/>
        <item x="1"/>
        <item t="default"/>
      </items>
    </pivotField>
    <pivotField dataField="1" showAll="0">
      <items count="3">
        <item x="1"/>
        <item x="0"/>
        <item t="default"/>
      </items>
    </pivotField>
    <pivotField axis="axisRow" showAll="0">
      <items count="4">
        <item x="2"/>
        <item x="0"/>
        <item x="1"/>
        <item t="default"/>
      </items>
    </pivotField>
    <pivotField showAll="0"/>
  </pivotFields>
  <rowFields count="1">
    <field x="14"/>
  </rowFields>
  <rowItems count="4">
    <i>
      <x/>
    </i>
    <i>
      <x v="1"/>
    </i>
    <i>
      <x v="2"/>
    </i>
    <i t="grand">
      <x/>
    </i>
  </rowItems>
  <colItems count="1">
    <i/>
  </colItems>
  <pageFields count="1">
    <pageField fld="12" hier="-1"/>
  </pageFields>
  <dataFields count="1">
    <dataField name="Count of Bonus Eligibility"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A09EEC-62E4-4C02-902F-32750619A9E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1:O12" firstHeaderRow="1" firstDataRow="2" firstDataCol="1"/>
  <pivotFields count="16">
    <pivotField showAll="0"/>
    <pivotField showAll="0"/>
    <pivotField showAll="0">
      <items count="5">
        <item x="3"/>
        <item x="1"/>
        <item x="2"/>
        <item x="0"/>
        <item t="default"/>
      </items>
    </pivotField>
    <pivotField axis="axisCol" dataField="1" showAll="0">
      <items count="3">
        <item x="0"/>
        <item x="1"/>
        <item t="default"/>
      </items>
    </pivotField>
    <pivotField numFmtId="2" showAll="0"/>
    <pivotField numFmtId="164" showAll="0"/>
    <pivotField showAll="0"/>
    <pivotField showAll="0"/>
    <pivotField showAll="0"/>
    <pivotField showAll="0"/>
    <pivotField numFmtId="2" showAll="0"/>
    <pivotField axis="axisRow" showAll="0">
      <items count="10">
        <item x="5"/>
        <item x="6"/>
        <item x="3"/>
        <item x="4"/>
        <item x="7"/>
        <item x="0"/>
        <item x="8"/>
        <item x="2"/>
        <item x="1"/>
        <item t="default"/>
      </items>
    </pivotField>
    <pivotField showAll="0">
      <items count="3">
        <item x="0"/>
        <item x="1"/>
        <item t="default"/>
      </items>
    </pivotField>
    <pivotField showAll="0">
      <items count="3">
        <item x="1"/>
        <item x="0"/>
        <item t="default"/>
      </items>
    </pivotField>
    <pivotField showAll="0">
      <items count="4">
        <item x="2"/>
        <item x="0"/>
        <item x="1"/>
        <item t="default"/>
      </items>
    </pivotField>
    <pivotField showAll="0"/>
  </pivotFields>
  <rowFields count="1">
    <field x="11"/>
  </rowFields>
  <rowItems count="10">
    <i>
      <x/>
    </i>
    <i>
      <x v="1"/>
    </i>
    <i>
      <x v="2"/>
    </i>
    <i>
      <x v="3"/>
    </i>
    <i>
      <x v="4"/>
    </i>
    <i>
      <x v="5"/>
    </i>
    <i>
      <x v="6"/>
    </i>
    <i>
      <x v="7"/>
    </i>
    <i>
      <x v="8"/>
    </i>
    <i t="grand">
      <x/>
    </i>
  </rowItems>
  <colFields count="1">
    <field x="3"/>
  </colFields>
  <colItems count="3">
    <i>
      <x/>
    </i>
    <i>
      <x v="1"/>
    </i>
    <i t="grand">
      <x/>
    </i>
  </colItems>
  <dataFields count="1">
    <dataField name="Count of Gender"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8962B7-C5DC-4EBB-A971-FF3244BC498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0:E13" firstHeaderRow="1" firstDataRow="1" firstDataCol="1" rowPageCount="1" colPageCount="1"/>
  <pivotFields count="16">
    <pivotField showAll="0"/>
    <pivotField showAll="0"/>
    <pivotField showAll="0">
      <items count="5">
        <item x="3"/>
        <item x="1"/>
        <item x="2"/>
        <item x="0"/>
        <item t="default"/>
      </items>
    </pivotField>
    <pivotField axis="axisRow" showAll="0">
      <items count="3">
        <item x="0"/>
        <item x="1"/>
        <item t="default"/>
      </items>
    </pivotField>
    <pivotField numFmtId="2" showAll="0"/>
    <pivotField numFmtId="164" showAll="0"/>
    <pivotField showAll="0"/>
    <pivotField showAll="0"/>
    <pivotField showAll="0"/>
    <pivotField showAll="0"/>
    <pivotField dataField="1" numFmtId="2" showAll="0"/>
    <pivotField showAll="0">
      <items count="10">
        <item x="5"/>
        <item x="6"/>
        <item x="3"/>
        <item x="4"/>
        <item x="7"/>
        <item x="0"/>
        <item x="8"/>
        <item x="2"/>
        <item x="1"/>
        <item t="default"/>
      </items>
    </pivotField>
    <pivotField showAll="0">
      <items count="3">
        <item x="0"/>
        <item x="1"/>
        <item t="default"/>
      </items>
    </pivotField>
    <pivotField axis="axisPage" showAll="0">
      <items count="3">
        <item x="1"/>
        <item x="0"/>
        <item t="default"/>
      </items>
    </pivotField>
    <pivotField showAll="0">
      <items count="4">
        <item x="2"/>
        <item x="0"/>
        <item x="1"/>
        <item t="default"/>
      </items>
    </pivotField>
    <pivotField showAll="0"/>
  </pivotFields>
  <rowFields count="1">
    <field x="3"/>
  </rowFields>
  <rowItems count="3">
    <i>
      <x/>
    </i>
    <i>
      <x v="1"/>
    </i>
    <i t="grand">
      <x/>
    </i>
  </rowItems>
  <colItems count="1">
    <i/>
  </colItems>
  <pageFields count="1">
    <pageField fld="13" hier="-1"/>
  </pageFields>
  <dataFields count="1">
    <dataField name="Sum of Salary + Bonus" fld="10" baseField="0" baseItem="0" numFmtId="2"/>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 count="1" selected="0">
            <x v="0"/>
          </reference>
        </references>
      </pivotArea>
    </chartFormat>
    <chartFormat chart="6"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A48528E-B723-4408-A64B-48FE0FA1A2FE}" sourceName="Department">
  <pivotTables>
    <pivotTable tabId="7" name="PivotTable1"/>
    <pivotTable tabId="7" name="PivotTable2"/>
    <pivotTable tabId="7" name="PivotTable3"/>
    <pivotTable tabId="7" name="PivotTable4"/>
    <pivotTable tabId="7" name="PivotTable5"/>
    <pivotTable tabId="7" name="PivotTable6"/>
  </pivotTables>
  <data>
    <tabular pivotCacheId="1339560996">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87FE82-2356-459F-89BC-550088F3BBE5}" sourceName="Gender">
  <pivotTables>
    <pivotTable tabId="7" name="PivotTable1"/>
    <pivotTable tabId="7" name="PivotTable2"/>
    <pivotTable tabId="7" name="PivotTable3"/>
    <pivotTable tabId="7" name="PivotTable4"/>
    <pivotTable tabId="7" name="PivotTable5"/>
    <pivotTable tabId="7" name="PivotTable6"/>
  </pivotTables>
  <data>
    <tabular pivotCacheId="133956099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A0769C5F-6986-41CE-8C81-B3E756216E8F}" sourceName="Job Title">
  <pivotTables>
    <pivotTable tabId="7" name="PivotTable1"/>
    <pivotTable tabId="7" name="PivotTable2"/>
    <pivotTable tabId="7" name="PivotTable3"/>
    <pivotTable tabId="7" name="PivotTable4"/>
    <pivotTable tabId="7" name="PivotTable5"/>
    <pivotTable tabId="7" name="PivotTable6"/>
  </pivotTables>
  <data>
    <tabular pivotCacheId="1339560996">
      <items count="9">
        <i x="5" s="1"/>
        <i x="6" s="1"/>
        <i x="3" s="1"/>
        <i x="4" s="1"/>
        <i x="7" s="1"/>
        <i x="0" s="1"/>
        <i x="8"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__performance" xr10:uid="{9667891E-AA54-4210-B705-5B6DA4B94C82}" sourceName="Employees' performance">
  <pivotTables>
    <pivotTable tabId="7" name="PivotTable1"/>
    <pivotTable tabId="7" name="PivotTable2"/>
    <pivotTable tabId="7" name="PivotTable3"/>
    <pivotTable tabId="7" name="PivotTable4"/>
    <pivotTable tabId="7" name="PivotTable5"/>
    <pivotTable tabId="7" name="PivotTable6"/>
  </pivotTables>
  <data>
    <tabular pivotCacheId="1339560996">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category" xr10:uid="{9ACF4DD6-8320-477E-BB92-35775C92395F}" sourceName="Salary category">
  <pivotTables>
    <pivotTable tabId="7" name="PivotTable1"/>
    <pivotTable tabId="7" name="PivotTable2"/>
    <pivotTable tabId="7" name="PivotTable3"/>
    <pivotTable tabId="7" name="PivotTable4"/>
    <pivotTable tabId="7" name="PivotTable5"/>
    <pivotTable tabId="7" name="PivotTable6"/>
  </pivotTables>
  <data>
    <tabular pivotCacheId="1339560996">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nus_Eligibility" xr10:uid="{77DD2E49-5F34-47F1-B431-58CD2A566EA9}" sourceName="Bonus Eligibility">
  <pivotTables>
    <pivotTable tabId="7" name="PivotTable1"/>
    <pivotTable tabId="7" name="PivotTable2"/>
    <pivotTable tabId="7" name="PivotTable3"/>
    <pivotTable tabId="7" name="PivotTable4"/>
    <pivotTable tabId="7" name="PivotTable5"/>
    <pivotTable tabId="7" name="PivotTable6"/>
  </pivotTables>
  <data>
    <tabular pivotCacheId="13395609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CF02A40-34F4-4A8E-B30A-2E8E5121124C}" cache="Slicer_Department" caption="Department" rowHeight="234950"/>
  <slicer name="Gender" xr10:uid="{EB6B4807-14E5-4810-A037-009A8403A1F2}" cache="Slicer_Gender" caption="Gender" rowHeight="234950"/>
  <slicer name="Job Title" xr10:uid="{9FCA0220-5991-4E3B-A86C-158FEF051632}" cache="Slicer_Job_Title" caption="Job Title" rowHeight="234950"/>
  <slicer name="Employees' performance" xr10:uid="{D49666EA-1B42-4C1B-BC70-976DE1C3F542}" cache="Slicer_Employees__performance" caption="Employees' performance" rowHeight="234950"/>
  <slicer name="Salary category" xr10:uid="{C350F79A-49ED-4B9D-9F89-0B6D238A1ADC}" cache="Slicer_Salary_category" caption="Salary category" rowHeight="234950"/>
  <slicer name="Bonus Eligibility" xr10:uid="{B42C6805-97E8-45C7-91E4-FAC176106199}" cache="Slicer_Bonus_Eligibility" caption="Bonus Eligibil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A927F8-0F69-4860-B0C0-2F9C7E0EEE07}" name="Table2" displayName="Table2" ref="A1:P51" totalsRowShown="0" headerRowDxfId="17">
  <autoFilter ref="A1:P51" xr:uid="{9BA927F8-0F69-4860-B0C0-2F9C7E0EEE07}"/>
  <tableColumns count="16">
    <tableColumn id="1" xr3:uid="{A7877937-37A3-4AB9-A370-9FB1E1C33F1E}" name="Employee ID"/>
    <tableColumn id="2" xr3:uid="{CCB68BE3-4A73-40F4-BFBB-4050CCA4501F}" name="Name"/>
    <tableColumn id="3" xr3:uid="{0131B372-1D96-4912-9C3B-946E1B9F3DB2}" name="Department"/>
    <tableColumn id="4" xr3:uid="{253990AB-6DC6-49F5-AF5D-36DE3274D32F}" name="Gender"/>
    <tableColumn id="5" xr3:uid="{255F624F-8C2F-40DF-B651-4ACC76075C3A}" name="Salary ($)" dataDxfId="16"/>
    <tableColumn id="6" xr3:uid="{957BF7CD-4443-4F0D-983C-46309C52AE30}" name="Hire Date" dataDxfId="15"/>
    <tableColumn id="17" xr3:uid="{8D18EB66-8084-4731-A333-38013199545B}" name="Month of joining " dataDxfId="14">
      <calculatedColumnFormula>TEXT(Table2[[#This Row],[Hire Date]],"MM")</calculatedColumnFormula>
    </tableColumn>
    <tableColumn id="7" xr3:uid="{F36192D3-98A9-4BC6-93DF-CE66643755AB}" name="Performance Rating"/>
    <tableColumn id="8" xr3:uid="{2170127C-BA89-4945-AB8B-FD3B6D9A0946}" name="Bonus (%)"/>
    <tableColumn id="9" xr3:uid="{0061AECF-F77D-4723-A95D-E461965A958B}" name="Bonus Amount">
      <calculatedColumnFormula>E2*I2/100</calculatedColumnFormula>
    </tableColumn>
    <tableColumn id="10" xr3:uid="{3AFB2BBA-7C63-4EAA-9609-34471B8A0326}" name="Salary + Bonus" dataDxfId="13">
      <calculatedColumnFormula>E2+J2</calculatedColumnFormula>
    </tableColumn>
    <tableColumn id="11" xr3:uid="{F997AE94-F75A-47FC-B34F-02D231AEB41F}" name="Job Title"/>
    <tableColumn id="12" xr3:uid="{14F925FD-C6A6-4BA8-AE74-7284CD11FDAA}" name="Salary category">
      <calculatedColumnFormula>IF(E2&gt;(AVERAGE($E$2:$E$51)),"Above average","Below Average")</calculatedColumnFormula>
    </tableColumn>
    <tableColumn id="13" xr3:uid="{354BF9BD-BC6A-4F4D-9944-02D5B46C077F}" name="Bonus Eligibility">
      <calculatedColumnFormula>IF(AND(E2&gt;60000,H2&gt;=4),"Eligible for bonus","Not eligible for bonus")</calculatedColumnFormula>
    </tableColumn>
    <tableColumn id="14" xr3:uid="{F7381047-2081-4C66-902D-201C83B4C6E0}" name="Employees' performance">
      <calculatedColumnFormula>_xlfn.IFS(H2 = 5,"Excellent",H2 = 4,"Excellent",H2 = 3,"Good",H2 = 2, "Needs 
Improvement",H2 = 1,"Needs 
Improvement")</calculatedColumnFormula>
    </tableColumn>
    <tableColumn id="15" xr3:uid="{81CCB1C1-BC81-49D5-AACD-5EFEE6D0D341}" name="Total paid leaves">
      <calculatedColumnFormula>VLOOKUP(L2,'Paid leave'!B:C,2,0)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6D7F44-9CB3-47F4-8473-F3656F60FCAE}" name="Table4" displayName="Table4" ref="R7:T10" totalsRowShown="0" headerRowDxfId="12">
  <autoFilter ref="R7:T10" xr:uid="{7F6D7F44-9CB3-47F4-8473-F3656F60FCAE}"/>
  <tableColumns count="3">
    <tableColumn id="1" xr3:uid="{0599094D-004E-4E65-8DC2-3CD0C20178B4}" name="Employees Performance "/>
    <tableColumn id="2" xr3:uid="{BF333CEA-6F3A-4F21-BE2A-D55D5BB21FA5}" name="Count"/>
    <tableColumn id="3" xr3:uid="{7C343D60-7A39-467A-B07E-C3FB6389D45B}" name="Percentage" dataDxfId="11">
      <calculatedColumnFormula>(S8/50)*100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7CC89A6-95A9-48F2-951D-BB17FC601F10}" name="Table5" displayName="Table5" ref="R13:T18" totalsRowShown="0">
  <autoFilter ref="R13:T18" xr:uid="{67CC89A6-95A9-48F2-951D-BB17FC601F10}"/>
  <tableColumns count="3">
    <tableColumn id="1" xr3:uid="{71DDFC7A-39A2-456A-9391-8F1DBB19C2CE}" name="Employees Ratings"/>
    <tableColumn id="2" xr3:uid="{5E2C517E-03FD-4F01-839D-1A87741F0EC5}" name="Count"/>
    <tableColumn id="3" xr3:uid="{49BA6B5B-0E99-4CC7-8351-58AC7456D0E7}" name="Percentage">
      <calculatedColumnFormula>(S14/50)*100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1"/>
  <sheetViews>
    <sheetView topLeftCell="H1" zoomScaleNormal="100" workbookViewId="0">
      <selection activeCell="Q12" sqref="Q12"/>
    </sheetView>
  </sheetViews>
  <sheetFormatPr defaultRowHeight="14.4" x14ac:dyDescent="0.3"/>
  <cols>
    <col min="1" max="1" width="16" bestFit="1" customWidth="1"/>
    <col min="2" max="2" width="20" bestFit="1" customWidth="1"/>
    <col min="3" max="3" width="15.5546875" bestFit="1" customWidth="1"/>
    <col min="4" max="4" width="11.5546875" bestFit="1" customWidth="1"/>
    <col min="5" max="5" width="13.33203125" bestFit="1" customWidth="1"/>
    <col min="6" max="6" width="13.109375" bestFit="1" customWidth="1"/>
    <col min="7" max="7" width="20.21875" bestFit="1" customWidth="1"/>
    <col min="8" max="8" width="22.33203125" bestFit="1" customWidth="1"/>
    <col min="9" max="9" width="13.88671875" bestFit="1" customWidth="1"/>
    <col min="10" max="10" width="18.109375" bestFit="1" customWidth="1"/>
    <col min="11" max="11" width="17.77734375" bestFit="1" customWidth="1"/>
    <col min="12" max="12" width="16" bestFit="1" customWidth="1"/>
    <col min="13" max="13" width="18.44140625" bestFit="1" customWidth="1"/>
    <col min="14" max="14" width="18.6640625" bestFit="1" customWidth="1"/>
    <col min="15" max="15" width="26.6640625" bestFit="1" customWidth="1"/>
    <col min="16" max="16" width="19.5546875" bestFit="1" customWidth="1"/>
    <col min="17" max="17" width="16.109375" bestFit="1" customWidth="1"/>
    <col min="18" max="18" width="33.21875" customWidth="1"/>
    <col min="19" max="19" width="10.44140625" customWidth="1"/>
    <col min="20" max="20" width="12.33203125" customWidth="1"/>
    <col min="21" max="21" width="25.44140625" customWidth="1"/>
    <col min="22" max="22" width="10.88671875" customWidth="1"/>
    <col min="23" max="23" width="0.109375" hidden="1" customWidth="1"/>
  </cols>
  <sheetData>
    <row r="1" spans="1:23" x14ac:dyDescent="0.3">
      <c r="A1" s="11" t="s">
        <v>0</v>
      </c>
      <c r="B1" s="11" t="s">
        <v>1</v>
      </c>
      <c r="C1" s="11" t="s">
        <v>2</v>
      </c>
      <c r="D1" s="11" t="s">
        <v>3</v>
      </c>
      <c r="E1" s="11" t="s">
        <v>4</v>
      </c>
      <c r="F1" s="12" t="s">
        <v>5</v>
      </c>
      <c r="G1" s="12" t="s">
        <v>136</v>
      </c>
      <c r="H1" s="11" t="s">
        <v>6</v>
      </c>
      <c r="I1" s="11" t="s">
        <v>7</v>
      </c>
      <c r="J1" s="13" t="s">
        <v>134</v>
      </c>
      <c r="K1" s="13" t="s">
        <v>135</v>
      </c>
      <c r="L1" s="14" t="s">
        <v>8</v>
      </c>
      <c r="M1" s="16" t="s">
        <v>130</v>
      </c>
      <c r="N1" s="17" t="s">
        <v>131</v>
      </c>
      <c r="O1" s="17" t="s">
        <v>132</v>
      </c>
      <c r="P1" s="15" t="s">
        <v>133</v>
      </c>
      <c r="Q1" s="6"/>
    </row>
    <row r="2" spans="1:23" x14ac:dyDescent="0.3">
      <c r="A2" t="s">
        <v>9</v>
      </c>
      <c r="B2" t="s">
        <v>10</v>
      </c>
      <c r="C2" t="s">
        <v>11</v>
      </c>
      <c r="D2" t="s">
        <v>12</v>
      </c>
      <c r="E2" s="2">
        <v>91251</v>
      </c>
      <c r="F2" s="3">
        <v>44486</v>
      </c>
      <c r="G2" s="3" t="str">
        <f>TEXT(Table2[[#This Row],[Hire Date]],"MM")</f>
        <v>10</v>
      </c>
      <c r="H2">
        <v>3</v>
      </c>
      <c r="I2">
        <v>5</v>
      </c>
      <c r="J2">
        <f t="shared" ref="J2:J33" si="0">E2*I2/100</f>
        <v>4562.55</v>
      </c>
      <c r="K2" s="2">
        <f t="shared" ref="K2:K33" si="1">E2+J2</f>
        <v>95813.55</v>
      </c>
      <c r="L2" t="s">
        <v>13</v>
      </c>
      <c r="M2" t="str">
        <f t="shared" ref="M2:M33" si="2">IF(E2&gt;(AVERAGE($E$2:$E$51)),"Above average","Below Average")</f>
        <v>Above average</v>
      </c>
      <c r="N2" t="str">
        <f t="shared" ref="N2:N33" si="3">IF(AND(E2&gt;60000,H2&gt;=4),"Eligible for bonus","Not eligible for bonus")</f>
        <v>Not eligible for bonus</v>
      </c>
      <c r="O2" t="str">
        <f>_xlfn.IFS(H2 = 5,"Excellent",H2 = 4,"Excellent",H2 = 3,"Good",H2 = 2, "Needs 
Improvement",H2 = 1,"Needs 
Improvement")</f>
        <v>Good</v>
      </c>
      <c r="P2">
        <f>VLOOKUP(L2,'Paid leave'!B:C,2,0)</f>
        <v>12</v>
      </c>
      <c r="R2" s="4" t="s">
        <v>125</v>
      </c>
      <c r="S2">
        <f>COUNTIF(A2:A51,"*")</f>
        <v>50</v>
      </c>
      <c r="U2" s="5" t="s">
        <v>129</v>
      </c>
      <c r="W2" s="4"/>
    </row>
    <row r="3" spans="1:23" x14ac:dyDescent="0.3">
      <c r="A3" t="s">
        <v>14</v>
      </c>
      <c r="B3" t="s">
        <v>15</v>
      </c>
      <c r="C3" t="s">
        <v>16</v>
      </c>
      <c r="D3" t="s">
        <v>12</v>
      </c>
      <c r="E3" s="2">
        <v>50816</v>
      </c>
      <c r="F3" s="3">
        <v>44998</v>
      </c>
      <c r="G3" s="3" t="str">
        <f>TEXT(Table2[[#This Row],[Hire Date]],"MM")</f>
        <v>03</v>
      </c>
      <c r="H3">
        <v>1</v>
      </c>
      <c r="I3">
        <v>7</v>
      </c>
      <c r="J3">
        <f t="shared" si="0"/>
        <v>3557.12</v>
      </c>
      <c r="K3" s="2">
        <f t="shared" si="1"/>
        <v>54373.120000000003</v>
      </c>
      <c r="L3" t="s">
        <v>17</v>
      </c>
      <c r="M3" t="str">
        <f t="shared" si="2"/>
        <v>Below Average</v>
      </c>
      <c r="N3" t="str">
        <f t="shared" si="3"/>
        <v>Not eligible for bonus</v>
      </c>
      <c r="O3" t="str">
        <f t="shared" ref="O3:O51" si="4">_xlfn.IFS(H3 = 5,"Excellent",H3 = 4,"Excellent",H3 = 3,"Good",H3 = 2, "Needs 
Improvement",H3 = 1,"Needs 
Improvement")</f>
        <v>Needs 
Improvement</v>
      </c>
      <c r="P3">
        <f>VLOOKUP(L3,'Paid leave'!B:C,2,0)</f>
        <v>15</v>
      </c>
      <c r="R3" s="4" t="s">
        <v>126</v>
      </c>
      <c r="S3" s="2">
        <f>AVERAGE(E2:E51)</f>
        <v>73606.94</v>
      </c>
      <c r="U3" t="s">
        <v>11</v>
      </c>
      <c r="V3">
        <f>COUNTIF(C2:C51,C2)</f>
        <v>14</v>
      </c>
    </row>
    <row r="4" spans="1:23" x14ac:dyDescent="0.3">
      <c r="A4" t="s">
        <v>18</v>
      </c>
      <c r="B4" t="s">
        <v>19</v>
      </c>
      <c r="C4" t="s">
        <v>16</v>
      </c>
      <c r="D4" t="s">
        <v>20</v>
      </c>
      <c r="E4" s="2">
        <v>54534</v>
      </c>
      <c r="F4" s="3">
        <v>44495</v>
      </c>
      <c r="G4" s="3" t="str">
        <f>TEXT(Table2[[#This Row],[Hire Date]],"MM")</f>
        <v>10</v>
      </c>
      <c r="H4">
        <v>1</v>
      </c>
      <c r="I4">
        <v>12</v>
      </c>
      <c r="J4">
        <f t="shared" si="0"/>
        <v>6544.08</v>
      </c>
      <c r="K4" s="2">
        <f t="shared" si="1"/>
        <v>61078.080000000002</v>
      </c>
      <c r="L4" t="s">
        <v>21</v>
      </c>
      <c r="M4" t="str">
        <f t="shared" si="2"/>
        <v>Below Average</v>
      </c>
      <c r="N4" t="str">
        <f t="shared" si="3"/>
        <v>Not eligible for bonus</v>
      </c>
      <c r="O4" t="str">
        <f t="shared" si="4"/>
        <v>Needs 
Improvement</v>
      </c>
      <c r="P4">
        <f>VLOOKUP(L4,'Paid leave'!B:C,2,0)</f>
        <v>18</v>
      </c>
      <c r="R4" s="4" t="s">
        <v>127</v>
      </c>
      <c r="S4" s="2">
        <f>MIN(E2:E51)</f>
        <v>41254</v>
      </c>
      <c r="U4" t="s">
        <v>27</v>
      </c>
      <c r="V4">
        <f>COUNTIF(C2:C51,C6)</f>
        <v>9</v>
      </c>
    </row>
    <row r="5" spans="1:23" x14ac:dyDescent="0.3">
      <c r="A5" t="s">
        <v>22</v>
      </c>
      <c r="B5" t="s">
        <v>23</v>
      </c>
      <c r="C5" t="s">
        <v>16</v>
      </c>
      <c r="D5" t="s">
        <v>20</v>
      </c>
      <c r="E5" s="2">
        <v>85829</v>
      </c>
      <c r="F5" s="3">
        <v>42347</v>
      </c>
      <c r="G5" s="3" t="str">
        <f>TEXT(Table2[[#This Row],[Hire Date]],"MM")</f>
        <v>12</v>
      </c>
      <c r="H5">
        <v>5</v>
      </c>
      <c r="I5">
        <v>7</v>
      </c>
      <c r="J5">
        <f t="shared" si="0"/>
        <v>6008.03</v>
      </c>
      <c r="K5" s="2">
        <f t="shared" si="1"/>
        <v>91837.03</v>
      </c>
      <c r="L5" t="s">
        <v>24</v>
      </c>
      <c r="M5" t="str">
        <f t="shared" si="2"/>
        <v>Above average</v>
      </c>
      <c r="N5" t="str">
        <f t="shared" si="3"/>
        <v>Eligible for bonus</v>
      </c>
      <c r="O5" t="str">
        <f t="shared" si="4"/>
        <v>Excellent</v>
      </c>
      <c r="P5">
        <f>VLOOKUP(L5,'Paid leave'!B:C,2,0)</f>
        <v>20</v>
      </c>
      <c r="R5" s="4" t="s">
        <v>128</v>
      </c>
      <c r="S5" s="2">
        <f>MAX(E2:E51)</f>
        <v>97467</v>
      </c>
      <c r="U5" t="s">
        <v>16</v>
      </c>
      <c r="V5">
        <f>COUNTIF(C2:C51,C35)</f>
        <v>12</v>
      </c>
    </row>
    <row r="6" spans="1:23" x14ac:dyDescent="0.3">
      <c r="A6" t="s">
        <v>25</v>
      </c>
      <c r="B6" t="s">
        <v>26</v>
      </c>
      <c r="C6" t="s">
        <v>27</v>
      </c>
      <c r="D6" t="s">
        <v>12</v>
      </c>
      <c r="E6" s="2">
        <v>50036</v>
      </c>
      <c r="F6" s="3">
        <v>42098</v>
      </c>
      <c r="G6" s="3" t="str">
        <f>TEXT(Table2[[#This Row],[Hire Date]],"MM")</f>
        <v>04</v>
      </c>
      <c r="H6">
        <v>2</v>
      </c>
      <c r="I6">
        <v>15</v>
      </c>
      <c r="J6">
        <f t="shared" si="0"/>
        <v>7505.4</v>
      </c>
      <c r="K6" s="2">
        <f t="shared" si="1"/>
        <v>57541.4</v>
      </c>
      <c r="L6" t="s">
        <v>28</v>
      </c>
      <c r="M6" t="str">
        <f t="shared" si="2"/>
        <v>Below Average</v>
      </c>
      <c r="N6" t="str">
        <f t="shared" si="3"/>
        <v>Not eligible for bonus</v>
      </c>
      <c r="O6" t="str">
        <f t="shared" si="4"/>
        <v>Needs 
Improvement</v>
      </c>
      <c r="P6">
        <f>VLOOKUP(L6,'Paid leave'!B:C,2,0)</f>
        <v>14</v>
      </c>
      <c r="U6" t="s">
        <v>31</v>
      </c>
      <c r="V6">
        <f>COUNTIF(C2:C51,C37)</f>
        <v>15</v>
      </c>
    </row>
    <row r="7" spans="1:23" x14ac:dyDescent="0.3">
      <c r="A7" t="s">
        <v>29</v>
      </c>
      <c r="B7" t="s">
        <v>30</v>
      </c>
      <c r="C7" t="s">
        <v>31</v>
      </c>
      <c r="D7" t="s">
        <v>12</v>
      </c>
      <c r="E7" s="2">
        <v>92010</v>
      </c>
      <c r="F7" s="3">
        <v>43537</v>
      </c>
      <c r="G7" s="3" t="str">
        <f>TEXT(Table2[[#This Row],[Hire Date]],"MM")</f>
        <v>03</v>
      </c>
      <c r="H7">
        <v>5</v>
      </c>
      <c r="I7">
        <v>15</v>
      </c>
      <c r="J7">
        <f t="shared" si="0"/>
        <v>13801.5</v>
      </c>
      <c r="K7" s="2">
        <f t="shared" si="1"/>
        <v>105811.5</v>
      </c>
      <c r="L7" t="s">
        <v>32</v>
      </c>
      <c r="M7" t="str">
        <f t="shared" si="2"/>
        <v>Above average</v>
      </c>
      <c r="N7" t="str">
        <f t="shared" si="3"/>
        <v>Eligible for bonus</v>
      </c>
      <c r="O7" t="str">
        <f t="shared" si="4"/>
        <v>Excellent</v>
      </c>
      <c r="P7">
        <f>VLOOKUP(L7,'Paid leave'!B:C,2,0)</f>
        <v>12</v>
      </c>
      <c r="R7" s="5" t="s">
        <v>143</v>
      </c>
      <c r="S7" s="5" t="s">
        <v>140</v>
      </c>
      <c r="T7" s="5" t="s">
        <v>141</v>
      </c>
    </row>
    <row r="8" spans="1:23" x14ac:dyDescent="0.3">
      <c r="A8" t="s">
        <v>33</v>
      </c>
      <c r="B8" t="s">
        <v>34</v>
      </c>
      <c r="C8" t="s">
        <v>31</v>
      </c>
      <c r="D8" t="s">
        <v>12</v>
      </c>
      <c r="E8" s="2">
        <v>64048</v>
      </c>
      <c r="F8" s="3">
        <v>45056</v>
      </c>
      <c r="G8" s="3" t="str">
        <f>TEXT(Table2[[#This Row],[Hire Date]],"MM")</f>
        <v>05</v>
      </c>
      <c r="H8">
        <v>2</v>
      </c>
      <c r="I8">
        <v>7</v>
      </c>
      <c r="J8">
        <f t="shared" si="0"/>
        <v>4483.3599999999997</v>
      </c>
      <c r="K8" s="2">
        <f t="shared" si="1"/>
        <v>68531.360000000001</v>
      </c>
      <c r="L8" t="s">
        <v>35</v>
      </c>
      <c r="M8" t="str">
        <f t="shared" si="2"/>
        <v>Below Average</v>
      </c>
      <c r="N8" t="str">
        <f t="shared" si="3"/>
        <v>Not eligible for bonus</v>
      </c>
      <c r="O8" t="str">
        <f t="shared" si="4"/>
        <v>Needs 
Improvement</v>
      </c>
      <c r="P8">
        <f>VLOOKUP(L8,'Paid leave'!B:C,2,0)</f>
        <v>12</v>
      </c>
      <c r="R8" t="s">
        <v>137</v>
      </c>
      <c r="S8">
        <f>COUNTIF(Table2[Employees'' performance],O2)</f>
        <v>13</v>
      </c>
      <c r="T8">
        <f>(S8/50)*100</f>
        <v>26</v>
      </c>
      <c r="U8" s="8"/>
    </row>
    <row r="9" spans="1:23" x14ac:dyDescent="0.3">
      <c r="A9" t="s">
        <v>36</v>
      </c>
      <c r="B9" t="s">
        <v>37</v>
      </c>
      <c r="C9" t="s">
        <v>11</v>
      </c>
      <c r="D9" t="s">
        <v>12</v>
      </c>
      <c r="E9" s="2">
        <v>96840</v>
      </c>
      <c r="F9" s="3">
        <v>42409</v>
      </c>
      <c r="G9" s="3" t="str">
        <f>TEXT(Table2[[#This Row],[Hire Date]],"MM")</f>
        <v>02</v>
      </c>
      <c r="H9">
        <v>4</v>
      </c>
      <c r="I9">
        <v>10</v>
      </c>
      <c r="J9">
        <f t="shared" si="0"/>
        <v>9684</v>
      </c>
      <c r="K9" s="2">
        <f t="shared" si="1"/>
        <v>106524</v>
      </c>
      <c r="L9" t="s">
        <v>13</v>
      </c>
      <c r="M9" t="str">
        <f t="shared" si="2"/>
        <v>Above average</v>
      </c>
      <c r="N9" t="str">
        <f t="shared" si="3"/>
        <v>Eligible for bonus</v>
      </c>
      <c r="O9" t="str">
        <f t="shared" si="4"/>
        <v>Excellent</v>
      </c>
      <c r="P9">
        <f>VLOOKUP(L9,'Paid leave'!B:C,2,0)</f>
        <v>12</v>
      </c>
      <c r="R9" t="s">
        <v>138</v>
      </c>
      <c r="S9">
        <f>COUNTIF(Table2[Employees'' performance],O5)</f>
        <v>19</v>
      </c>
      <c r="T9">
        <f t="shared" ref="T9:T10" si="5">(S9/50)*100</f>
        <v>38</v>
      </c>
    </row>
    <row r="10" spans="1:23" x14ac:dyDescent="0.3">
      <c r="A10" t="s">
        <v>38</v>
      </c>
      <c r="B10" t="s">
        <v>39</v>
      </c>
      <c r="C10" t="s">
        <v>31</v>
      </c>
      <c r="D10" t="s">
        <v>20</v>
      </c>
      <c r="E10" s="2">
        <v>59454</v>
      </c>
      <c r="F10" s="3">
        <v>42648</v>
      </c>
      <c r="G10" s="3" t="str">
        <f>TEXT(Table2[[#This Row],[Hire Date]],"MM")</f>
        <v>10</v>
      </c>
      <c r="H10">
        <v>3</v>
      </c>
      <c r="I10">
        <v>10</v>
      </c>
      <c r="J10">
        <f t="shared" si="0"/>
        <v>5945.4</v>
      </c>
      <c r="K10" s="2">
        <f t="shared" si="1"/>
        <v>65399.4</v>
      </c>
      <c r="L10" t="s">
        <v>32</v>
      </c>
      <c r="M10" t="str">
        <f t="shared" si="2"/>
        <v>Below Average</v>
      </c>
      <c r="N10" t="str">
        <f t="shared" si="3"/>
        <v>Not eligible for bonus</v>
      </c>
      <c r="O10" t="str">
        <f t="shared" si="4"/>
        <v>Good</v>
      </c>
      <c r="P10">
        <f>VLOOKUP(L10,'Paid leave'!B:C,2,0)</f>
        <v>12</v>
      </c>
      <c r="R10" t="s">
        <v>139</v>
      </c>
      <c r="S10">
        <f>COUNTIF(Table2[Employees'' performance],O3)</f>
        <v>18</v>
      </c>
      <c r="T10">
        <f t="shared" si="5"/>
        <v>36</v>
      </c>
    </row>
    <row r="11" spans="1:23" x14ac:dyDescent="0.3">
      <c r="A11" t="s">
        <v>40</v>
      </c>
      <c r="B11" t="s">
        <v>41</v>
      </c>
      <c r="C11" t="s">
        <v>11</v>
      </c>
      <c r="D11" t="s">
        <v>20</v>
      </c>
      <c r="E11" s="2">
        <v>43717</v>
      </c>
      <c r="F11" s="3">
        <v>42833</v>
      </c>
      <c r="G11" s="3" t="str">
        <f>TEXT(Table2[[#This Row],[Hire Date]],"MM")</f>
        <v>04</v>
      </c>
      <c r="H11">
        <v>3</v>
      </c>
      <c r="I11">
        <v>12</v>
      </c>
      <c r="J11">
        <f t="shared" si="0"/>
        <v>5246.04</v>
      </c>
      <c r="K11" s="2">
        <f t="shared" si="1"/>
        <v>48963.040000000001</v>
      </c>
      <c r="L11" t="s">
        <v>13</v>
      </c>
      <c r="M11" t="str">
        <f t="shared" si="2"/>
        <v>Below Average</v>
      </c>
      <c r="N11" t="str">
        <f t="shared" si="3"/>
        <v>Not eligible for bonus</v>
      </c>
      <c r="O11" t="str">
        <f t="shared" si="4"/>
        <v>Good</v>
      </c>
      <c r="P11">
        <f>VLOOKUP(L11,'Paid leave'!B:C,2,0)</f>
        <v>12</v>
      </c>
    </row>
    <row r="12" spans="1:23" x14ac:dyDescent="0.3">
      <c r="A12" t="s">
        <v>42</v>
      </c>
      <c r="B12" t="s">
        <v>43</v>
      </c>
      <c r="C12" t="s">
        <v>31</v>
      </c>
      <c r="D12" t="s">
        <v>20</v>
      </c>
      <c r="E12" s="2">
        <v>71556</v>
      </c>
      <c r="F12" s="3">
        <v>45038</v>
      </c>
      <c r="G12" s="3" t="str">
        <f>TEXT(Table2[[#This Row],[Hire Date]],"MM")</f>
        <v>04</v>
      </c>
      <c r="H12">
        <v>2</v>
      </c>
      <c r="I12">
        <v>10</v>
      </c>
      <c r="J12">
        <f t="shared" si="0"/>
        <v>7155.6</v>
      </c>
      <c r="K12" s="2">
        <f t="shared" si="1"/>
        <v>78711.600000000006</v>
      </c>
      <c r="L12" t="s">
        <v>32</v>
      </c>
      <c r="M12" t="str">
        <f t="shared" si="2"/>
        <v>Below Average</v>
      </c>
      <c r="N12" t="str">
        <f t="shared" si="3"/>
        <v>Not eligible for bonus</v>
      </c>
      <c r="O12" t="str">
        <f t="shared" si="4"/>
        <v>Needs 
Improvement</v>
      </c>
      <c r="P12">
        <f>VLOOKUP(L12,'Paid leave'!B:C,2,0)</f>
        <v>12</v>
      </c>
    </row>
    <row r="13" spans="1:23" x14ac:dyDescent="0.3">
      <c r="A13" t="s">
        <v>44</v>
      </c>
      <c r="B13" t="s">
        <v>45</v>
      </c>
      <c r="C13" t="s">
        <v>16</v>
      </c>
      <c r="D13" t="s">
        <v>20</v>
      </c>
      <c r="E13" s="2">
        <v>87707</v>
      </c>
      <c r="F13" s="3">
        <v>42540</v>
      </c>
      <c r="G13" s="3" t="str">
        <f>TEXT(Table2[[#This Row],[Hire Date]],"MM")</f>
        <v>06</v>
      </c>
      <c r="H13">
        <v>4</v>
      </c>
      <c r="I13">
        <v>15</v>
      </c>
      <c r="J13">
        <f t="shared" si="0"/>
        <v>13156.05</v>
      </c>
      <c r="K13" s="2">
        <f t="shared" si="1"/>
        <v>100863.05</v>
      </c>
      <c r="L13" t="s">
        <v>17</v>
      </c>
      <c r="M13" t="str">
        <f t="shared" si="2"/>
        <v>Above average</v>
      </c>
      <c r="N13" t="str">
        <f t="shared" si="3"/>
        <v>Eligible for bonus</v>
      </c>
      <c r="O13" t="str">
        <f t="shared" si="4"/>
        <v>Excellent</v>
      </c>
      <c r="P13">
        <f>VLOOKUP(L13,'Paid leave'!B:C,2,0)</f>
        <v>15</v>
      </c>
      <c r="R13" s="9" t="s">
        <v>142</v>
      </c>
      <c r="S13" s="9" t="s">
        <v>140</v>
      </c>
      <c r="T13" s="10" t="s">
        <v>141</v>
      </c>
    </row>
    <row r="14" spans="1:23" x14ac:dyDescent="0.3">
      <c r="A14" t="s">
        <v>46</v>
      </c>
      <c r="B14" t="s">
        <v>47</v>
      </c>
      <c r="C14" t="s">
        <v>11</v>
      </c>
      <c r="D14" t="s">
        <v>12</v>
      </c>
      <c r="E14" s="2">
        <v>91023</v>
      </c>
      <c r="F14" s="3">
        <v>43117</v>
      </c>
      <c r="G14" s="3" t="str">
        <f>TEXT(Table2[[#This Row],[Hire Date]],"MM")</f>
        <v>01</v>
      </c>
      <c r="H14">
        <v>2</v>
      </c>
      <c r="I14">
        <v>15</v>
      </c>
      <c r="J14">
        <f t="shared" si="0"/>
        <v>13653.45</v>
      </c>
      <c r="K14" s="2">
        <f t="shared" si="1"/>
        <v>104676.45</v>
      </c>
      <c r="L14" t="s">
        <v>13</v>
      </c>
      <c r="M14" t="str">
        <f t="shared" si="2"/>
        <v>Above average</v>
      </c>
      <c r="N14" t="str">
        <f t="shared" si="3"/>
        <v>Not eligible for bonus</v>
      </c>
      <c r="O14" t="str">
        <f t="shared" si="4"/>
        <v>Needs 
Improvement</v>
      </c>
      <c r="P14">
        <f>VLOOKUP(L14,'Paid leave'!B:C,2,0)</f>
        <v>12</v>
      </c>
      <c r="R14">
        <v>1</v>
      </c>
      <c r="S14">
        <f>COUNTIF(Table2[Performance Rating],H3)</f>
        <v>9</v>
      </c>
      <c r="T14">
        <f>(S14/50)*100</f>
        <v>18</v>
      </c>
    </row>
    <row r="15" spans="1:23" x14ac:dyDescent="0.3">
      <c r="A15" t="s">
        <v>48</v>
      </c>
      <c r="B15" t="s">
        <v>49</v>
      </c>
      <c r="C15" t="s">
        <v>27</v>
      </c>
      <c r="D15" t="s">
        <v>20</v>
      </c>
      <c r="E15" s="2">
        <v>50141</v>
      </c>
      <c r="F15" s="3">
        <v>42049</v>
      </c>
      <c r="G15" s="3" t="str">
        <f>TEXT(Table2[[#This Row],[Hire Date]],"MM")</f>
        <v>02</v>
      </c>
      <c r="H15">
        <v>2</v>
      </c>
      <c r="I15">
        <v>10</v>
      </c>
      <c r="J15">
        <f t="shared" si="0"/>
        <v>5014.1000000000004</v>
      </c>
      <c r="K15" s="2">
        <f t="shared" si="1"/>
        <v>55155.1</v>
      </c>
      <c r="L15" t="s">
        <v>50</v>
      </c>
      <c r="M15" t="str">
        <f t="shared" si="2"/>
        <v>Below Average</v>
      </c>
      <c r="N15" t="str">
        <f t="shared" si="3"/>
        <v>Not eligible for bonus</v>
      </c>
      <c r="O15" t="str">
        <f t="shared" si="4"/>
        <v>Needs 
Improvement</v>
      </c>
      <c r="P15">
        <f>VLOOKUP(L15,'Paid leave'!B:C,2,0)</f>
        <v>12</v>
      </c>
      <c r="R15">
        <v>2</v>
      </c>
      <c r="S15">
        <f>COUNTIF(Table2[Performance Rating],H6)</f>
        <v>9</v>
      </c>
      <c r="T15">
        <f t="shared" ref="T15:T18" si="6">(S15/50)*100</f>
        <v>18</v>
      </c>
    </row>
    <row r="16" spans="1:23" x14ac:dyDescent="0.3">
      <c r="A16" t="s">
        <v>51</v>
      </c>
      <c r="B16" t="s">
        <v>52</v>
      </c>
      <c r="C16" t="s">
        <v>11</v>
      </c>
      <c r="D16" t="s">
        <v>20</v>
      </c>
      <c r="E16" s="2">
        <v>91661</v>
      </c>
      <c r="F16" s="3">
        <v>44272</v>
      </c>
      <c r="G16" s="3" t="str">
        <f>TEXT(Table2[[#This Row],[Hire Date]],"MM")</f>
        <v>03</v>
      </c>
      <c r="H16">
        <v>3</v>
      </c>
      <c r="I16">
        <v>10</v>
      </c>
      <c r="J16">
        <f t="shared" si="0"/>
        <v>9166.1</v>
      </c>
      <c r="K16" s="2">
        <f t="shared" si="1"/>
        <v>100827.1</v>
      </c>
      <c r="L16" t="s">
        <v>53</v>
      </c>
      <c r="M16" t="str">
        <f t="shared" si="2"/>
        <v>Above average</v>
      </c>
      <c r="N16" t="str">
        <f t="shared" si="3"/>
        <v>Not eligible for bonus</v>
      </c>
      <c r="O16" t="str">
        <f t="shared" si="4"/>
        <v>Good</v>
      </c>
      <c r="P16">
        <f>VLOOKUP(L16,'Paid leave'!B:C,2,0)</f>
        <v>12</v>
      </c>
      <c r="R16">
        <v>3</v>
      </c>
      <c r="S16">
        <f>COUNTIF(Table2[Performance Rating],H2)</f>
        <v>13</v>
      </c>
      <c r="T16">
        <f t="shared" si="6"/>
        <v>26</v>
      </c>
    </row>
    <row r="17" spans="1:20" x14ac:dyDescent="0.3">
      <c r="A17" t="s">
        <v>54</v>
      </c>
      <c r="B17" t="s">
        <v>55</v>
      </c>
      <c r="C17" t="s">
        <v>11</v>
      </c>
      <c r="D17" t="s">
        <v>12</v>
      </c>
      <c r="E17" s="2">
        <v>84041</v>
      </c>
      <c r="F17" s="3">
        <v>44896</v>
      </c>
      <c r="G17" s="3" t="str">
        <f>TEXT(Table2[[#This Row],[Hire Date]],"MM")</f>
        <v>12</v>
      </c>
      <c r="H17">
        <v>1</v>
      </c>
      <c r="I17">
        <v>10</v>
      </c>
      <c r="J17">
        <f t="shared" si="0"/>
        <v>8404.1</v>
      </c>
      <c r="K17" s="2">
        <f t="shared" si="1"/>
        <v>92445.1</v>
      </c>
      <c r="L17" t="s">
        <v>53</v>
      </c>
      <c r="M17" t="str">
        <f t="shared" si="2"/>
        <v>Above average</v>
      </c>
      <c r="N17" t="str">
        <f t="shared" si="3"/>
        <v>Not eligible for bonus</v>
      </c>
      <c r="O17" t="str">
        <f t="shared" si="4"/>
        <v>Needs 
Improvement</v>
      </c>
      <c r="P17">
        <f>VLOOKUP(L17,'Paid leave'!B:C,2,0)</f>
        <v>12</v>
      </c>
      <c r="R17">
        <v>4</v>
      </c>
      <c r="S17">
        <f>COUNTIF(Table2[Performance Rating],H9)</f>
        <v>7</v>
      </c>
      <c r="T17">
        <f t="shared" si="6"/>
        <v>14.000000000000002</v>
      </c>
    </row>
    <row r="18" spans="1:20" x14ac:dyDescent="0.3">
      <c r="A18" t="s">
        <v>56</v>
      </c>
      <c r="B18" t="s">
        <v>57</v>
      </c>
      <c r="C18" t="s">
        <v>31</v>
      </c>
      <c r="D18" t="s">
        <v>12</v>
      </c>
      <c r="E18" s="2">
        <v>97467</v>
      </c>
      <c r="F18" s="3">
        <v>43254</v>
      </c>
      <c r="G18" s="3" t="str">
        <f>TEXT(Table2[[#This Row],[Hire Date]],"MM")</f>
        <v>06</v>
      </c>
      <c r="H18">
        <v>1</v>
      </c>
      <c r="I18">
        <v>10</v>
      </c>
      <c r="J18">
        <f t="shared" si="0"/>
        <v>9746.7000000000007</v>
      </c>
      <c r="K18" s="2">
        <f t="shared" si="1"/>
        <v>107213.7</v>
      </c>
      <c r="L18" t="s">
        <v>35</v>
      </c>
      <c r="M18" t="str">
        <f t="shared" si="2"/>
        <v>Above average</v>
      </c>
      <c r="N18" t="str">
        <f t="shared" si="3"/>
        <v>Not eligible for bonus</v>
      </c>
      <c r="O18" t="str">
        <f t="shared" si="4"/>
        <v>Needs 
Improvement</v>
      </c>
      <c r="P18">
        <f>VLOOKUP(L18,'Paid leave'!B:C,2,0)</f>
        <v>12</v>
      </c>
      <c r="R18">
        <v>5</v>
      </c>
      <c r="S18">
        <f>COUNTIF(Table2[Performance Rating],H7)</f>
        <v>12</v>
      </c>
      <c r="T18">
        <f t="shared" si="6"/>
        <v>24</v>
      </c>
    </row>
    <row r="19" spans="1:20" x14ac:dyDescent="0.3">
      <c r="A19" t="s">
        <v>58</v>
      </c>
      <c r="B19" t="s">
        <v>59</v>
      </c>
      <c r="C19" t="s">
        <v>27</v>
      </c>
      <c r="D19" t="s">
        <v>20</v>
      </c>
      <c r="E19" s="2">
        <v>74374</v>
      </c>
      <c r="F19" s="3">
        <v>42311</v>
      </c>
      <c r="G19" s="3" t="str">
        <f>TEXT(Table2[[#This Row],[Hire Date]],"MM")</f>
        <v>11</v>
      </c>
      <c r="H19">
        <v>3</v>
      </c>
      <c r="I19">
        <v>5</v>
      </c>
      <c r="J19">
        <f t="shared" si="0"/>
        <v>3718.7</v>
      </c>
      <c r="K19" s="2">
        <f t="shared" si="1"/>
        <v>78092.7</v>
      </c>
      <c r="L19" t="s">
        <v>28</v>
      </c>
      <c r="M19" t="str">
        <f t="shared" si="2"/>
        <v>Above average</v>
      </c>
      <c r="N19" t="str">
        <f t="shared" si="3"/>
        <v>Not eligible for bonus</v>
      </c>
      <c r="O19" t="str">
        <f t="shared" si="4"/>
        <v>Good</v>
      </c>
      <c r="P19">
        <f>VLOOKUP(L19,'Paid leave'!B:C,2,0)</f>
        <v>14</v>
      </c>
    </row>
    <row r="20" spans="1:20" x14ac:dyDescent="0.3">
      <c r="A20" t="s">
        <v>60</v>
      </c>
      <c r="B20" t="s">
        <v>61</v>
      </c>
      <c r="C20" t="s">
        <v>11</v>
      </c>
      <c r="D20" t="s">
        <v>20</v>
      </c>
      <c r="E20" s="2">
        <v>53792</v>
      </c>
      <c r="F20" s="3">
        <v>44713</v>
      </c>
      <c r="G20" s="3" t="str">
        <f>TEXT(Table2[[#This Row],[Hire Date]],"MM")</f>
        <v>06</v>
      </c>
      <c r="H20">
        <v>5</v>
      </c>
      <c r="I20">
        <v>3</v>
      </c>
      <c r="J20">
        <f t="shared" si="0"/>
        <v>1613.76</v>
      </c>
      <c r="K20" s="2">
        <f t="shared" si="1"/>
        <v>55405.760000000002</v>
      </c>
      <c r="L20" t="s">
        <v>13</v>
      </c>
      <c r="M20" t="str">
        <f t="shared" si="2"/>
        <v>Below Average</v>
      </c>
      <c r="N20" t="str">
        <f t="shared" si="3"/>
        <v>Not eligible for bonus</v>
      </c>
      <c r="O20" t="str">
        <f t="shared" si="4"/>
        <v>Excellent</v>
      </c>
      <c r="P20">
        <f>VLOOKUP(L20,'Paid leave'!B:C,2,0)</f>
        <v>12</v>
      </c>
    </row>
    <row r="21" spans="1:20" x14ac:dyDescent="0.3">
      <c r="A21" t="s">
        <v>62</v>
      </c>
      <c r="B21" t="s">
        <v>63</v>
      </c>
      <c r="C21" t="s">
        <v>16</v>
      </c>
      <c r="D21" t="s">
        <v>20</v>
      </c>
      <c r="E21" s="2">
        <v>50041</v>
      </c>
      <c r="F21" s="3">
        <v>43547</v>
      </c>
      <c r="G21" s="3" t="str">
        <f>TEXT(Table2[[#This Row],[Hire Date]],"MM")</f>
        <v>03</v>
      </c>
      <c r="H21">
        <v>4</v>
      </c>
      <c r="I21">
        <v>15</v>
      </c>
      <c r="J21">
        <f t="shared" si="0"/>
        <v>7506.15</v>
      </c>
      <c r="K21" s="2">
        <f t="shared" si="1"/>
        <v>57547.15</v>
      </c>
      <c r="L21" t="s">
        <v>21</v>
      </c>
      <c r="M21" t="str">
        <f t="shared" si="2"/>
        <v>Below Average</v>
      </c>
      <c r="N21" t="str">
        <f t="shared" si="3"/>
        <v>Not eligible for bonus</v>
      </c>
      <c r="O21" t="str">
        <f t="shared" si="4"/>
        <v>Excellent</v>
      </c>
      <c r="P21">
        <f>VLOOKUP(L21,'Paid leave'!B:C,2,0)</f>
        <v>18</v>
      </c>
    </row>
    <row r="22" spans="1:20" x14ac:dyDescent="0.3">
      <c r="A22" t="s">
        <v>64</v>
      </c>
      <c r="B22" t="s">
        <v>65</v>
      </c>
      <c r="C22" t="s">
        <v>31</v>
      </c>
      <c r="D22" t="s">
        <v>20</v>
      </c>
      <c r="E22" s="2">
        <v>95371</v>
      </c>
      <c r="F22" s="3">
        <v>45603</v>
      </c>
      <c r="G22" s="3" t="str">
        <f>TEXT(Table2[[#This Row],[Hire Date]],"MM")</f>
        <v>11</v>
      </c>
      <c r="H22">
        <v>2</v>
      </c>
      <c r="I22">
        <v>15</v>
      </c>
      <c r="J22">
        <f t="shared" si="0"/>
        <v>14305.65</v>
      </c>
      <c r="K22" s="2">
        <f t="shared" si="1"/>
        <v>109676.65</v>
      </c>
      <c r="L22" t="s">
        <v>32</v>
      </c>
      <c r="M22" t="str">
        <f t="shared" si="2"/>
        <v>Above average</v>
      </c>
      <c r="N22" t="str">
        <f t="shared" si="3"/>
        <v>Not eligible for bonus</v>
      </c>
      <c r="O22" t="str">
        <f t="shared" si="4"/>
        <v>Needs 
Improvement</v>
      </c>
      <c r="P22">
        <f>VLOOKUP(L22,'Paid leave'!B:C,2,0)</f>
        <v>12</v>
      </c>
    </row>
    <row r="23" spans="1:20" x14ac:dyDescent="0.3">
      <c r="A23" t="s">
        <v>66</v>
      </c>
      <c r="B23" t="s">
        <v>67</v>
      </c>
      <c r="C23" t="s">
        <v>11</v>
      </c>
      <c r="D23" t="s">
        <v>12</v>
      </c>
      <c r="E23" s="2">
        <v>54599</v>
      </c>
      <c r="F23" s="3">
        <v>43044</v>
      </c>
      <c r="G23" s="3" t="str">
        <f>TEXT(Table2[[#This Row],[Hire Date]],"MM")</f>
        <v>11</v>
      </c>
      <c r="H23">
        <v>4</v>
      </c>
      <c r="I23">
        <v>12</v>
      </c>
      <c r="J23">
        <f t="shared" si="0"/>
        <v>6551.88</v>
      </c>
      <c r="K23" s="2">
        <f t="shared" si="1"/>
        <v>61150.879999999997</v>
      </c>
      <c r="L23" t="s">
        <v>13</v>
      </c>
      <c r="M23" t="str">
        <f t="shared" si="2"/>
        <v>Below Average</v>
      </c>
      <c r="N23" t="str">
        <f t="shared" si="3"/>
        <v>Not eligible for bonus</v>
      </c>
      <c r="O23" t="str">
        <f t="shared" si="4"/>
        <v>Excellent</v>
      </c>
      <c r="P23">
        <f>VLOOKUP(L23,'Paid leave'!B:C,2,0)</f>
        <v>12</v>
      </c>
    </row>
    <row r="24" spans="1:20" x14ac:dyDescent="0.3">
      <c r="A24" t="s">
        <v>68</v>
      </c>
      <c r="B24" t="s">
        <v>69</v>
      </c>
      <c r="C24" t="s">
        <v>16</v>
      </c>
      <c r="D24" t="s">
        <v>20</v>
      </c>
      <c r="E24" s="2">
        <v>91405</v>
      </c>
      <c r="F24" s="3">
        <v>44911</v>
      </c>
      <c r="G24" s="3" t="str">
        <f>TEXT(Table2[[#This Row],[Hire Date]],"MM")</f>
        <v>12</v>
      </c>
      <c r="H24">
        <v>3</v>
      </c>
      <c r="I24">
        <v>5</v>
      </c>
      <c r="J24">
        <f t="shared" si="0"/>
        <v>4570.25</v>
      </c>
      <c r="K24" s="2">
        <f t="shared" si="1"/>
        <v>95975.25</v>
      </c>
      <c r="L24" t="s">
        <v>24</v>
      </c>
      <c r="M24" t="str">
        <f t="shared" si="2"/>
        <v>Above average</v>
      </c>
      <c r="N24" t="str">
        <f t="shared" si="3"/>
        <v>Not eligible for bonus</v>
      </c>
      <c r="O24" t="str">
        <f t="shared" si="4"/>
        <v>Good</v>
      </c>
      <c r="P24">
        <f>VLOOKUP(L24,'Paid leave'!B:C,2,0)</f>
        <v>20</v>
      </c>
    </row>
    <row r="25" spans="1:20" x14ac:dyDescent="0.3">
      <c r="A25" t="s">
        <v>70</v>
      </c>
      <c r="B25" t="s">
        <v>71</v>
      </c>
      <c r="C25" t="s">
        <v>31</v>
      </c>
      <c r="D25" t="s">
        <v>20</v>
      </c>
      <c r="E25" s="2">
        <v>95165</v>
      </c>
      <c r="F25" s="3">
        <v>43415</v>
      </c>
      <c r="G25" s="3" t="str">
        <f>TEXT(Table2[[#This Row],[Hire Date]],"MM")</f>
        <v>11</v>
      </c>
      <c r="H25">
        <v>5</v>
      </c>
      <c r="I25">
        <v>12</v>
      </c>
      <c r="J25">
        <f t="shared" si="0"/>
        <v>11419.8</v>
      </c>
      <c r="K25" s="2">
        <f t="shared" si="1"/>
        <v>106584.8</v>
      </c>
      <c r="L25" t="s">
        <v>35</v>
      </c>
      <c r="M25" t="str">
        <f t="shared" si="2"/>
        <v>Above average</v>
      </c>
      <c r="N25" t="str">
        <f t="shared" si="3"/>
        <v>Eligible for bonus</v>
      </c>
      <c r="O25" t="str">
        <f t="shared" si="4"/>
        <v>Excellent</v>
      </c>
      <c r="P25">
        <f>VLOOKUP(L25,'Paid leave'!B:C,2,0)</f>
        <v>12</v>
      </c>
    </row>
    <row r="26" spans="1:20" x14ac:dyDescent="0.3">
      <c r="A26" t="s">
        <v>72</v>
      </c>
      <c r="B26" t="s">
        <v>73</v>
      </c>
      <c r="C26" t="s">
        <v>11</v>
      </c>
      <c r="D26" t="s">
        <v>12</v>
      </c>
      <c r="E26" s="2">
        <v>89530</v>
      </c>
      <c r="F26" s="3">
        <v>42761</v>
      </c>
      <c r="G26" s="3" t="str">
        <f>TEXT(Table2[[#This Row],[Hire Date]],"MM")</f>
        <v>01</v>
      </c>
      <c r="H26">
        <v>3</v>
      </c>
      <c r="I26">
        <v>12</v>
      </c>
      <c r="J26">
        <f t="shared" si="0"/>
        <v>10743.6</v>
      </c>
      <c r="K26" s="2">
        <f t="shared" si="1"/>
        <v>100273.60000000001</v>
      </c>
      <c r="L26" t="s">
        <v>13</v>
      </c>
      <c r="M26" t="str">
        <f t="shared" si="2"/>
        <v>Above average</v>
      </c>
      <c r="N26" t="str">
        <f t="shared" si="3"/>
        <v>Not eligible for bonus</v>
      </c>
      <c r="O26" t="str">
        <f t="shared" si="4"/>
        <v>Good</v>
      </c>
      <c r="P26">
        <f>VLOOKUP(L26,'Paid leave'!B:C,2,0)</f>
        <v>12</v>
      </c>
    </row>
    <row r="27" spans="1:20" x14ac:dyDescent="0.3">
      <c r="A27" t="s">
        <v>74</v>
      </c>
      <c r="B27" t="s">
        <v>75</v>
      </c>
      <c r="C27" t="s">
        <v>16</v>
      </c>
      <c r="D27" t="s">
        <v>20</v>
      </c>
      <c r="E27" s="2">
        <v>88589</v>
      </c>
      <c r="F27" s="3">
        <v>43793</v>
      </c>
      <c r="G27" s="3" t="str">
        <f>TEXT(Table2[[#This Row],[Hire Date]],"MM")</f>
        <v>11</v>
      </c>
      <c r="H27">
        <v>5</v>
      </c>
      <c r="I27">
        <v>3</v>
      </c>
      <c r="J27">
        <f t="shared" si="0"/>
        <v>2657.67</v>
      </c>
      <c r="K27" s="2">
        <f t="shared" si="1"/>
        <v>91246.67</v>
      </c>
      <c r="L27" t="s">
        <v>17</v>
      </c>
      <c r="M27" t="str">
        <f t="shared" si="2"/>
        <v>Above average</v>
      </c>
      <c r="N27" t="str">
        <f t="shared" si="3"/>
        <v>Eligible for bonus</v>
      </c>
      <c r="O27" t="str">
        <f t="shared" si="4"/>
        <v>Excellent</v>
      </c>
      <c r="P27">
        <f>VLOOKUP(L27,'Paid leave'!B:C,2,0)</f>
        <v>15</v>
      </c>
    </row>
    <row r="28" spans="1:20" x14ac:dyDescent="0.3">
      <c r="A28" t="s">
        <v>76</v>
      </c>
      <c r="B28" t="s">
        <v>77</v>
      </c>
      <c r="C28" t="s">
        <v>16</v>
      </c>
      <c r="D28" t="s">
        <v>20</v>
      </c>
      <c r="E28" s="2">
        <v>69378</v>
      </c>
      <c r="F28" s="3">
        <v>43841</v>
      </c>
      <c r="G28" s="3" t="str">
        <f>TEXT(Table2[[#This Row],[Hire Date]],"MM")</f>
        <v>01</v>
      </c>
      <c r="H28">
        <v>3</v>
      </c>
      <c r="I28">
        <v>12</v>
      </c>
      <c r="J28">
        <f t="shared" si="0"/>
        <v>8325.36</v>
      </c>
      <c r="K28" s="2">
        <f t="shared" si="1"/>
        <v>77703.360000000001</v>
      </c>
      <c r="L28" t="s">
        <v>24</v>
      </c>
      <c r="M28" t="str">
        <f t="shared" si="2"/>
        <v>Below Average</v>
      </c>
      <c r="N28" t="str">
        <f t="shared" si="3"/>
        <v>Not eligible for bonus</v>
      </c>
      <c r="O28" t="str">
        <f t="shared" si="4"/>
        <v>Good</v>
      </c>
      <c r="P28">
        <f>VLOOKUP(L28,'Paid leave'!B:C,2,0)</f>
        <v>20</v>
      </c>
    </row>
    <row r="29" spans="1:20" x14ac:dyDescent="0.3">
      <c r="A29" t="s">
        <v>78</v>
      </c>
      <c r="B29" t="s">
        <v>79</v>
      </c>
      <c r="C29" t="s">
        <v>27</v>
      </c>
      <c r="D29" t="s">
        <v>20</v>
      </c>
      <c r="E29" s="2">
        <v>64294</v>
      </c>
      <c r="F29" s="3">
        <v>44318</v>
      </c>
      <c r="G29" s="3" t="str">
        <f>TEXT(Table2[[#This Row],[Hire Date]],"MM")</f>
        <v>05</v>
      </c>
      <c r="H29">
        <v>1</v>
      </c>
      <c r="I29">
        <v>7</v>
      </c>
      <c r="J29">
        <f t="shared" si="0"/>
        <v>4500.58</v>
      </c>
      <c r="K29" s="2">
        <f t="shared" si="1"/>
        <v>68794.58</v>
      </c>
      <c r="L29" t="s">
        <v>50</v>
      </c>
      <c r="M29" t="str">
        <f t="shared" si="2"/>
        <v>Below Average</v>
      </c>
      <c r="N29" t="str">
        <f t="shared" si="3"/>
        <v>Not eligible for bonus</v>
      </c>
      <c r="O29" t="str">
        <f t="shared" si="4"/>
        <v>Needs 
Improvement</v>
      </c>
      <c r="P29">
        <f>VLOOKUP(L29,'Paid leave'!B:C,2,0)</f>
        <v>12</v>
      </c>
    </row>
    <row r="30" spans="1:20" x14ac:dyDescent="0.3">
      <c r="A30" t="s">
        <v>80</v>
      </c>
      <c r="B30" t="s">
        <v>81</v>
      </c>
      <c r="C30" t="s">
        <v>31</v>
      </c>
      <c r="D30" t="s">
        <v>12</v>
      </c>
      <c r="E30" s="2">
        <v>66199</v>
      </c>
      <c r="F30" s="3">
        <v>42188</v>
      </c>
      <c r="G30" s="3" t="str">
        <f>TEXT(Table2[[#This Row],[Hire Date]],"MM")</f>
        <v>07</v>
      </c>
      <c r="H30">
        <v>3</v>
      </c>
      <c r="I30">
        <v>7</v>
      </c>
      <c r="J30">
        <f t="shared" si="0"/>
        <v>4633.93</v>
      </c>
      <c r="K30" s="2">
        <f t="shared" si="1"/>
        <v>70832.929999999993</v>
      </c>
      <c r="L30" t="s">
        <v>35</v>
      </c>
      <c r="M30" t="str">
        <f t="shared" si="2"/>
        <v>Below Average</v>
      </c>
      <c r="N30" t="str">
        <f t="shared" si="3"/>
        <v>Not eligible for bonus</v>
      </c>
      <c r="O30" t="str">
        <f t="shared" si="4"/>
        <v>Good</v>
      </c>
      <c r="P30">
        <f>VLOOKUP(L30,'Paid leave'!B:C,2,0)</f>
        <v>12</v>
      </c>
    </row>
    <row r="31" spans="1:20" x14ac:dyDescent="0.3">
      <c r="A31" t="s">
        <v>82</v>
      </c>
      <c r="B31" t="s">
        <v>83</v>
      </c>
      <c r="C31" t="s">
        <v>27</v>
      </c>
      <c r="D31" t="s">
        <v>20</v>
      </c>
      <c r="E31" s="2">
        <v>41254</v>
      </c>
      <c r="F31" s="3">
        <v>45162</v>
      </c>
      <c r="G31" s="3" t="str">
        <f>TEXT(Table2[[#This Row],[Hire Date]],"MM")</f>
        <v>08</v>
      </c>
      <c r="H31">
        <v>5</v>
      </c>
      <c r="I31">
        <v>10</v>
      </c>
      <c r="J31">
        <f t="shared" si="0"/>
        <v>4125.3999999999996</v>
      </c>
      <c r="K31" s="2">
        <f t="shared" si="1"/>
        <v>45379.4</v>
      </c>
      <c r="L31" t="s">
        <v>50</v>
      </c>
      <c r="M31" t="str">
        <f t="shared" si="2"/>
        <v>Below Average</v>
      </c>
      <c r="N31" t="str">
        <f t="shared" si="3"/>
        <v>Not eligible for bonus</v>
      </c>
      <c r="O31" t="str">
        <f t="shared" si="4"/>
        <v>Excellent</v>
      </c>
      <c r="P31">
        <f>VLOOKUP(L31,'Paid leave'!B:C,2,0)</f>
        <v>12</v>
      </c>
    </row>
    <row r="32" spans="1:20" x14ac:dyDescent="0.3">
      <c r="A32" t="s">
        <v>84</v>
      </c>
      <c r="B32" t="s">
        <v>85</v>
      </c>
      <c r="C32" t="s">
        <v>11</v>
      </c>
      <c r="D32" t="s">
        <v>12</v>
      </c>
      <c r="E32" s="2">
        <v>61653</v>
      </c>
      <c r="F32" s="3">
        <v>43795</v>
      </c>
      <c r="G32" s="3" t="str">
        <f>TEXT(Table2[[#This Row],[Hire Date]],"MM")</f>
        <v>11</v>
      </c>
      <c r="H32">
        <v>3</v>
      </c>
      <c r="I32">
        <v>7</v>
      </c>
      <c r="J32">
        <f t="shared" si="0"/>
        <v>4315.71</v>
      </c>
      <c r="K32" s="2">
        <f t="shared" si="1"/>
        <v>65968.710000000006</v>
      </c>
      <c r="L32" t="s">
        <v>53</v>
      </c>
      <c r="M32" t="str">
        <f t="shared" si="2"/>
        <v>Below Average</v>
      </c>
      <c r="N32" t="str">
        <f t="shared" si="3"/>
        <v>Not eligible for bonus</v>
      </c>
      <c r="O32" t="str">
        <f t="shared" si="4"/>
        <v>Good</v>
      </c>
      <c r="P32">
        <f>VLOOKUP(L32,'Paid leave'!B:C,2,0)</f>
        <v>12</v>
      </c>
    </row>
    <row r="33" spans="1:16" x14ac:dyDescent="0.3">
      <c r="A33" t="s">
        <v>86</v>
      </c>
      <c r="B33" t="s">
        <v>87</v>
      </c>
      <c r="C33" t="s">
        <v>27</v>
      </c>
      <c r="D33" t="s">
        <v>12</v>
      </c>
      <c r="E33" s="2">
        <v>70642</v>
      </c>
      <c r="F33" s="3">
        <v>43534</v>
      </c>
      <c r="G33" s="3" t="str">
        <f>TEXT(Table2[[#This Row],[Hire Date]],"MM")</f>
        <v>03</v>
      </c>
      <c r="H33">
        <v>3</v>
      </c>
      <c r="I33">
        <v>10</v>
      </c>
      <c r="J33">
        <f t="shared" si="0"/>
        <v>7064.2</v>
      </c>
      <c r="K33" s="2">
        <f t="shared" si="1"/>
        <v>77706.2</v>
      </c>
      <c r="L33" t="s">
        <v>28</v>
      </c>
      <c r="M33" t="str">
        <f t="shared" si="2"/>
        <v>Below Average</v>
      </c>
      <c r="N33" t="str">
        <f t="shared" si="3"/>
        <v>Not eligible for bonus</v>
      </c>
      <c r="O33" t="str">
        <f t="shared" si="4"/>
        <v>Good</v>
      </c>
      <c r="P33">
        <f>VLOOKUP(L33,'Paid leave'!B:C,2,0)</f>
        <v>14</v>
      </c>
    </row>
    <row r="34" spans="1:16" x14ac:dyDescent="0.3">
      <c r="A34" t="s">
        <v>88</v>
      </c>
      <c r="B34" t="s">
        <v>89</v>
      </c>
      <c r="C34" t="s">
        <v>11</v>
      </c>
      <c r="D34" t="s">
        <v>12</v>
      </c>
      <c r="E34" s="2">
        <v>94395</v>
      </c>
      <c r="F34" s="3">
        <v>45658</v>
      </c>
      <c r="G34" s="3" t="str">
        <f>TEXT(Table2[[#This Row],[Hire Date]],"MM")</f>
        <v>01</v>
      </c>
      <c r="H34">
        <v>1</v>
      </c>
      <c r="I34">
        <v>10</v>
      </c>
      <c r="J34">
        <f t="shared" ref="J34:J51" si="7">E34*I34/100</f>
        <v>9439.5</v>
      </c>
      <c r="K34" s="2">
        <f t="shared" ref="K34:K51" si="8">E34+J34</f>
        <v>103834.5</v>
      </c>
      <c r="L34" t="s">
        <v>53</v>
      </c>
      <c r="M34" t="str">
        <f t="shared" ref="M34:M51" si="9">IF(E34&gt;(AVERAGE($E$2:$E$51)),"Above average","Below Average")</f>
        <v>Above average</v>
      </c>
      <c r="N34" t="str">
        <f t="shared" ref="N34:N51" si="10">IF(AND(E34&gt;60000,H34&gt;=4),"Eligible for bonus","Not eligible for bonus")</f>
        <v>Not eligible for bonus</v>
      </c>
      <c r="O34" t="str">
        <f t="shared" si="4"/>
        <v>Needs 
Improvement</v>
      </c>
      <c r="P34">
        <f>VLOOKUP(L34,'Paid leave'!B:C,2,0)</f>
        <v>12</v>
      </c>
    </row>
    <row r="35" spans="1:16" x14ac:dyDescent="0.3">
      <c r="A35" t="s">
        <v>90</v>
      </c>
      <c r="B35" t="s">
        <v>91</v>
      </c>
      <c r="C35" t="s">
        <v>16</v>
      </c>
      <c r="D35" t="s">
        <v>12</v>
      </c>
      <c r="E35" s="2">
        <v>89691</v>
      </c>
      <c r="F35" s="3">
        <v>42203</v>
      </c>
      <c r="G35" s="3" t="str">
        <f>TEXT(Table2[[#This Row],[Hire Date]],"MM")</f>
        <v>07</v>
      </c>
      <c r="H35">
        <v>5</v>
      </c>
      <c r="I35">
        <v>5</v>
      </c>
      <c r="J35">
        <f t="shared" si="7"/>
        <v>4484.55</v>
      </c>
      <c r="K35" s="2">
        <f t="shared" si="8"/>
        <v>94175.55</v>
      </c>
      <c r="L35" t="s">
        <v>21</v>
      </c>
      <c r="M35" t="str">
        <f t="shared" si="9"/>
        <v>Above average</v>
      </c>
      <c r="N35" t="str">
        <f t="shared" si="10"/>
        <v>Eligible for bonus</v>
      </c>
      <c r="O35" t="str">
        <f t="shared" si="4"/>
        <v>Excellent</v>
      </c>
      <c r="P35">
        <f>VLOOKUP(L35,'Paid leave'!B:C,2,0)</f>
        <v>18</v>
      </c>
    </row>
    <row r="36" spans="1:16" x14ac:dyDescent="0.3">
      <c r="A36" t="s">
        <v>92</v>
      </c>
      <c r="B36" t="s">
        <v>93</v>
      </c>
      <c r="C36" t="s">
        <v>27</v>
      </c>
      <c r="D36" t="s">
        <v>12</v>
      </c>
      <c r="E36" s="2">
        <v>75960</v>
      </c>
      <c r="F36" s="3">
        <v>43616</v>
      </c>
      <c r="G36" s="3" t="str">
        <f>TEXT(Table2[[#This Row],[Hire Date]],"MM")</f>
        <v>05</v>
      </c>
      <c r="H36">
        <v>5</v>
      </c>
      <c r="I36">
        <v>5</v>
      </c>
      <c r="J36">
        <f t="shared" si="7"/>
        <v>3798</v>
      </c>
      <c r="K36" s="2">
        <f t="shared" si="8"/>
        <v>79758</v>
      </c>
      <c r="L36" t="s">
        <v>50</v>
      </c>
      <c r="M36" t="str">
        <f t="shared" si="9"/>
        <v>Above average</v>
      </c>
      <c r="N36" t="str">
        <f t="shared" si="10"/>
        <v>Eligible for bonus</v>
      </c>
      <c r="O36" t="str">
        <f t="shared" si="4"/>
        <v>Excellent</v>
      </c>
      <c r="P36">
        <f>VLOOKUP(L36,'Paid leave'!B:C,2,0)</f>
        <v>12</v>
      </c>
    </row>
    <row r="37" spans="1:16" x14ac:dyDescent="0.3">
      <c r="A37" t="s">
        <v>94</v>
      </c>
      <c r="B37" t="s">
        <v>95</v>
      </c>
      <c r="C37" t="s">
        <v>31</v>
      </c>
      <c r="D37" t="s">
        <v>20</v>
      </c>
      <c r="E37" s="2">
        <v>70279</v>
      </c>
      <c r="F37" s="3">
        <v>44243</v>
      </c>
      <c r="G37" s="3" t="str">
        <f>TEXT(Table2[[#This Row],[Hire Date]],"MM")</f>
        <v>02</v>
      </c>
      <c r="H37">
        <v>3</v>
      </c>
      <c r="I37">
        <v>5</v>
      </c>
      <c r="J37">
        <f t="shared" si="7"/>
        <v>3513.95</v>
      </c>
      <c r="K37" s="2">
        <f t="shared" si="8"/>
        <v>73792.95</v>
      </c>
      <c r="L37" t="s">
        <v>35</v>
      </c>
      <c r="M37" t="str">
        <f t="shared" si="9"/>
        <v>Below Average</v>
      </c>
      <c r="N37" t="str">
        <f t="shared" si="10"/>
        <v>Not eligible for bonus</v>
      </c>
      <c r="O37" t="str">
        <f t="shared" si="4"/>
        <v>Good</v>
      </c>
      <c r="P37">
        <f>VLOOKUP(L37,'Paid leave'!B:C,2,0)</f>
        <v>12</v>
      </c>
    </row>
    <row r="38" spans="1:16" x14ac:dyDescent="0.3">
      <c r="A38" t="s">
        <v>96</v>
      </c>
      <c r="B38" t="s">
        <v>97</v>
      </c>
      <c r="C38" t="s">
        <v>31</v>
      </c>
      <c r="D38" t="s">
        <v>12</v>
      </c>
      <c r="E38" s="2">
        <v>48242</v>
      </c>
      <c r="F38" s="3">
        <v>44513</v>
      </c>
      <c r="G38" s="3" t="str">
        <f>TEXT(Table2[[#This Row],[Hire Date]],"MM")</f>
        <v>11</v>
      </c>
      <c r="H38">
        <v>2</v>
      </c>
      <c r="I38">
        <v>10</v>
      </c>
      <c r="J38">
        <f t="shared" si="7"/>
        <v>4824.2</v>
      </c>
      <c r="K38" s="2">
        <f t="shared" si="8"/>
        <v>53066.2</v>
      </c>
      <c r="L38" t="s">
        <v>32</v>
      </c>
      <c r="M38" t="str">
        <f t="shared" si="9"/>
        <v>Below Average</v>
      </c>
      <c r="N38" t="str">
        <f t="shared" si="10"/>
        <v>Not eligible for bonus</v>
      </c>
      <c r="O38" t="str">
        <f t="shared" si="4"/>
        <v>Needs 
Improvement</v>
      </c>
      <c r="P38">
        <f>VLOOKUP(L38,'Paid leave'!B:C,2,0)</f>
        <v>12</v>
      </c>
    </row>
    <row r="39" spans="1:16" x14ac:dyDescent="0.3">
      <c r="A39" t="s">
        <v>98</v>
      </c>
      <c r="B39" t="s">
        <v>99</v>
      </c>
      <c r="C39" t="s">
        <v>11</v>
      </c>
      <c r="D39" t="s">
        <v>12</v>
      </c>
      <c r="E39" s="2">
        <v>94988</v>
      </c>
      <c r="F39" s="3">
        <v>44113</v>
      </c>
      <c r="G39" s="3" t="str">
        <f>TEXT(Table2[[#This Row],[Hire Date]],"MM")</f>
        <v>10</v>
      </c>
      <c r="H39">
        <v>3</v>
      </c>
      <c r="I39">
        <v>7</v>
      </c>
      <c r="J39">
        <f t="shared" si="7"/>
        <v>6649.16</v>
      </c>
      <c r="K39" s="2">
        <f t="shared" si="8"/>
        <v>101637.16</v>
      </c>
      <c r="L39" t="s">
        <v>13</v>
      </c>
      <c r="M39" t="str">
        <f t="shared" si="9"/>
        <v>Above average</v>
      </c>
      <c r="N39" t="str">
        <f t="shared" si="10"/>
        <v>Not eligible for bonus</v>
      </c>
      <c r="O39" t="str">
        <f t="shared" si="4"/>
        <v>Good</v>
      </c>
      <c r="P39">
        <f>VLOOKUP(L39,'Paid leave'!B:C,2,0)</f>
        <v>12</v>
      </c>
    </row>
    <row r="40" spans="1:16" x14ac:dyDescent="0.3">
      <c r="A40" t="s">
        <v>100</v>
      </c>
      <c r="B40" t="s">
        <v>101</v>
      </c>
      <c r="C40" t="s">
        <v>31</v>
      </c>
      <c r="D40" t="s">
        <v>20</v>
      </c>
      <c r="E40" s="2">
        <v>86468</v>
      </c>
      <c r="F40" s="3">
        <v>43618</v>
      </c>
      <c r="G40" s="3" t="str">
        <f>TEXT(Table2[[#This Row],[Hire Date]],"MM")</f>
        <v>06</v>
      </c>
      <c r="H40">
        <v>4</v>
      </c>
      <c r="I40">
        <v>5</v>
      </c>
      <c r="J40">
        <f t="shared" si="7"/>
        <v>4323.3999999999996</v>
      </c>
      <c r="K40" s="2">
        <f t="shared" si="8"/>
        <v>90791.4</v>
      </c>
      <c r="L40" t="s">
        <v>32</v>
      </c>
      <c r="M40" t="str">
        <f t="shared" si="9"/>
        <v>Above average</v>
      </c>
      <c r="N40" t="str">
        <f t="shared" si="10"/>
        <v>Eligible for bonus</v>
      </c>
      <c r="O40" t="str">
        <f t="shared" si="4"/>
        <v>Excellent</v>
      </c>
      <c r="P40">
        <f>VLOOKUP(L40,'Paid leave'!B:C,2,0)</f>
        <v>12</v>
      </c>
    </row>
    <row r="41" spans="1:16" x14ac:dyDescent="0.3">
      <c r="A41" t="s">
        <v>102</v>
      </c>
      <c r="B41" t="s">
        <v>103</v>
      </c>
      <c r="C41" t="s">
        <v>31</v>
      </c>
      <c r="D41" t="s">
        <v>20</v>
      </c>
      <c r="E41" s="2">
        <v>43842</v>
      </c>
      <c r="F41" s="3">
        <v>44587</v>
      </c>
      <c r="G41" s="3" t="str">
        <f>TEXT(Table2[[#This Row],[Hire Date]],"MM")</f>
        <v>01</v>
      </c>
      <c r="H41">
        <v>5</v>
      </c>
      <c r="I41">
        <v>7</v>
      </c>
      <c r="J41">
        <f t="shared" si="7"/>
        <v>3068.94</v>
      </c>
      <c r="K41" s="2">
        <f t="shared" si="8"/>
        <v>46910.94</v>
      </c>
      <c r="L41" t="s">
        <v>32</v>
      </c>
      <c r="M41" t="str">
        <f t="shared" si="9"/>
        <v>Below Average</v>
      </c>
      <c r="N41" t="str">
        <f t="shared" si="10"/>
        <v>Not eligible for bonus</v>
      </c>
      <c r="O41" t="str">
        <f t="shared" si="4"/>
        <v>Excellent</v>
      </c>
      <c r="P41">
        <f>VLOOKUP(L41,'Paid leave'!B:C,2,0)</f>
        <v>12</v>
      </c>
    </row>
    <row r="42" spans="1:16" x14ac:dyDescent="0.3">
      <c r="A42" t="s">
        <v>104</v>
      </c>
      <c r="B42" t="s">
        <v>105</v>
      </c>
      <c r="C42" t="s">
        <v>16</v>
      </c>
      <c r="D42" t="s">
        <v>20</v>
      </c>
      <c r="E42" s="2">
        <v>80035</v>
      </c>
      <c r="F42" s="3">
        <v>44963</v>
      </c>
      <c r="G42" s="3" t="str">
        <f>TEXT(Table2[[#This Row],[Hire Date]],"MM")</f>
        <v>02</v>
      </c>
      <c r="H42">
        <v>4</v>
      </c>
      <c r="I42">
        <v>5</v>
      </c>
      <c r="J42">
        <f t="shared" si="7"/>
        <v>4001.75</v>
      </c>
      <c r="K42" s="2">
        <f t="shared" si="8"/>
        <v>84036.75</v>
      </c>
      <c r="L42" t="s">
        <v>24</v>
      </c>
      <c r="M42" t="str">
        <f t="shared" si="9"/>
        <v>Above average</v>
      </c>
      <c r="N42" t="str">
        <f t="shared" si="10"/>
        <v>Eligible for bonus</v>
      </c>
      <c r="O42" t="str">
        <f t="shared" si="4"/>
        <v>Excellent</v>
      </c>
      <c r="P42">
        <f>VLOOKUP(L42,'Paid leave'!B:C,2,0)</f>
        <v>20</v>
      </c>
    </row>
    <row r="43" spans="1:16" x14ac:dyDescent="0.3">
      <c r="A43" t="s">
        <v>106</v>
      </c>
      <c r="B43" t="s">
        <v>107</v>
      </c>
      <c r="C43" t="s">
        <v>11</v>
      </c>
      <c r="D43" t="s">
        <v>12</v>
      </c>
      <c r="E43" s="2">
        <v>55963</v>
      </c>
      <c r="F43" s="3">
        <v>44815</v>
      </c>
      <c r="G43" s="3" t="str">
        <f>TEXT(Table2[[#This Row],[Hire Date]],"MM")</f>
        <v>09</v>
      </c>
      <c r="H43">
        <v>5</v>
      </c>
      <c r="I43">
        <v>5</v>
      </c>
      <c r="J43">
        <f t="shared" si="7"/>
        <v>2798.15</v>
      </c>
      <c r="K43" s="2">
        <f t="shared" si="8"/>
        <v>58761.15</v>
      </c>
      <c r="L43" t="s">
        <v>13</v>
      </c>
      <c r="M43" t="str">
        <f t="shared" si="9"/>
        <v>Below Average</v>
      </c>
      <c r="N43" t="str">
        <f t="shared" si="10"/>
        <v>Not eligible for bonus</v>
      </c>
      <c r="O43" t="str">
        <f t="shared" si="4"/>
        <v>Excellent</v>
      </c>
      <c r="P43">
        <f>VLOOKUP(L43,'Paid leave'!B:C,2,0)</f>
        <v>12</v>
      </c>
    </row>
    <row r="44" spans="1:16" x14ac:dyDescent="0.3">
      <c r="A44" t="s">
        <v>108</v>
      </c>
      <c r="B44" t="s">
        <v>109</v>
      </c>
      <c r="C44" t="s">
        <v>27</v>
      </c>
      <c r="D44" t="s">
        <v>20</v>
      </c>
      <c r="E44" s="2">
        <v>95910</v>
      </c>
      <c r="F44" s="3">
        <v>44624</v>
      </c>
      <c r="G44" s="3" t="str">
        <f>TEXT(Table2[[#This Row],[Hire Date]],"MM")</f>
        <v>03</v>
      </c>
      <c r="H44">
        <v>5</v>
      </c>
      <c r="I44">
        <v>3</v>
      </c>
      <c r="J44">
        <f t="shared" si="7"/>
        <v>2877.3</v>
      </c>
      <c r="K44" s="2">
        <f t="shared" si="8"/>
        <v>98787.3</v>
      </c>
      <c r="L44" t="s">
        <v>28</v>
      </c>
      <c r="M44" t="str">
        <f t="shared" si="9"/>
        <v>Above average</v>
      </c>
      <c r="N44" t="str">
        <f t="shared" si="10"/>
        <v>Eligible for bonus</v>
      </c>
      <c r="O44" t="str">
        <f t="shared" si="4"/>
        <v>Excellent</v>
      </c>
      <c r="P44">
        <f>VLOOKUP(L44,'Paid leave'!B:C,2,0)</f>
        <v>14</v>
      </c>
    </row>
    <row r="45" spans="1:16" x14ac:dyDescent="0.3">
      <c r="A45" t="s">
        <v>110</v>
      </c>
      <c r="B45" t="s">
        <v>111</v>
      </c>
      <c r="C45" t="s">
        <v>27</v>
      </c>
      <c r="D45" t="s">
        <v>12</v>
      </c>
      <c r="E45" s="2">
        <v>81427</v>
      </c>
      <c r="F45" s="3">
        <v>43108</v>
      </c>
      <c r="G45" s="3" t="str">
        <f>TEXT(Table2[[#This Row],[Hire Date]],"MM")</f>
        <v>01</v>
      </c>
      <c r="H45">
        <v>1</v>
      </c>
      <c r="I45">
        <v>3</v>
      </c>
      <c r="J45">
        <f t="shared" si="7"/>
        <v>2442.81</v>
      </c>
      <c r="K45" s="2">
        <f t="shared" si="8"/>
        <v>83869.81</v>
      </c>
      <c r="L45" t="s">
        <v>28</v>
      </c>
      <c r="M45" t="str">
        <f t="shared" si="9"/>
        <v>Above average</v>
      </c>
      <c r="N45" t="str">
        <f t="shared" si="10"/>
        <v>Not eligible for bonus</v>
      </c>
      <c r="O45" t="str">
        <f t="shared" si="4"/>
        <v>Needs 
Improvement</v>
      </c>
      <c r="P45">
        <f>VLOOKUP(L45,'Paid leave'!B:C,2,0)</f>
        <v>14</v>
      </c>
    </row>
    <row r="46" spans="1:16" x14ac:dyDescent="0.3">
      <c r="A46" t="s">
        <v>112</v>
      </c>
      <c r="B46" t="s">
        <v>113</v>
      </c>
      <c r="C46" t="s">
        <v>31</v>
      </c>
      <c r="D46" t="s">
        <v>20</v>
      </c>
      <c r="E46" s="2">
        <v>70556</v>
      </c>
      <c r="F46" s="3">
        <v>43490</v>
      </c>
      <c r="G46" s="3" t="str">
        <f>TEXT(Table2[[#This Row],[Hire Date]],"MM")</f>
        <v>01</v>
      </c>
      <c r="H46">
        <v>4</v>
      </c>
      <c r="I46">
        <v>3</v>
      </c>
      <c r="J46">
        <f t="shared" si="7"/>
        <v>2116.6799999999998</v>
      </c>
      <c r="K46" s="2">
        <f t="shared" si="8"/>
        <v>72672.679999999993</v>
      </c>
      <c r="L46" t="s">
        <v>35</v>
      </c>
      <c r="M46" t="str">
        <f t="shared" si="9"/>
        <v>Below Average</v>
      </c>
      <c r="N46" t="str">
        <f t="shared" si="10"/>
        <v>Eligible for bonus</v>
      </c>
      <c r="O46" t="str">
        <f t="shared" si="4"/>
        <v>Excellent</v>
      </c>
      <c r="P46">
        <f>VLOOKUP(L46,'Paid leave'!B:C,2,0)</f>
        <v>12</v>
      </c>
    </row>
    <row r="47" spans="1:16" x14ac:dyDescent="0.3">
      <c r="A47" t="s">
        <v>114</v>
      </c>
      <c r="B47" t="s">
        <v>115</v>
      </c>
      <c r="C47" t="s">
        <v>31</v>
      </c>
      <c r="D47" t="s">
        <v>12</v>
      </c>
      <c r="E47" s="2">
        <v>77429</v>
      </c>
      <c r="F47" s="3">
        <v>43280</v>
      </c>
      <c r="G47" s="3" t="str">
        <f>TEXT(Table2[[#This Row],[Hire Date]],"MM")</f>
        <v>06</v>
      </c>
      <c r="H47">
        <v>5</v>
      </c>
      <c r="I47">
        <v>10</v>
      </c>
      <c r="J47">
        <f t="shared" si="7"/>
        <v>7742.9</v>
      </c>
      <c r="K47" s="2">
        <f t="shared" si="8"/>
        <v>85171.9</v>
      </c>
      <c r="L47" t="s">
        <v>32</v>
      </c>
      <c r="M47" t="str">
        <f t="shared" si="9"/>
        <v>Above average</v>
      </c>
      <c r="N47" t="str">
        <f t="shared" si="10"/>
        <v>Eligible for bonus</v>
      </c>
      <c r="O47" t="str">
        <f t="shared" si="4"/>
        <v>Excellent</v>
      </c>
      <c r="P47">
        <f>VLOOKUP(L47,'Paid leave'!B:C,2,0)</f>
        <v>12</v>
      </c>
    </row>
    <row r="48" spans="1:16" x14ac:dyDescent="0.3">
      <c r="A48" t="s">
        <v>116</v>
      </c>
      <c r="B48" t="s">
        <v>117</v>
      </c>
      <c r="C48" t="s">
        <v>31</v>
      </c>
      <c r="D48" t="s">
        <v>12</v>
      </c>
      <c r="E48" s="2">
        <v>80033</v>
      </c>
      <c r="F48" s="3">
        <v>45630</v>
      </c>
      <c r="G48" s="3" t="str">
        <f>TEXT(Table2[[#This Row],[Hire Date]],"MM")</f>
        <v>12</v>
      </c>
      <c r="H48">
        <v>2</v>
      </c>
      <c r="I48">
        <v>5</v>
      </c>
      <c r="J48">
        <f t="shared" si="7"/>
        <v>4001.65</v>
      </c>
      <c r="K48" s="2">
        <f t="shared" si="8"/>
        <v>84034.65</v>
      </c>
      <c r="L48" t="s">
        <v>35</v>
      </c>
      <c r="M48" t="str">
        <f t="shared" si="9"/>
        <v>Above average</v>
      </c>
      <c r="N48" t="str">
        <f t="shared" si="10"/>
        <v>Not eligible for bonus</v>
      </c>
      <c r="O48" t="str">
        <f t="shared" si="4"/>
        <v>Needs 
Improvement</v>
      </c>
      <c r="P48">
        <f>VLOOKUP(L48,'Paid leave'!B:C,2,0)</f>
        <v>12</v>
      </c>
    </row>
    <row r="49" spans="1:16" x14ac:dyDescent="0.3">
      <c r="A49" t="s">
        <v>118</v>
      </c>
      <c r="B49" t="s">
        <v>119</v>
      </c>
      <c r="C49" t="s">
        <v>11</v>
      </c>
      <c r="D49" t="s">
        <v>12</v>
      </c>
      <c r="E49" s="2">
        <v>67814</v>
      </c>
      <c r="F49" s="3">
        <v>45493</v>
      </c>
      <c r="G49" s="3" t="str">
        <f>TEXT(Table2[[#This Row],[Hire Date]],"MM")</f>
        <v>07</v>
      </c>
      <c r="H49">
        <v>1</v>
      </c>
      <c r="I49">
        <v>15</v>
      </c>
      <c r="J49">
        <f t="shared" si="7"/>
        <v>10172.1</v>
      </c>
      <c r="K49" s="2">
        <f t="shared" si="8"/>
        <v>77986.100000000006</v>
      </c>
      <c r="L49" t="s">
        <v>53</v>
      </c>
      <c r="M49" t="str">
        <f t="shared" si="9"/>
        <v>Below Average</v>
      </c>
      <c r="N49" t="str">
        <f t="shared" si="10"/>
        <v>Not eligible for bonus</v>
      </c>
      <c r="O49" t="str">
        <f t="shared" si="4"/>
        <v>Needs 
Improvement</v>
      </c>
      <c r="P49">
        <f>VLOOKUP(L49,'Paid leave'!B:C,2,0)</f>
        <v>12</v>
      </c>
    </row>
    <row r="50" spans="1:16" x14ac:dyDescent="0.3">
      <c r="A50" t="s">
        <v>120</v>
      </c>
      <c r="B50" t="s">
        <v>121</v>
      </c>
      <c r="C50" t="s">
        <v>16</v>
      </c>
      <c r="D50" t="s">
        <v>20</v>
      </c>
      <c r="E50" s="2">
        <v>88427</v>
      </c>
      <c r="F50" s="3">
        <v>43938</v>
      </c>
      <c r="G50" s="3" t="str">
        <f>TEXT(Table2[[#This Row],[Hire Date]],"MM")</f>
        <v>04</v>
      </c>
      <c r="H50">
        <v>1</v>
      </c>
      <c r="I50">
        <v>5</v>
      </c>
      <c r="J50">
        <f t="shared" si="7"/>
        <v>4421.3500000000004</v>
      </c>
      <c r="K50" s="2">
        <f t="shared" si="8"/>
        <v>92848.35</v>
      </c>
      <c r="L50" t="s">
        <v>24</v>
      </c>
      <c r="M50" t="str">
        <f t="shared" si="9"/>
        <v>Above average</v>
      </c>
      <c r="N50" t="str">
        <f t="shared" si="10"/>
        <v>Not eligible for bonus</v>
      </c>
      <c r="O50" t="str">
        <f t="shared" si="4"/>
        <v>Needs 
Improvement</v>
      </c>
      <c r="P50">
        <f>VLOOKUP(L50,'Paid leave'!B:C,2,0)</f>
        <v>20</v>
      </c>
    </row>
    <row r="51" spans="1:16" x14ac:dyDescent="0.3">
      <c r="A51" t="s">
        <v>122</v>
      </c>
      <c r="B51" t="s">
        <v>123</v>
      </c>
      <c r="C51" t="s">
        <v>16</v>
      </c>
      <c r="D51" t="s">
        <v>12</v>
      </c>
      <c r="E51" s="2">
        <v>50471</v>
      </c>
      <c r="F51" s="3">
        <v>45382</v>
      </c>
      <c r="G51" s="3" t="str">
        <f>TEXT(Table2[[#This Row],[Hire Date]],"MM")</f>
        <v>03</v>
      </c>
      <c r="H51">
        <v>2</v>
      </c>
      <c r="I51">
        <v>15</v>
      </c>
      <c r="J51">
        <f t="shared" si="7"/>
        <v>7570.65</v>
      </c>
      <c r="K51" s="2">
        <f t="shared" si="8"/>
        <v>58041.65</v>
      </c>
      <c r="L51" t="s">
        <v>17</v>
      </c>
      <c r="M51" t="str">
        <f t="shared" si="9"/>
        <v>Below Average</v>
      </c>
      <c r="N51" t="str">
        <f t="shared" si="10"/>
        <v>Not eligible for bonus</v>
      </c>
      <c r="O51" t="str">
        <f t="shared" si="4"/>
        <v>Needs 
Improvement</v>
      </c>
      <c r="P51">
        <f>VLOOKUP(L51,'Paid leave'!B:C,2,0)</f>
        <v>15</v>
      </c>
    </row>
  </sheetData>
  <conditionalFormatting sqref="E2:E51">
    <cfRule type="cellIs" dxfId="8" priority="13" operator="greaterThan">
      <formula>75000</formula>
    </cfRule>
  </conditionalFormatting>
  <conditionalFormatting sqref="M2:Q51">
    <cfRule type="cellIs" dxfId="7" priority="12" operator="equal">
      <formula>"Above Average"</formula>
    </cfRule>
  </conditionalFormatting>
  <conditionalFormatting sqref="N2:Q51">
    <cfRule type="cellIs" dxfId="6" priority="11" operator="equal">
      <formula>"Eligible for bonus"</formula>
    </cfRule>
  </conditionalFormatting>
  <conditionalFormatting sqref="O2:Q51">
    <cfRule type="containsText" dxfId="4" priority="4" operator="containsText" text="Needs Improvement">
      <formula>NOT(ISERROR(SEARCH("Needs Improvement",O2)))</formula>
    </cfRule>
    <cfRule type="containsText" dxfId="3" priority="6" operator="containsText" text="Excellent">
      <formula>NOT(ISERROR(SEARCH("Excellent",O2)))</formula>
    </cfRule>
    <cfRule type="containsText" dxfId="2" priority="7" operator="containsText" text="Good">
      <formula>NOT(ISERROR(SEARCH("Good",O2)))</formula>
    </cfRule>
    <cfRule type="cellIs" dxfId="1" priority="8" operator="equal">
      <formula>"Needs Improvement"</formula>
    </cfRule>
    <cfRule type="cellIs" dxfId="0" priority="9" operator="equal">
      <formula>"""Needs  Improvement"""</formula>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A13D15E8-9CAD-47B6-A9C0-7D22D6C71CEF}">
            <xm:f>NOT(ISERROR(SEARCH($D$2,D2)))</xm:f>
            <xm:f>$D$2</xm:f>
            <x14:dxf>
              <fill>
                <patternFill>
                  <bgColor theme="5" tint="0.59996337778862885"/>
                </patternFill>
              </fill>
            </x14:dxf>
          </x14:cfRule>
          <x14:cfRule type="containsText" priority="2" operator="containsText" id="{07B5F4D1-0945-4D20-92E8-C9D2D9D53297}">
            <xm:f>NOT(ISERROR(SEARCH($D$31,D2)))</xm:f>
            <xm:f>$D$31</xm:f>
            <x14:dxf>
              <font>
                <color rgb="FF006100"/>
              </font>
              <fill>
                <patternFill>
                  <bgColor rgb="FFC6EFCE"/>
                </patternFill>
              </fill>
            </x14:dxf>
          </x14:cfRule>
          <xm:sqref>D2:D51</xm:sqref>
        </x14:conditionalFormatting>
        <x14:conditionalFormatting xmlns:xm="http://schemas.microsoft.com/office/excel/2006/main">
          <x14:cfRule type="containsText" priority="3" operator="containsText" id="{97D1723A-2947-40DE-8C59-EA634ABBE8B3}">
            <xm:f>NOT(ISERROR(SEARCH($O$29,O2)))</xm:f>
            <xm:f>$O$29</xm:f>
            <x14:dxf>
              <font>
                <color rgb="FF9C0006"/>
              </font>
              <fill>
                <patternFill>
                  <bgColor rgb="FFFFC7CE"/>
                </patternFill>
              </fill>
            </x14:dxf>
          </x14:cfRule>
          <xm:sqref>O2:Q51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33BF3-50F3-4B35-A206-317CF42F933D}">
  <dimension ref="A1:D10"/>
  <sheetViews>
    <sheetView workbookViewId="0">
      <selection activeCell="E12" sqref="E12"/>
    </sheetView>
  </sheetViews>
  <sheetFormatPr defaultRowHeight="14.4" x14ac:dyDescent="0.3"/>
  <cols>
    <col min="1" max="1" width="11.109375" bestFit="1" customWidth="1"/>
    <col min="2" max="2" width="16" bestFit="1" customWidth="1"/>
    <col min="3" max="3" width="14.77734375" bestFit="1" customWidth="1"/>
    <col min="4" max="4" width="13.5546875" bestFit="1" customWidth="1"/>
  </cols>
  <sheetData>
    <row r="1" spans="1:4" x14ac:dyDescent="0.3">
      <c r="A1" s="1" t="s">
        <v>2</v>
      </c>
      <c r="B1" s="1" t="s">
        <v>8</v>
      </c>
      <c r="C1" s="1" t="s">
        <v>124</v>
      </c>
      <c r="D1" s="7"/>
    </row>
    <row r="2" spans="1:4" x14ac:dyDescent="0.3">
      <c r="A2" t="s">
        <v>31</v>
      </c>
      <c r="B2" t="s">
        <v>32</v>
      </c>
      <c r="C2">
        <v>12</v>
      </c>
    </row>
    <row r="3" spans="1:4" x14ac:dyDescent="0.3">
      <c r="A3" t="s">
        <v>31</v>
      </c>
      <c r="B3" t="s">
        <v>35</v>
      </c>
      <c r="C3">
        <v>12</v>
      </c>
    </row>
    <row r="4" spans="1:4" x14ac:dyDescent="0.3">
      <c r="A4" t="s">
        <v>16</v>
      </c>
      <c r="B4" t="s">
        <v>24</v>
      </c>
      <c r="C4">
        <v>20</v>
      </c>
    </row>
    <row r="5" spans="1:4" x14ac:dyDescent="0.3">
      <c r="A5" t="s">
        <v>16</v>
      </c>
      <c r="B5" t="s">
        <v>21</v>
      </c>
      <c r="C5">
        <v>18</v>
      </c>
    </row>
    <row r="6" spans="1:4" x14ac:dyDescent="0.3">
      <c r="A6" t="s">
        <v>16</v>
      </c>
      <c r="B6" t="s">
        <v>17</v>
      </c>
      <c r="C6">
        <v>15</v>
      </c>
    </row>
    <row r="7" spans="1:4" x14ac:dyDescent="0.3">
      <c r="A7" t="s">
        <v>27</v>
      </c>
      <c r="B7" t="s">
        <v>28</v>
      </c>
      <c r="C7">
        <v>14</v>
      </c>
    </row>
    <row r="8" spans="1:4" x14ac:dyDescent="0.3">
      <c r="A8" t="s">
        <v>27</v>
      </c>
      <c r="B8" t="s">
        <v>50</v>
      </c>
      <c r="C8">
        <v>12</v>
      </c>
    </row>
    <row r="9" spans="1:4" x14ac:dyDescent="0.3">
      <c r="A9" t="s">
        <v>11</v>
      </c>
      <c r="B9" t="s">
        <v>13</v>
      </c>
      <c r="C9">
        <v>12</v>
      </c>
    </row>
    <row r="10" spans="1:4" x14ac:dyDescent="0.3">
      <c r="A10" t="s">
        <v>11</v>
      </c>
      <c r="B10" t="s">
        <v>53</v>
      </c>
      <c r="C10">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A2DA-9FB7-4E7C-9CC3-0053A41AE0F7}">
  <dimension ref="A1:O23"/>
  <sheetViews>
    <sheetView workbookViewId="0">
      <selection activeCell="L1" sqref="L1:O12"/>
    </sheetView>
  </sheetViews>
  <sheetFormatPr defaultRowHeight="14.4" x14ac:dyDescent="0.3"/>
  <cols>
    <col min="1" max="1" width="18.77734375" bestFit="1" customWidth="1"/>
    <col min="2" max="2" width="22.21875" bestFit="1" customWidth="1"/>
    <col min="4" max="4" width="13.6640625" bestFit="1" customWidth="1"/>
    <col min="5" max="5" width="19.88671875" bestFit="1" customWidth="1"/>
    <col min="6" max="9" width="2" bestFit="1" customWidth="1"/>
    <col min="10" max="10" width="10.77734375" bestFit="1" customWidth="1"/>
    <col min="12" max="12" width="16" bestFit="1" customWidth="1"/>
    <col min="13" max="13" width="15.5546875" bestFit="1" customWidth="1"/>
    <col min="14" max="14" width="5.21875" bestFit="1" customWidth="1"/>
    <col min="15" max="15" width="10.77734375" bestFit="1" customWidth="1"/>
  </cols>
  <sheetData>
    <row r="1" spans="1:15" x14ac:dyDescent="0.3">
      <c r="A1" s="18" t="s">
        <v>2</v>
      </c>
      <c r="B1" t="s">
        <v>146</v>
      </c>
      <c r="D1" s="18" t="s">
        <v>148</v>
      </c>
      <c r="E1" s="18" t="s">
        <v>147</v>
      </c>
      <c r="L1" s="18" t="s">
        <v>146</v>
      </c>
      <c r="M1" s="18" t="s">
        <v>147</v>
      </c>
    </row>
    <row r="2" spans="1:15" x14ac:dyDescent="0.3">
      <c r="A2" s="19" t="s">
        <v>31</v>
      </c>
      <c r="B2" s="20">
        <v>15</v>
      </c>
      <c r="D2" s="18" t="s">
        <v>2</v>
      </c>
      <c r="E2">
        <v>1</v>
      </c>
      <c r="F2">
        <v>2</v>
      </c>
      <c r="G2">
        <v>3</v>
      </c>
      <c r="H2">
        <v>4</v>
      </c>
      <c r="I2">
        <v>5</v>
      </c>
      <c r="J2" t="s">
        <v>145</v>
      </c>
      <c r="L2" s="18" t="s">
        <v>144</v>
      </c>
      <c r="M2" t="s">
        <v>12</v>
      </c>
      <c r="N2" t="s">
        <v>20</v>
      </c>
      <c r="O2" t="s">
        <v>145</v>
      </c>
    </row>
    <row r="3" spans="1:15" x14ac:dyDescent="0.3">
      <c r="A3" s="19" t="s">
        <v>16</v>
      </c>
      <c r="B3" s="20">
        <v>12</v>
      </c>
      <c r="D3" s="19" t="s">
        <v>31</v>
      </c>
      <c r="E3" s="20">
        <v>1</v>
      </c>
      <c r="F3" s="20">
        <v>5</v>
      </c>
      <c r="G3" s="20">
        <v>3</v>
      </c>
      <c r="H3" s="20">
        <v>2</v>
      </c>
      <c r="I3" s="20">
        <v>4</v>
      </c>
      <c r="J3" s="20">
        <v>15</v>
      </c>
      <c r="L3" s="19" t="s">
        <v>32</v>
      </c>
      <c r="M3" s="20">
        <v>3</v>
      </c>
      <c r="N3" s="20">
        <v>5</v>
      </c>
      <c r="O3" s="20">
        <v>8</v>
      </c>
    </row>
    <row r="4" spans="1:15" x14ac:dyDescent="0.3">
      <c r="A4" s="19" t="s">
        <v>27</v>
      </c>
      <c r="B4" s="20">
        <v>9</v>
      </c>
      <c r="D4" s="19" t="s">
        <v>16</v>
      </c>
      <c r="E4" s="20">
        <v>3</v>
      </c>
      <c r="F4" s="20">
        <v>1</v>
      </c>
      <c r="G4" s="20">
        <v>2</v>
      </c>
      <c r="H4" s="20">
        <v>3</v>
      </c>
      <c r="I4" s="20">
        <v>3</v>
      </c>
      <c r="J4" s="20">
        <v>12</v>
      </c>
      <c r="L4" s="19" t="s">
        <v>35</v>
      </c>
      <c r="M4" s="20">
        <v>4</v>
      </c>
      <c r="N4" s="20">
        <v>3</v>
      </c>
      <c r="O4" s="20">
        <v>7</v>
      </c>
    </row>
    <row r="5" spans="1:15" x14ac:dyDescent="0.3">
      <c r="A5" s="19" t="s">
        <v>11</v>
      </c>
      <c r="B5" s="20">
        <v>14</v>
      </c>
      <c r="D5" s="19" t="s">
        <v>27</v>
      </c>
      <c r="E5" s="20">
        <v>2</v>
      </c>
      <c r="F5" s="20">
        <v>2</v>
      </c>
      <c r="G5" s="20">
        <v>2</v>
      </c>
      <c r="H5" s="20"/>
      <c r="I5" s="20">
        <v>3</v>
      </c>
      <c r="J5" s="20">
        <v>9</v>
      </c>
      <c r="L5" s="19" t="s">
        <v>24</v>
      </c>
      <c r="M5" s="20"/>
      <c r="N5" s="20">
        <v>5</v>
      </c>
      <c r="O5" s="20">
        <v>5</v>
      </c>
    </row>
    <row r="6" spans="1:15" x14ac:dyDescent="0.3">
      <c r="A6" s="19" t="s">
        <v>145</v>
      </c>
      <c r="B6" s="20">
        <v>50</v>
      </c>
      <c r="D6" s="19" t="s">
        <v>11</v>
      </c>
      <c r="E6" s="20">
        <v>3</v>
      </c>
      <c r="F6" s="20">
        <v>1</v>
      </c>
      <c r="G6" s="20">
        <v>6</v>
      </c>
      <c r="H6" s="20">
        <v>2</v>
      </c>
      <c r="I6" s="20">
        <v>2</v>
      </c>
      <c r="J6" s="20">
        <v>14</v>
      </c>
      <c r="L6" s="19" t="s">
        <v>28</v>
      </c>
      <c r="M6" s="20">
        <v>3</v>
      </c>
      <c r="N6" s="20">
        <v>2</v>
      </c>
      <c r="O6" s="20">
        <v>5</v>
      </c>
    </row>
    <row r="7" spans="1:15" x14ac:dyDescent="0.3">
      <c r="A7" s="19"/>
      <c r="D7" s="19"/>
      <c r="L7" s="19" t="s">
        <v>50</v>
      </c>
      <c r="M7" s="20">
        <v>1</v>
      </c>
      <c r="N7" s="20">
        <v>3</v>
      </c>
      <c r="O7" s="20">
        <v>4</v>
      </c>
    </row>
    <row r="8" spans="1:15" x14ac:dyDescent="0.3">
      <c r="D8" s="18" t="s">
        <v>131</v>
      </c>
      <c r="E8" t="s">
        <v>153</v>
      </c>
      <c r="L8" s="19" t="s">
        <v>13</v>
      </c>
      <c r="M8" s="20">
        <v>7</v>
      </c>
      <c r="N8" s="20">
        <v>2</v>
      </c>
      <c r="O8" s="20">
        <v>9</v>
      </c>
    </row>
    <row r="9" spans="1:15" x14ac:dyDescent="0.3">
      <c r="L9" s="19" t="s">
        <v>53</v>
      </c>
      <c r="M9" s="20">
        <v>4</v>
      </c>
      <c r="N9" s="20">
        <v>1</v>
      </c>
      <c r="O9" s="20">
        <v>5</v>
      </c>
    </row>
    <row r="10" spans="1:15" x14ac:dyDescent="0.3">
      <c r="A10" s="18" t="s">
        <v>2</v>
      </c>
      <c r="B10" t="s">
        <v>149</v>
      </c>
      <c r="D10" s="18" t="s">
        <v>144</v>
      </c>
      <c r="E10" t="s">
        <v>150</v>
      </c>
      <c r="L10" s="19" t="s">
        <v>21</v>
      </c>
      <c r="M10" s="20">
        <v>1</v>
      </c>
      <c r="N10" s="20">
        <v>2</v>
      </c>
      <c r="O10" s="20">
        <v>3</v>
      </c>
    </row>
    <row r="11" spans="1:15" x14ac:dyDescent="0.3">
      <c r="A11" s="19" t="s">
        <v>31</v>
      </c>
      <c r="B11" s="2">
        <v>1118119</v>
      </c>
      <c r="D11" s="19" t="s">
        <v>12</v>
      </c>
      <c r="E11" s="2">
        <v>2049199.1699999995</v>
      </c>
      <c r="L11" s="19" t="s">
        <v>17</v>
      </c>
      <c r="M11" s="20">
        <v>2</v>
      </c>
      <c r="N11" s="20">
        <v>2</v>
      </c>
      <c r="O11" s="20">
        <v>4</v>
      </c>
    </row>
    <row r="12" spans="1:15" x14ac:dyDescent="0.3">
      <c r="A12" s="19" t="s">
        <v>16</v>
      </c>
      <c r="B12" s="2">
        <v>886923</v>
      </c>
      <c r="D12" s="19" t="s">
        <v>20</v>
      </c>
      <c r="E12" s="2">
        <v>1949081.0899999999</v>
      </c>
      <c r="L12" s="19" t="s">
        <v>145</v>
      </c>
      <c r="M12" s="20">
        <v>25</v>
      </c>
      <c r="N12" s="20">
        <v>25</v>
      </c>
      <c r="O12" s="20">
        <v>50</v>
      </c>
    </row>
    <row r="13" spans="1:15" x14ac:dyDescent="0.3">
      <c r="A13" s="19" t="s">
        <v>27</v>
      </c>
      <c r="B13" s="2">
        <v>604038</v>
      </c>
      <c r="D13" s="19" t="s">
        <v>145</v>
      </c>
      <c r="E13" s="2">
        <v>3998280.2599999993</v>
      </c>
    </row>
    <row r="14" spans="1:15" x14ac:dyDescent="0.3">
      <c r="A14" s="19" t="s">
        <v>11</v>
      </c>
      <c r="B14" s="2">
        <v>1071267</v>
      </c>
    </row>
    <row r="15" spans="1:15" x14ac:dyDescent="0.3">
      <c r="A15" s="19" t="s">
        <v>145</v>
      </c>
      <c r="B15" s="2">
        <v>3680347</v>
      </c>
    </row>
    <row r="16" spans="1:15" x14ac:dyDescent="0.3">
      <c r="A16" s="19"/>
      <c r="B16" s="2"/>
    </row>
    <row r="17" spans="1:2" x14ac:dyDescent="0.3">
      <c r="A17" s="18" t="s">
        <v>130</v>
      </c>
      <c r="B17" t="s">
        <v>153</v>
      </c>
    </row>
    <row r="19" spans="1:2" x14ac:dyDescent="0.3">
      <c r="A19" s="18" t="s">
        <v>144</v>
      </c>
      <c r="B19" t="s">
        <v>152</v>
      </c>
    </row>
    <row r="20" spans="1:2" x14ac:dyDescent="0.3">
      <c r="A20" s="19" t="s">
        <v>138</v>
      </c>
      <c r="B20" s="20">
        <v>19</v>
      </c>
    </row>
    <row r="21" spans="1:2" x14ac:dyDescent="0.3">
      <c r="A21" s="19" t="s">
        <v>137</v>
      </c>
      <c r="B21" s="20">
        <v>13</v>
      </c>
    </row>
    <row r="22" spans="1:2" x14ac:dyDescent="0.3">
      <c r="A22" s="19" t="s">
        <v>151</v>
      </c>
      <c r="B22" s="20">
        <v>18</v>
      </c>
    </row>
    <row r="23" spans="1:2" x14ac:dyDescent="0.3">
      <c r="A23" s="19" t="s">
        <v>145</v>
      </c>
      <c r="B23" s="20">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C7DE-49B1-4A35-9A2F-05AD745CC17F}">
  <sheetPr>
    <pageSetUpPr fitToPage="1"/>
  </sheetPr>
  <dimension ref="A1"/>
  <sheetViews>
    <sheetView tabSelected="1" zoomScaleNormal="100" workbookViewId="0">
      <selection activeCell="C2" sqref="C2"/>
    </sheetView>
  </sheetViews>
  <sheetFormatPr defaultRowHeight="14.4" x14ac:dyDescent="0.3"/>
  <sheetData/>
  <pageMargins left="0.7" right="0.7" top="0.75" bottom="0.75" header="0.3" footer="0.3"/>
  <pageSetup paperSize="9" scale="42"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data</vt:lpstr>
      <vt:lpstr>Paid leave</vt:lpstr>
      <vt:lpstr>pivots</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Jain</dc:creator>
  <cp:lastModifiedBy>Aditi Jain</cp:lastModifiedBy>
  <dcterms:created xsi:type="dcterms:W3CDTF">2015-06-05T18:17:20Z</dcterms:created>
  <dcterms:modified xsi:type="dcterms:W3CDTF">2025-03-20T05:07:54Z</dcterms:modified>
</cp:coreProperties>
</file>