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6.xml" ContentType="application/vnd.openxmlformats-officedocument.spreadsheetml.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rishi\OneDrive\Desktop\EXCEL PRACTICE\BOOT CAMP3.O\"/>
    </mc:Choice>
  </mc:AlternateContent>
  <xr:revisionPtr revIDLastSave="0" documentId="13_ncr:1_{FDF44172-34AC-42F0-9AF4-8F0621AD524F}" xr6:coauthVersionLast="47" xr6:coauthVersionMax="47" xr10:uidLastSave="{00000000-0000-0000-0000-000000000000}"/>
  <bookViews>
    <workbookView xWindow="-108" yWindow="-108" windowWidth="23256" windowHeight="12456" tabRatio="676" firstSheet="1" activeTab="2" xr2:uid="{00000000-000D-0000-FFFF-FFFF00000000}"/>
  </bookViews>
  <sheets>
    <sheet name="movies" sheetId="1" r:id="rId1"/>
    <sheet name="Index match formula" sheetId="6" r:id="rId2"/>
    <sheet name="financials" sheetId="2" r:id="rId3"/>
    <sheet name="X lookup" sheetId="7" r:id="rId4"/>
    <sheet name="Business Metrics or KPIS" sheetId="8" r:id="rId5"/>
    <sheet name="actors" sheetId="3" r:id="rId6"/>
    <sheet name="Marvel Studios(P&amp;L statement)" sheetId="9" r:id="rId7"/>
    <sheet name="Basic Statistics" sheetId="10" r:id="rId8"/>
    <sheet name="Co-relation" sheetId="14" r:id="rId9"/>
    <sheet name="movie_actor" sheetId="4" r:id="rId10"/>
    <sheet name="languages" sheetId="5" r:id="rId11"/>
  </sheets>
  <definedNames>
    <definedName name="JugnadaMean">'Basic Statistics'!$G$79</definedName>
    <definedName name="KranceMean">'Basic Statistics'!$L$79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2" l="1" a="1"/>
  <c r="I2" i="2" s="1"/>
  <c r="I3" i="2" a="1"/>
  <c r="I3" i="2" s="1"/>
  <c r="I4" i="2" a="1"/>
  <c r="I4" i="2"/>
  <c r="I5" i="2" a="1"/>
  <c r="I5" i="2" s="1"/>
  <c r="I6" i="2" a="1"/>
  <c r="I6" i="2"/>
  <c r="I7" i="2" a="1"/>
  <c r="I7" i="2" s="1"/>
  <c r="I8" i="2" a="1"/>
  <c r="I8" i="2" s="1"/>
  <c r="I9" i="2" a="1"/>
  <c r="I9" i="2" s="1"/>
  <c r="I10" i="2" a="1"/>
  <c r="I10" i="2" s="1"/>
  <c r="I11" i="2" a="1"/>
  <c r="I11" i="2" s="1"/>
  <c r="I12" i="2" a="1"/>
  <c r="I12" i="2" s="1"/>
  <c r="I13" i="2" a="1"/>
  <c r="I13" i="2" s="1"/>
  <c r="I14" i="2" a="1"/>
  <c r="I14" i="2" s="1"/>
  <c r="I15" i="2" a="1"/>
  <c r="I15" i="2" s="1"/>
  <c r="I16" i="2" a="1"/>
  <c r="I16" i="2" s="1"/>
  <c r="I17" i="2" a="1"/>
  <c r="I17" i="2" s="1"/>
  <c r="I18" i="2" a="1"/>
  <c r="I18" i="2" s="1"/>
  <c r="I19" i="2" a="1"/>
  <c r="I19" i="2" s="1"/>
  <c r="I20" i="2" a="1"/>
  <c r="I20" i="2" s="1"/>
  <c r="I21" i="2" a="1"/>
  <c r="I21" i="2" s="1"/>
  <c r="I22" i="2" a="1"/>
  <c r="I22" i="2" s="1"/>
  <c r="I23" i="2" a="1"/>
  <c r="I23" i="2" s="1"/>
  <c r="I24" i="2" a="1"/>
  <c r="I24" i="2" s="1"/>
  <c r="I25" i="2" a="1"/>
  <c r="I25" i="2" s="1"/>
  <c r="I26" i="2" a="1"/>
  <c r="I26" i="2" s="1"/>
  <c r="I27" i="2" a="1"/>
  <c r="I27" i="2" s="1"/>
  <c r="I28" i="2" a="1"/>
  <c r="I28" i="2" s="1"/>
  <c r="I29" i="2" a="1"/>
  <c r="I29" i="2" s="1"/>
  <c r="I30" i="2" a="1"/>
  <c r="I30" i="2"/>
  <c r="I31" i="2" a="1"/>
  <c r="I31" i="2" s="1"/>
  <c r="I32" i="2" a="1"/>
  <c r="I32" i="2" s="1"/>
  <c r="I33" i="2" a="1"/>
  <c r="I33" i="2" s="1"/>
  <c r="I34" i="2" a="1"/>
  <c r="I34" i="2" s="1"/>
  <c r="I35" i="2" a="1"/>
  <c r="I35" i="2" s="1"/>
  <c r="I36" i="2" a="1"/>
  <c r="I36" i="2" s="1"/>
  <c r="I37" i="2" a="1"/>
  <c r="I37" i="2" s="1"/>
  <c r="I38" i="2" a="1"/>
  <c r="I38" i="2" s="1"/>
  <c r="I39" i="2" a="1"/>
  <c r="I39" i="2" s="1"/>
  <c r="I40" i="2" a="1"/>
  <c r="I40" i="2" s="1"/>
  <c r="I41" i="2" a="1"/>
  <c r="I41" i="2" s="1"/>
  <c r="H2" i="2" a="1"/>
  <c r="H2" i="2" s="1"/>
  <c r="H3" i="2" a="1"/>
  <c r="H3" i="2" s="1"/>
  <c r="H4" i="2" a="1"/>
  <c r="H4" i="2" s="1"/>
  <c r="H5" i="2" a="1"/>
  <c r="H5" i="2" s="1"/>
  <c r="H6" i="2" a="1"/>
  <c r="H6" i="2" s="1"/>
  <c r="H7" i="2" a="1"/>
  <c r="H7" i="2" s="1"/>
  <c r="H8" i="2" a="1"/>
  <c r="H8" i="2" s="1"/>
  <c r="H9" i="2" a="1"/>
  <c r="H9" i="2" s="1"/>
  <c r="H10" i="2" a="1"/>
  <c r="H10" i="2" s="1"/>
  <c r="H11" i="2" a="1"/>
  <c r="H11" i="2" s="1"/>
  <c r="H12" i="2" a="1"/>
  <c r="H12" i="2" s="1"/>
  <c r="H13" i="2" a="1"/>
  <c r="H13" i="2" s="1"/>
  <c r="H14" i="2" a="1"/>
  <c r="H14" i="2" s="1"/>
  <c r="H15" i="2" a="1"/>
  <c r="H15" i="2" s="1"/>
  <c r="H16" i="2" a="1"/>
  <c r="H16" i="2" s="1"/>
  <c r="H17" i="2" a="1"/>
  <c r="H17" i="2" s="1"/>
  <c r="H18" i="2" a="1"/>
  <c r="H18" i="2" s="1"/>
  <c r="H19" i="2" a="1"/>
  <c r="H19" i="2" s="1"/>
  <c r="H20" i="2" a="1"/>
  <c r="H20" i="2" s="1"/>
  <c r="H21" i="2" a="1"/>
  <c r="H21" i="2" s="1"/>
  <c r="H22" i="2" a="1"/>
  <c r="H22" i="2" s="1"/>
  <c r="H23" i="2" a="1"/>
  <c r="H23" i="2"/>
  <c r="H24" i="2" a="1"/>
  <c r="H24" i="2" s="1"/>
  <c r="H25" i="2" a="1"/>
  <c r="H25" i="2" s="1"/>
  <c r="H26" i="2" a="1"/>
  <c r="H26" i="2" s="1"/>
  <c r="H27" i="2" a="1"/>
  <c r="H27" i="2" s="1"/>
  <c r="H28" i="2" a="1"/>
  <c r="H28" i="2" s="1"/>
  <c r="H29" i="2" a="1"/>
  <c r="H29" i="2" s="1"/>
  <c r="H30" i="2" a="1"/>
  <c r="H30" i="2" s="1"/>
  <c r="H31" i="2" a="1"/>
  <c r="H31" i="2" s="1"/>
  <c r="H32" i="2" a="1"/>
  <c r="H32" i="2" s="1"/>
  <c r="H33" i="2" a="1"/>
  <c r="H33" i="2" s="1"/>
  <c r="H34" i="2" a="1"/>
  <c r="H34" i="2" s="1"/>
  <c r="H35" i="2" a="1"/>
  <c r="H35" i="2" s="1"/>
  <c r="H36" i="2" a="1"/>
  <c r="H36" i="2" s="1"/>
  <c r="H37" i="2" a="1"/>
  <c r="H37" i="2" s="1"/>
  <c r="H38" i="2" a="1"/>
  <c r="H38" i="2" s="1"/>
  <c r="H39" i="2" a="1"/>
  <c r="H39" i="2" s="1"/>
  <c r="H40" i="2" a="1"/>
  <c r="H40" i="2" s="1"/>
  <c r="H41" i="2" a="1"/>
  <c r="H41" i="2" s="1"/>
  <c r="G2" i="2" a="1"/>
  <c r="G2" i="2" s="1"/>
  <c r="G3" i="2" a="1"/>
  <c r="G3" i="2" s="1"/>
  <c r="G4" i="2" a="1"/>
  <c r="G4" i="2" s="1"/>
  <c r="G5" i="2" a="1"/>
  <c r="G5" i="2" s="1"/>
  <c r="G6" i="2" a="1"/>
  <c r="G6" i="2" s="1"/>
  <c r="G7" i="2" a="1"/>
  <c r="G7" i="2" s="1"/>
  <c r="G8" i="2" a="1"/>
  <c r="G8" i="2" s="1"/>
  <c r="G9" i="2" a="1"/>
  <c r="G9" i="2" s="1"/>
  <c r="G10" i="2" a="1"/>
  <c r="G10" i="2" s="1"/>
  <c r="G11" i="2" a="1"/>
  <c r="G11" i="2" s="1"/>
  <c r="G12" i="2" a="1"/>
  <c r="G12" i="2" s="1"/>
  <c r="G13" i="2" a="1"/>
  <c r="G13" i="2" s="1"/>
  <c r="G14" i="2" a="1"/>
  <c r="G14" i="2" s="1"/>
  <c r="G15" i="2" a="1"/>
  <c r="G15" i="2" s="1"/>
  <c r="G16" i="2" a="1"/>
  <c r="G16" i="2" s="1"/>
  <c r="G17" i="2" a="1"/>
  <c r="G17" i="2" s="1"/>
  <c r="G18" i="2" a="1"/>
  <c r="G18" i="2" s="1"/>
  <c r="G19" i="2" a="1"/>
  <c r="G19" i="2" s="1"/>
  <c r="G20" i="2" a="1"/>
  <c r="G20" i="2" s="1"/>
  <c r="G21" i="2" a="1"/>
  <c r="G21" i="2"/>
  <c r="G22" i="2" a="1"/>
  <c r="G22" i="2" s="1"/>
  <c r="G23" i="2" a="1"/>
  <c r="G23" i="2" s="1"/>
  <c r="G24" i="2" a="1"/>
  <c r="G24" i="2" s="1"/>
  <c r="G25" i="2" a="1"/>
  <c r="G25" i="2" s="1"/>
  <c r="G26" i="2" a="1"/>
  <c r="G26" i="2" s="1"/>
  <c r="G27" i="2" a="1"/>
  <c r="G27" i="2" s="1"/>
  <c r="G28" i="2" a="1"/>
  <c r="G28" i="2" s="1"/>
  <c r="G29" i="2" a="1"/>
  <c r="G29" i="2" s="1"/>
  <c r="G30" i="2" a="1"/>
  <c r="G30" i="2" s="1"/>
  <c r="G31" i="2" a="1"/>
  <c r="G31" i="2" s="1"/>
  <c r="G32" i="2" a="1"/>
  <c r="G32" i="2" s="1"/>
  <c r="G33" i="2" a="1"/>
  <c r="G33" i="2" s="1"/>
  <c r="G34" i="2" a="1"/>
  <c r="G34" i="2" s="1"/>
  <c r="G35" i="2" a="1"/>
  <c r="G35" i="2" s="1"/>
  <c r="G36" i="2" a="1"/>
  <c r="G36" i="2" s="1"/>
  <c r="G37" i="2" a="1"/>
  <c r="G37" i="2" s="1"/>
  <c r="G38" i="2" a="1"/>
  <c r="G38" i="2" s="1"/>
  <c r="G39" i="2" a="1"/>
  <c r="G39" i="2" s="1"/>
  <c r="G40" i="2" a="1"/>
  <c r="G40" i="2" s="1"/>
  <c r="G41" i="2" a="1"/>
  <c r="G41" i="2" s="1"/>
  <c r="L2" i="7"/>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I2" i="7" a="1"/>
  <c r="I2" i="7" s="1"/>
  <c r="B62" i="14"/>
  <c r="B43" i="14" l="1"/>
  <c r="B19" i="14"/>
  <c r="B20" i="14"/>
  <c r="B21" i="14"/>
  <c r="B18" i="14"/>
  <c r="B10" i="14"/>
  <c r="O44" i="10"/>
  <c r="O42" i="10"/>
  <c r="O41" i="10"/>
  <c r="B23" i="14" l="1"/>
  <c r="H73" i="10"/>
  <c r="I73" i="10" s="1"/>
  <c r="H74" i="10"/>
  <c r="I74" i="10" s="1"/>
  <c r="H75" i="10"/>
  <c r="I75" i="10" s="1"/>
  <c r="H76" i="10"/>
  <c r="I76" i="10" s="1"/>
  <c r="L79" i="10"/>
  <c r="M77" i="10" s="1"/>
  <c r="N77" i="10" s="1"/>
  <c r="G79" i="10"/>
  <c r="H77" i="10" s="1"/>
  <c r="I77" i="10" s="1"/>
  <c r="K49" i="10"/>
  <c r="K48" i="10"/>
  <c r="K47" i="10"/>
  <c r="K41" i="10"/>
  <c r="K42" i="10"/>
  <c r="K43" i="10"/>
  <c r="K27" i="10" a="1"/>
  <c r="K27" i="10" s="1"/>
  <c r="K17" i="10" a="1"/>
  <c r="K17" i="10" s="1"/>
  <c r="K26" i="10" a="1"/>
  <c r="K26" i="10" s="1"/>
  <c r="K16" i="10" a="1"/>
  <c r="K16" i="10" s="1"/>
  <c r="G12" i="10"/>
  <c r="B11" i="10"/>
  <c r="M74" i="10" l="1"/>
  <c r="N74" i="10" s="1"/>
  <c r="M76" i="10"/>
  <c r="N76" i="10" s="1"/>
  <c r="M75" i="10"/>
  <c r="N75" i="10" s="1"/>
  <c r="M73" i="10"/>
  <c r="N73" i="10" s="1"/>
  <c r="M72" i="10"/>
  <c r="N72" i="10" s="1"/>
  <c r="H72" i="10"/>
  <c r="I72" i="10" s="1"/>
  <c r="N32" i="10"/>
  <c r="D5" i="9"/>
  <c r="H2" i="1" a="1"/>
  <c r="H2" i="1" s="1"/>
  <c r="N80" i="10" l="1"/>
  <c r="N79" i="10"/>
  <c r="N81" i="10" s="1"/>
  <c r="I79" i="10"/>
  <c r="I80" i="10"/>
  <c r="Q2" i="8"/>
  <c r="Q3" i="8"/>
  <c r="Q4" i="8"/>
  <c r="Q5" i="8"/>
  <c r="Q6" i="8"/>
  <c r="Q7" i="8"/>
  <c r="Q8" i="8"/>
  <c r="Q9" i="8"/>
  <c r="Q10" i="8"/>
  <c r="Q11" i="8"/>
  <c r="Q12" i="8"/>
  <c r="Q13" i="8"/>
  <c r="Q14" i="8"/>
  <c r="Q15" i="8"/>
  <c r="Q16" i="8"/>
  <c r="Q17" i="8"/>
  <c r="Q18" i="8"/>
  <c r="Q19" i="8"/>
  <c r="Q20" i="8"/>
  <c r="Q21" i="8"/>
  <c r="Q22" i="8"/>
  <c r="Q23" i="8"/>
  <c r="Q24" i="8"/>
  <c r="Q25" i="8"/>
  <c r="Q26" i="8"/>
  <c r="Q27" i="8"/>
  <c r="Q28" i="8"/>
  <c r="Q29" i="8"/>
  <c r="Q30" i="8"/>
  <c r="Q31" i="8"/>
  <c r="Q32" i="8"/>
  <c r="Q33" i="8"/>
  <c r="Q34" i="8"/>
  <c r="Q35" i="8"/>
  <c r="Q36" i="8"/>
  <c r="Q37" i="8"/>
  <c r="Q38" i="8"/>
  <c r="Q39" i="8"/>
  <c r="Q40" i="8"/>
  <c r="P2" i="8"/>
  <c r="P3" i="8"/>
  <c r="P4" i="8"/>
  <c r="P5" i="8"/>
  <c r="P6" i="8"/>
  <c r="P7" i="8"/>
  <c r="P8" i="8"/>
  <c r="P9"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O52" i="8"/>
  <c r="O51" i="8"/>
  <c r="O50" i="8"/>
  <c r="I81" i="10" l="1"/>
  <c r="I82" i="10" s="1"/>
  <c r="N82" i="10"/>
  <c r="B3" i="9"/>
  <c r="E3" i="9" s="1"/>
  <c r="F3" i="9" s="1"/>
  <c r="O66" i="8"/>
  <c r="O65" i="8"/>
  <c r="O64" i="8"/>
  <c r="O63" i="8"/>
  <c r="M2" i="8"/>
  <c r="M3" i="8"/>
  <c r="M4" i="8"/>
  <c r="M5" i="8"/>
  <c r="M6" i="8"/>
  <c r="M7" i="8"/>
  <c r="M8" i="8"/>
  <c r="M9" i="8"/>
  <c r="M10" i="8"/>
  <c r="M11" i="8"/>
  <c r="M12" i="8"/>
  <c r="M13" i="8"/>
  <c r="M14" i="8"/>
  <c r="M15" i="8"/>
  <c r="M16" i="8"/>
  <c r="M17" i="8"/>
  <c r="M18" i="8"/>
  <c r="M19" i="8"/>
  <c r="M20" i="8"/>
  <c r="M21" i="8"/>
  <c r="M22" i="8"/>
  <c r="M23" i="8"/>
  <c r="M24" i="8"/>
  <c r="M25" i="8"/>
  <c r="M26" i="8"/>
  <c r="M27" i="8"/>
  <c r="M28" i="8"/>
  <c r="M29" i="8"/>
  <c r="M30" i="8"/>
  <c r="M31" i="8"/>
  <c r="M32" i="8"/>
  <c r="M33" i="8"/>
  <c r="M34" i="8"/>
  <c r="M35" i="8"/>
  <c r="M36" i="8"/>
  <c r="M37" i="8"/>
  <c r="M38" i="8"/>
  <c r="M39" i="8"/>
  <c r="M40" i="8"/>
  <c r="L2" i="8"/>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H3" i="1" a="1"/>
  <c r="H3" i="1" s="1"/>
  <c r="I3" i="1" a="1"/>
  <c r="I3" i="1" s="1"/>
  <c r="J3" i="1" a="1"/>
  <c r="J3" i="1" s="1"/>
  <c r="K3" i="1" a="1"/>
  <c r="K3" i="1" s="1"/>
  <c r="L3" i="1" a="1"/>
  <c r="L3" i="1" s="1"/>
  <c r="M3" i="1" a="1"/>
  <c r="M3" i="1" s="1"/>
  <c r="N3" i="1" a="1"/>
  <c r="N3" i="1" s="1"/>
  <c r="O3" i="1" a="1"/>
  <c r="O3" i="1" s="1"/>
  <c r="H4" i="1" a="1"/>
  <c r="H4" i="1" s="1"/>
  <c r="I4" i="1" a="1"/>
  <c r="I4" i="1" s="1"/>
  <c r="J4" i="1" a="1"/>
  <c r="J4" i="1" s="1"/>
  <c r="K4" i="1" a="1"/>
  <c r="K4" i="1" s="1"/>
  <c r="L4" i="1" a="1"/>
  <c r="L4" i="1" s="1"/>
  <c r="M4" i="1" a="1"/>
  <c r="M4" i="1" s="1"/>
  <c r="N4" i="1" a="1"/>
  <c r="N4" i="1" s="1"/>
  <c r="O4" i="1" a="1"/>
  <c r="O4" i="1" s="1"/>
  <c r="H5" i="1" a="1"/>
  <c r="H5" i="1" s="1"/>
  <c r="I5" i="1" a="1"/>
  <c r="I5" i="1" s="1"/>
  <c r="J5" i="1" a="1"/>
  <c r="J5" i="1" s="1"/>
  <c r="K5" i="1" a="1"/>
  <c r="K5" i="1" s="1"/>
  <c r="L5" i="1" a="1"/>
  <c r="L5" i="1" s="1"/>
  <c r="M5" i="1" a="1"/>
  <c r="M5" i="1" s="1"/>
  <c r="N5" i="1" a="1"/>
  <c r="N5" i="1" s="1"/>
  <c r="O5" i="1" a="1"/>
  <c r="O5" i="1" s="1"/>
  <c r="H6" i="1" a="1"/>
  <c r="H6" i="1" s="1"/>
  <c r="I6" i="1" a="1"/>
  <c r="I6" i="1" s="1"/>
  <c r="J6" i="1" a="1"/>
  <c r="J6" i="1" s="1"/>
  <c r="K6" i="1" a="1"/>
  <c r="K6" i="1" s="1"/>
  <c r="L6" i="1" a="1"/>
  <c r="L6" i="1" s="1"/>
  <c r="M6" i="1" a="1"/>
  <c r="M6" i="1" s="1"/>
  <c r="N6" i="1" a="1"/>
  <c r="N6" i="1" s="1"/>
  <c r="O6" i="1" a="1"/>
  <c r="O6" i="1" s="1"/>
  <c r="H7" i="1" a="1"/>
  <c r="H7" i="1" s="1"/>
  <c r="I7" i="1" a="1"/>
  <c r="I7" i="1" s="1"/>
  <c r="J7" i="1" a="1"/>
  <c r="J7" i="1" s="1"/>
  <c r="K7" i="1" a="1"/>
  <c r="K7" i="1" s="1"/>
  <c r="L7" i="1" a="1"/>
  <c r="L7" i="1" s="1"/>
  <c r="M7" i="1" a="1"/>
  <c r="M7" i="1" s="1"/>
  <c r="N7" i="1" a="1"/>
  <c r="N7" i="1" s="1"/>
  <c r="O7" i="1" a="1"/>
  <c r="O7" i="1" s="1"/>
  <c r="H8" i="1" a="1"/>
  <c r="H8" i="1" s="1"/>
  <c r="I8" i="1" a="1"/>
  <c r="I8" i="1" s="1"/>
  <c r="J8" i="1" a="1"/>
  <c r="J8" i="1" s="1"/>
  <c r="K8" i="1" a="1"/>
  <c r="K8" i="1" s="1"/>
  <c r="L8" i="1" a="1"/>
  <c r="L8" i="1" s="1"/>
  <c r="M8" i="1" a="1"/>
  <c r="M8" i="1" s="1"/>
  <c r="N8" i="1" a="1"/>
  <c r="N8" i="1" s="1"/>
  <c r="O8" i="1" a="1"/>
  <c r="O8" i="1" s="1"/>
  <c r="H9" i="1" a="1"/>
  <c r="H9" i="1" s="1"/>
  <c r="I9" i="1" a="1"/>
  <c r="I9" i="1" s="1"/>
  <c r="J9" i="1" a="1"/>
  <c r="J9" i="1" s="1"/>
  <c r="K9" i="1" a="1"/>
  <c r="K9" i="1" s="1"/>
  <c r="L9" i="1" a="1"/>
  <c r="L9" i="1" s="1"/>
  <c r="M9" i="1" a="1"/>
  <c r="M9" i="1" s="1"/>
  <c r="N9" i="1" a="1"/>
  <c r="N9" i="1" s="1"/>
  <c r="O9" i="1" a="1"/>
  <c r="O9" i="1" s="1"/>
  <c r="H10" i="1" a="1"/>
  <c r="H10" i="1" s="1"/>
  <c r="I10" i="1" a="1"/>
  <c r="I10" i="1" s="1"/>
  <c r="J10" i="1" a="1"/>
  <c r="J10" i="1" s="1"/>
  <c r="K10" i="1" a="1"/>
  <c r="K10" i="1" s="1"/>
  <c r="L10" i="1" a="1"/>
  <c r="L10" i="1" s="1"/>
  <c r="M10" i="1" a="1"/>
  <c r="M10" i="1" s="1"/>
  <c r="N10" i="1" a="1"/>
  <c r="N10" i="1" s="1"/>
  <c r="O10" i="1" a="1"/>
  <c r="O10" i="1" s="1"/>
  <c r="H11" i="1" a="1"/>
  <c r="H11" i="1" s="1"/>
  <c r="I11" i="1" a="1"/>
  <c r="I11" i="1" s="1"/>
  <c r="J11" i="1" a="1"/>
  <c r="J11" i="1" s="1"/>
  <c r="K11" i="1" a="1"/>
  <c r="K11" i="1" s="1"/>
  <c r="L11" i="1" a="1"/>
  <c r="L11" i="1" s="1"/>
  <c r="M11" i="1" a="1"/>
  <c r="M11" i="1" s="1"/>
  <c r="N11" i="1" a="1"/>
  <c r="N11" i="1" s="1"/>
  <c r="O11" i="1" a="1"/>
  <c r="O11" i="1" s="1"/>
  <c r="H12" i="1" a="1"/>
  <c r="H12" i="1" s="1"/>
  <c r="I12" i="1" a="1"/>
  <c r="I12" i="1" s="1"/>
  <c r="J12" i="1" a="1"/>
  <c r="J12" i="1" s="1"/>
  <c r="K12" i="1" a="1"/>
  <c r="K12" i="1" s="1"/>
  <c r="L12" i="1" a="1"/>
  <c r="L12" i="1" s="1"/>
  <c r="M12" i="1" a="1"/>
  <c r="M12" i="1" s="1"/>
  <c r="N12" i="1" a="1"/>
  <c r="N12" i="1" s="1"/>
  <c r="O12" i="1" a="1"/>
  <c r="O12" i="1" s="1"/>
  <c r="H13" i="1" a="1"/>
  <c r="H13" i="1" s="1"/>
  <c r="I13" i="1" a="1"/>
  <c r="I13" i="1" s="1"/>
  <c r="J13" i="1" a="1"/>
  <c r="J13" i="1" s="1"/>
  <c r="K13" i="1" a="1"/>
  <c r="K13" i="1" s="1"/>
  <c r="L13" i="1" a="1"/>
  <c r="L13" i="1" s="1"/>
  <c r="M13" i="1" a="1"/>
  <c r="M13" i="1" s="1"/>
  <c r="N13" i="1" a="1"/>
  <c r="N13" i="1" s="1"/>
  <c r="O13" i="1" a="1"/>
  <c r="O13" i="1" s="1"/>
  <c r="H14" i="1" a="1"/>
  <c r="H14" i="1" s="1"/>
  <c r="I14" i="1" a="1"/>
  <c r="I14" i="1" s="1"/>
  <c r="J14" i="1" a="1"/>
  <c r="J14" i="1" s="1"/>
  <c r="K14" i="1" a="1"/>
  <c r="K14" i="1" s="1"/>
  <c r="L14" i="1" a="1"/>
  <c r="L14" i="1" s="1"/>
  <c r="M14" i="1" a="1"/>
  <c r="M14" i="1" s="1"/>
  <c r="N14" i="1" a="1"/>
  <c r="N14" i="1" s="1"/>
  <c r="O14" i="1" a="1"/>
  <c r="O14" i="1" s="1"/>
  <c r="H15" i="1" a="1"/>
  <c r="H15" i="1" s="1"/>
  <c r="I15" i="1" a="1"/>
  <c r="I15" i="1" s="1"/>
  <c r="J15" i="1" a="1"/>
  <c r="J15" i="1" s="1"/>
  <c r="K15" i="1" a="1"/>
  <c r="K15" i="1" s="1"/>
  <c r="L15" i="1" a="1"/>
  <c r="L15" i="1" s="1"/>
  <c r="M15" i="1" a="1"/>
  <c r="M15" i="1" s="1"/>
  <c r="N15" i="1" a="1"/>
  <c r="N15" i="1" s="1"/>
  <c r="O15" i="1" a="1"/>
  <c r="O15" i="1" s="1"/>
  <c r="H16" i="1" a="1"/>
  <c r="H16" i="1" s="1"/>
  <c r="I16" i="1" a="1"/>
  <c r="I16" i="1" s="1"/>
  <c r="J16" i="1" a="1"/>
  <c r="J16" i="1" s="1"/>
  <c r="K16" i="1" a="1"/>
  <c r="K16" i="1" s="1"/>
  <c r="L16" i="1" a="1"/>
  <c r="L16" i="1" s="1"/>
  <c r="M16" i="1" a="1"/>
  <c r="M16" i="1" s="1"/>
  <c r="N16" i="1" a="1"/>
  <c r="N16" i="1" s="1"/>
  <c r="O16" i="1" a="1"/>
  <c r="O16" i="1" s="1"/>
  <c r="H17" i="1" a="1"/>
  <c r="H17" i="1" s="1"/>
  <c r="I17" i="1" a="1"/>
  <c r="I17" i="1" s="1"/>
  <c r="J17" i="1" a="1"/>
  <c r="J17" i="1" s="1"/>
  <c r="K17" i="1" a="1"/>
  <c r="K17" i="1" s="1"/>
  <c r="L17" i="1" a="1"/>
  <c r="L17" i="1" s="1"/>
  <c r="M17" i="1" a="1"/>
  <c r="M17" i="1" s="1"/>
  <c r="N17" i="1" a="1"/>
  <c r="N17" i="1" s="1"/>
  <c r="O17" i="1" a="1"/>
  <c r="O17" i="1" s="1"/>
  <c r="H18" i="1" a="1"/>
  <c r="H18" i="1" s="1"/>
  <c r="I18" i="1" a="1"/>
  <c r="I18" i="1" s="1"/>
  <c r="J18" i="1" a="1"/>
  <c r="J18" i="1" s="1"/>
  <c r="K18" i="1" a="1"/>
  <c r="K18" i="1" s="1"/>
  <c r="L18" i="1" a="1"/>
  <c r="L18" i="1" s="1"/>
  <c r="M18" i="1" a="1"/>
  <c r="M18" i="1" s="1"/>
  <c r="N18" i="1" a="1"/>
  <c r="N18" i="1" s="1"/>
  <c r="O18" i="1" a="1"/>
  <c r="O18" i="1" s="1"/>
  <c r="H19" i="1" a="1"/>
  <c r="H19" i="1" s="1"/>
  <c r="I19" i="1" a="1"/>
  <c r="I19" i="1" s="1"/>
  <c r="J19" i="1" a="1"/>
  <c r="J19" i="1" s="1"/>
  <c r="K19" i="1" a="1"/>
  <c r="K19" i="1" s="1"/>
  <c r="L19" i="1" a="1"/>
  <c r="L19" i="1" s="1"/>
  <c r="M19" i="1" a="1"/>
  <c r="M19" i="1" s="1"/>
  <c r="N19" i="1" a="1"/>
  <c r="N19" i="1" s="1"/>
  <c r="O19" i="1" a="1"/>
  <c r="O19" i="1" s="1"/>
  <c r="H20" i="1" a="1"/>
  <c r="H20" i="1" s="1"/>
  <c r="I20" i="1" a="1"/>
  <c r="I20" i="1" s="1"/>
  <c r="J20" i="1" a="1"/>
  <c r="J20" i="1" s="1"/>
  <c r="K20" i="1" a="1"/>
  <c r="K20" i="1" s="1"/>
  <c r="L20" i="1" a="1"/>
  <c r="L20" i="1" s="1"/>
  <c r="M20" i="1" a="1"/>
  <c r="M20" i="1" s="1"/>
  <c r="N20" i="1" a="1"/>
  <c r="N20" i="1" s="1"/>
  <c r="O20" i="1" a="1"/>
  <c r="O20" i="1" s="1"/>
  <c r="H21" i="1" a="1"/>
  <c r="H21" i="1" s="1"/>
  <c r="I21" i="1" a="1"/>
  <c r="I21" i="1" s="1"/>
  <c r="J21" i="1" a="1"/>
  <c r="J21" i="1" s="1"/>
  <c r="K21" i="1" a="1"/>
  <c r="K21" i="1" s="1"/>
  <c r="L21" i="1" a="1"/>
  <c r="L21" i="1" s="1"/>
  <c r="M21" i="1" a="1"/>
  <c r="M21" i="1"/>
  <c r="N21" i="1" a="1"/>
  <c r="N21" i="1" s="1"/>
  <c r="O21" i="1" a="1"/>
  <c r="O21" i="1" s="1"/>
  <c r="H22" i="1" a="1"/>
  <c r="H22" i="1" s="1"/>
  <c r="I22" i="1" a="1"/>
  <c r="I22" i="1" s="1"/>
  <c r="J22" i="1" a="1"/>
  <c r="J22" i="1" s="1"/>
  <c r="K22" i="1" a="1"/>
  <c r="K22" i="1" s="1"/>
  <c r="L22" i="1" a="1"/>
  <c r="L22" i="1" s="1"/>
  <c r="M22" i="1" a="1"/>
  <c r="M22" i="1" s="1"/>
  <c r="N22" i="1" a="1"/>
  <c r="N22" i="1" s="1"/>
  <c r="O22" i="1" a="1"/>
  <c r="O22" i="1" s="1"/>
  <c r="H23" i="1" a="1"/>
  <c r="H23" i="1" s="1"/>
  <c r="I23" i="1" a="1"/>
  <c r="I23" i="1" s="1"/>
  <c r="J23" i="1" a="1"/>
  <c r="J23" i="1" s="1"/>
  <c r="K23" i="1" a="1"/>
  <c r="K23" i="1" s="1"/>
  <c r="L23" i="1" a="1"/>
  <c r="L23" i="1" s="1"/>
  <c r="M23" i="1" a="1"/>
  <c r="M23" i="1" s="1"/>
  <c r="N23" i="1" a="1"/>
  <c r="N23" i="1" s="1"/>
  <c r="O23" i="1" a="1"/>
  <c r="O23" i="1" s="1"/>
  <c r="H24" i="1" a="1"/>
  <c r="H24" i="1" s="1"/>
  <c r="I24" i="1" a="1"/>
  <c r="I24" i="1" s="1"/>
  <c r="J24" i="1" a="1"/>
  <c r="J24" i="1" s="1"/>
  <c r="K24" i="1" a="1"/>
  <c r="K24" i="1" s="1"/>
  <c r="L24" i="1" a="1"/>
  <c r="L24" i="1" s="1"/>
  <c r="M24" i="1" a="1"/>
  <c r="M24" i="1" s="1"/>
  <c r="N24" i="1" a="1"/>
  <c r="N24" i="1" s="1"/>
  <c r="O24" i="1" a="1"/>
  <c r="O24" i="1" s="1"/>
  <c r="H25" i="1" a="1"/>
  <c r="H25" i="1" s="1"/>
  <c r="I25" i="1" a="1"/>
  <c r="I25" i="1" s="1"/>
  <c r="J25" i="1" a="1"/>
  <c r="J25" i="1" s="1"/>
  <c r="K25" i="1" a="1"/>
  <c r="K25" i="1" s="1"/>
  <c r="L25" i="1" a="1"/>
  <c r="L25" i="1" s="1"/>
  <c r="M25" i="1" a="1"/>
  <c r="M25" i="1" s="1"/>
  <c r="N25" i="1" a="1"/>
  <c r="N25" i="1" s="1"/>
  <c r="O25" i="1" a="1"/>
  <c r="O25" i="1" s="1"/>
  <c r="H26" i="1" a="1"/>
  <c r="H26" i="1" s="1"/>
  <c r="I26" i="1" a="1"/>
  <c r="I26" i="1" s="1"/>
  <c r="J26" i="1" a="1"/>
  <c r="J26" i="1" s="1"/>
  <c r="K26" i="1" a="1"/>
  <c r="K26" i="1" s="1"/>
  <c r="L26" i="1" a="1"/>
  <c r="L26" i="1" s="1"/>
  <c r="M26" i="1" a="1"/>
  <c r="M26" i="1" s="1"/>
  <c r="N26" i="1" a="1"/>
  <c r="N26" i="1" s="1"/>
  <c r="O26" i="1" a="1"/>
  <c r="O26" i="1" s="1"/>
  <c r="H27" i="1" a="1"/>
  <c r="H27" i="1" s="1"/>
  <c r="I27" i="1" a="1"/>
  <c r="I27" i="1" s="1"/>
  <c r="J27" i="1" a="1"/>
  <c r="J27" i="1" s="1"/>
  <c r="K27" i="1" a="1"/>
  <c r="K27" i="1" s="1"/>
  <c r="L27" i="1" a="1"/>
  <c r="L27" i="1" s="1"/>
  <c r="M27" i="1" a="1"/>
  <c r="M27" i="1" s="1"/>
  <c r="N27" i="1" a="1"/>
  <c r="N27" i="1" s="1"/>
  <c r="O27" i="1" a="1"/>
  <c r="O27" i="1" s="1"/>
  <c r="H28" i="1" a="1"/>
  <c r="H28" i="1" s="1"/>
  <c r="I28" i="1" a="1"/>
  <c r="I28" i="1" s="1"/>
  <c r="J28" i="1" a="1"/>
  <c r="J28" i="1" s="1"/>
  <c r="K28" i="1" a="1"/>
  <c r="K28" i="1" s="1"/>
  <c r="L28" i="1" a="1"/>
  <c r="L28" i="1" s="1"/>
  <c r="M28" i="1" a="1"/>
  <c r="M28" i="1" s="1"/>
  <c r="N28" i="1" a="1"/>
  <c r="N28" i="1" s="1"/>
  <c r="O28" i="1" a="1"/>
  <c r="O28" i="1" s="1"/>
  <c r="H29" i="1" a="1"/>
  <c r="H29" i="1" s="1"/>
  <c r="I29" i="1" a="1"/>
  <c r="I29" i="1" s="1"/>
  <c r="J29" i="1" a="1"/>
  <c r="J29" i="1" s="1"/>
  <c r="K29" i="1" a="1"/>
  <c r="K29" i="1" s="1"/>
  <c r="L29" i="1" a="1"/>
  <c r="L29" i="1" s="1"/>
  <c r="M29" i="1" a="1"/>
  <c r="M29" i="1" s="1"/>
  <c r="N29" i="1" a="1"/>
  <c r="N29" i="1" s="1"/>
  <c r="O29" i="1" a="1"/>
  <c r="O29" i="1" s="1"/>
  <c r="H30" i="1" a="1"/>
  <c r="H30" i="1" s="1"/>
  <c r="I30" i="1" a="1"/>
  <c r="I30" i="1" s="1"/>
  <c r="J30" i="1" a="1"/>
  <c r="J30" i="1" s="1"/>
  <c r="K30" i="1" a="1"/>
  <c r="K30" i="1" s="1"/>
  <c r="L30" i="1" a="1"/>
  <c r="L30" i="1" s="1"/>
  <c r="M30" i="1" a="1"/>
  <c r="M30" i="1" s="1"/>
  <c r="N30" i="1" a="1"/>
  <c r="N30" i="1" s="1"/>
  <c r="O30" i="1" a="1"/>
  <c r="O30" i="1" s="1"/>
  <c r="H31" i="1" a="1"/>
  <c r="H31" i="1" s="1"/>
  <c r="I31" i="1" a="1"/>
  <c r="I31" i="1" s="1"/>
  <c r="J31" i="1" a="1"/>
  <c r="J31" i="1" s="1"/>
  <c r="K31" i="1" a="1"/>
  <c r="K31" i="1" s="1"/>
  <c r="L31" i="1" a="1"/>
  <c r="L31" i="1" s="1"/>
  <c r="M31" i="1" a="1"/>
  <c r="M31" i="1" s="1"/>
  <c r="N31" i="1" a="1"/>
  <c r="N31" i="1" s="1"/>
  <c r="O31" i="1" a="1"/>
  <c r="O31" i="1" s="1"/>
  <c r="H32" i="1" a="1"/>
  <c r="H32" i="1" s="1"/>
  <c r="I32" i="1" a="1"/>
  <c r="I32" i="1" s="1"/>
  <c r="J32" i="1" a="1"/>
  <c r="J32" i="1" s="1"/>
  <c r="K32" i="1" a="1"/>
  <c r="K32" i="1" s="1"/>
  <c r="L32" i="1" a="1"/>
  <c r="L32" i="1" s="1"/>
  <c r="M32" i="1" a="1"/>
  <c r="M32" i="1" s="1"/>
  <c r="N32" i="1" a="1"/>
  <c r="N32" i="1" s="1"/>
  <c r="O32" i="1" a="1"/>
  <c r="O32" i="1" s="1"/>
  <c r="H33" i="1" a="1"/>
  <c r="H33" i="1" s="1"/>
  <c r="I33" i="1" a="1"/>
  <c r="I33" i="1" s="1"/>
  <c r="J33" i="1" a="1"/>
  <c r="J33" i="1" s="1"/>
  <c r="K33" i="1" a="1"/>
  <c r="K33" i="1" s="1"/>
  <c r="L33" i="1" a="1"/>
  <c r="L33" i="1" s="1"/>
  <c r="M33" i="1" a="1"/>
  <c r="M33" i="1" s="1"/>
  <c r="N33" i="1" a="1"/>
  <c r="N33" i="1" s="1"/>
  <c r="O33" i="1" a="1"/>
  <c r="O33" i="1" s="1"/>
  <c r="H34" i="1" a="1"/>
  <c r="H34" i="1" s="1"/>
  <c r="I34" i="1" a="1"/>
  <c r="I34" i="1" s="1"/>
  <c r="J34" i="1" a="1"/>
  <c r="J34" i="1" s="1"/>
  <c r="K34" i="1" a="1"/>
  <c r="K34" i="1" s="1"/>
  <c r="L34" i="1" a="1"/>
  <c r="L34" i="1" s="1"/>
  <c r="M34" i="1" a="1"/>
  <c r="M34" i="1" s="1"/>
  <c r="N34" i="1" a="1"/>
  <c r="N34" i="1" s="1"/>
  <c r="O34" i="1" a="1"/>
  <c r="O34" i="1" s="1"/>
  <c r="H35" i="1" a="1"/>
  <c r="H35" i="1" s="1"/>
  <c r="I35" i="1" a="1"/>
  <c r="I35" i="1" s="1"/>
  <c r="J35" i="1" a="1"/>
  <c r="J35" i="1" s="1"/>
  <c r="K35" i="1" a="1"/>
  <c r="K35" i="1" s="1"/>
  <c r="L35" i="1" a="1"/>
  <c r="L35" i="1" s="1"/>
  <c r="M35" i="1" a="1"/>
  <c r="M35" i="1" s="1"/>
  <c r="N35" i="1" a="1"/>
  <c r="N35" i="1" s="1"/>
  <c r="O35" i="1" a="1"/>
  <c r="O35" i="1" s="1"/>
  <c r="H36" i="1" a="1"/>
  <c r="H36" i="1" s="1"/>
  <c r="I36" i="1" a="1"/>
  <c r="I36" i="1" s="1"/>
  <c r="J36" i="1" a="1"/>
  <c r="J36" i="1" s="1"/>
  <c r="K36" i="1" a="1"/>
  <c r="K36" i="1" s="1"/>
  <c r="L36" i="1" a="1"/>
  <c r="L36" i="1" s="1"/>
  <c r="M36" i="1" a="1"/>
  <c r="M36" i="1" s="1"/>
  <c r="N36" i="1" a="1"/>
  <c r="N36" i="1" s="1"/>
  <c r="O36" i="1" a="1"/>
  <c r="O36" i="1" s="1"/>
  <c r="K2" i="7" a="1"/>
  <c r="K2" i="7" s="1"/>
  <c r="K3" i="7" a="1"/>
  <c r="K3" i="7" s="1"/>
  <c r="K4" i="7" a="1"/>
  <c r="K4" i="7" s="1"/>
  <c r="K5" i="7" a="1"/>
  <c r="K5" i="7" s="1"/>
  <c r="K6" i="7" a="1"/>
  <c r="K6" i="7" s="1"/>
  <c r="K7" i="7" a="1"/>
  <c r="K7" i="7" s="1"/>
  <c r="K8" i="7" a="1"/>
  <c r="K8" i="7" s="1"/>
  <c r="K9" i="7" a="1"/>
  <c r="K9" i="7" s="1"/>
  <c r="K10" i="7" a="1"/>
  <c r="K10" i="7" s="1"/>
  <c r="K11" i="7" a="1"/>
  <c r="K11" i="7" s="1"/>
  <c r="K12" i="7" a="1"/>
  <c r="K12" i="7" s="1"/>
  <c r="K13" i="7" a="1"/>
  <c r="K13" i="7" s="1"/>
  <c r="K14" i="7" a="1"/>
  <c r="K14" i="7" s="1"/>
  <c r="K15" i="7" a="1"/>
  <c r="K15" i="7" s="1"/>
  <c r="K16" i="7" a="1"/>
  <c r="K16" i="7" s="1"/>
  <c r="K17" i="7" a="1"/>
  <c r="K17" i="7" s="1"/>
  <c r="K18" i="7" a="1"/>
  <c r="K18" i="7" s="1"/>
  <c r="K19" i="7" a="1"/>
  <c r="K19" i="7" s="1"/>
  <c r="K20" i="7" a="1"/>
  <c r="K20" i="7" s="1"/>
  <c r="K21" i="7" a="1"/>
  <c r="K21" i="7" s="1"/>
  <c r="K22" i="7" a="1"/>
  <c r="K22" i="7" s="1"/>
  <c r="K23" i="7" a="1"/>
  <c r="K23" i="7" s="1"/>
  <c r="K24" i="7" a="1"/>
  <c r="K24" i="7" s="1"/>
  <c r="K25" i="7" a="1"/>
  <c r="K25" i="7" s="1"/>
  <c r="K26" i="7" a="1"/>
  <c r="K26" i="7" s="1"/>
  <c r="K27" i="7" a="1"/>
  <c r="K27" i="7" s="1"/>
  <c r="K28" i="7" a="1"/>
  <c r="K28" i="7" s="1"/>
  <c r="K29" i="7" a="1"/>
  <c r="K29" i="7" s="1"/>
  <c r="K30" i="7" a="1"/>
  <c r="K30" i="7" s="1"/>
  <c r="K31" i="7" a="1"/>
  <c r="K31" i="7" s="1"/>
  <c r="K32" i="7" a="1"/>
  <c r="K32" i="7" s="1"/>
  <c r="K33" i="7" a="1"/>
  <c r="K33" i="7" s="1"/>
  <c r="K34" i="7" a="1"/>
  <c r="K34" i="7" s="1"/>
  <c r="K35" i="7" a="1"/>
  <c r="K35" i="7" s="1"/>
  <c r="K36" i="7" a="1"/>
  <c r="K36" i="7" s="1"/>
  <c r="K37" i="7" a="1"/>
  <c r="K37" i="7" s="1"/>
  <c r="K38" i="7" a="1"/>
  <c r="K38" i="7" s="1"/>
  <c r="K39" i="7" a="1"/>
  <c r="K39" i="7" s="1"/>
  <c r="K40" i="7" a="1"/>
  <c r="K40" i="7" s="1"/>
  <c r="H2" i="7" a="1"/>
  <c r="H2" i="7" s="1"/>
  <c r="H3" i="7" a="1"/>
  <c r="H3" i="7" s="1"/>
  <c r="H4" i="7" a="1"/>
  <c r="H4" i="7" s="1"/>
  <c r="H5" i="7" a="1"/>
  <c r="H5" i="7" s="1"/>
  <c r="H6" i="7" a="1"/>
  <c r="H6" i="7" s="1"/>
  <c r="H7" i="7" a="1"/>
  <c r="H7" i="7" s="1"/>
  <c r="H8" i="7" a="1"/>
  <c r="H8" i="7" s="1"/>
  <c r="H9" i="7" a="1"/>
  <c r="H9" i="7" s="1"/>
  <c r="H10" i="7" a="1"/>
  <c r="H10" i="7" s="1"/>
  <c r="H11" i="7" a="1"/>
  <c r="H11" i="7" s="1"/>
  <c r="H12" i="7" a="1"/>
  <c r="H12" i="7" s="1"/>
  <c r="H13" i="7" a="1"/>
  <c r="H13" i="7" s="1"/>
  <c r="H14" i="7" a="1"/>
  <c r="H14" i="7" s="1"/>
  <c r="H15" i="7" a="1"/>
  <c r="H15" i="7" s="1"/>
  <c r="H16" i="7" a="1"/>
  <c r="H16" i="7" s="1"/>
  <c r="H17" i="7" a="1"/>
  <c r="H17" i="7" s="1"/>
  <c r="H18" i="7" a="1"/>
  <c r="H18" i="7" s="1"/>
  <c r="H19" i="7" a="1"/>
  <c r="H19" i="7" s="1"/>
  <c r="H20" i="7" a="1"/>
  <c r="H20" i="7" s="1"/>
  <c r="H21" i="7" a="1"/>
  <c r="H21" i="7" s="1"/>
  <c r="H22" i="7" a="1"/>
  <c r="H22" i="7" s="1"/>
  <c r="H23" i="7" a="1"/>
  <c r="H23" i="7"/>
  <c r="H24" i="7" a="1"/>
  <c r="H24" i="7" s="1"/>
  <c r="H25" i="7" a="1"/>
  <c r="H25" i="7" s="1"/>
  <c r="H26" i="7" a="1"/>
  <c r="H26" i="7" s="1"/>
  <c r="H27" i="7" a="1"/>
  <c r="H27" i="7" s="1"/>
  <c r="H28" i="7" a="1"/>
  <c r="H28" i="7" s="1"/>
  <c r="H29" i="7" a="1"/>
  <c r="H29" i="7"/>
  <c r="H30" i="7" a="1"/>
  <c r="H30" i="7" s="1"/>
  <c r="H31" i="7" a="1"/>
  <c r="H31" i="7" s="1"/>
  <c r="H32" i="7" a="1"/>
  <c r="H32" i="7" s="1"/>
  <c r="H33" i="7" a="1"/>
  <c r="H33" i="7" s="1"/>
  <c r="H34" i="7" a="1"/>
  <c r="H34" i="7" s="1"/>
  <c r="H35" i="7" a="1"/>
  <c r="H35" i="7" s="1"/>
  <c r="H36" i="7" a="1"/>
  <c r="H36" i="7" s="1"/>
  <c r="H37" i="7" a="1"/>
  <c r="H37" i="7" s="1"/>
  <c r="H38" i="7" a="1"/>
  <c r="H38" i="7" s="1"/>
  <c r="H39" i="7" a="1"/>
  <c r="H39" i="7" s="1"/>
  <c r="H40" i="7" a="1"/>
  <c r="H40" i="7" s="1"/>
  <c r="N2" i="1" a="1"/>
  <c r="N2" i="1" s="1"/>
  <c r="J2" i="7" a="1"/>
  <c r="J2" i="7" s="1"/>
  <c r="I3" i="7" a="1"/>
  <c r="I3" i="7" s="1"/>
  <c r="J3" i="7" a="1"/>
  <c r="J3" i="7" s="1"/>
  <c r="I4" i="7" a="1"/>
  <c r="I4" i="7" s="1"/>
  <c r="J4" i="7" a="1"/>
  <c r="J4" i="7" s="1"/>
  <c r="I5" i="7" a="1"/>
  <c r="I5" i="7" s="1"/>
  <c r="J5" i="7" a="1"/>
  <c r="J5" i="7" s="1"/>
  <c r="I6" i="7" a="1"/>
  <c r="I6" i="7" s="1"/>
  <c r="J6" i="7" a="1"/>
  <c r="J6" i="7" s="1"/>
  <c r="I7" i="7" a="1"/>
  <c r="I7" i="7" s="1"/>
  <c r="J7" i="7" a="1"/>
  <c r="J7" i="7" s="1"/>
  <c r="I8" i="7" a="1"/>
  <c r="I8" i="7" s="1"/>
  <c r="J8" i="7" a="1"/>
  <c r="J8" i="7" s="1"/>
  <c r="I9" i="7" a="1"/>
  <c r="I9" i="7" s="1"/>
  <c r="J9" i="7" a="1"/>
  <c r="J9" i="7" s="1"/>
  <c r="I10" i="7" a="1"/>
  <c r="I10" i="7" s="1"/>
  <c r="J10" i="7" a="1"/>
  <c r="J10" i="7" s="1"/>
  <c r="I11" i="7" a="1"/>
  <c r="I11" i="7" s="1"/>
  <c r="J11" i="7" a="1"/>
  <c r="J11" i="7" s="1"/>
  <c r="I12" i="7" a="1"/>
  <c r="I12" i="7" s="1"/>
  <c r="J12" i="7" a="1"/>
  <c r="J12" i="7" s="1"/>
  <c r="I13" i="7" a="1"/>
  <c r="I13" i="7" s="1"/>
  <c r="J13" i="7" a="1"/>
  <c r="J13" i="7" s="1"/>
  <c r="I14" i="7" a="1"/>
  <c r="I14" i="7" s="1"/>
  <c r="J14" i="7" a="1"/>
  <c r="J14" i="7" s="1"/>
  <c r="I15" i="7" a="1"/>
  <c r="I15" i="7" s="1"/>
  <c r="J15" i="7" a="1"/>
  <c r="J15" i="7" s="1"/>
  <c r="I16" i="7" a="1"/>
  <c r="I16" i="7" s="1"/>
  <c r="J16" i="7" a="1"/>
  <c r="J16" i="7" s="1"/>
  <c r="I17" i="7" a="1"/>
  <c r="I17" i="7" s="1"/>
  <c r="J17" i="7" a="1"/>
  <c r="J17" i="7" s="1"/>
  <c r="I18" i="7" a="1"/>
  <c r="I18" i="7" s="1"/>
  <c r="J18" i="7" a="1"/>
  <c r="J18" i="7" s="1"/>
  <c r="I19" i="7" a="1"/>
  <c r="I19" i="7" s="1"/>
  <c r="J19" i="7" a="1"/>
  <c r="J19" i="7" s="1"/>
  <c r="I20" i="7" a="1"/>
  <c r="I20" i="7" s="1"/>
  <c r="J20" i="7" a="1"/>
  <c r="J20" i="7" s="1"/>
  <c r="I21" i="7" a="1"/>
  <c r="I21" i="7" s="1"/>
  <c r="J21" i="7" a="1"/>
  <c r="J21" i="7" s="1"/>
  <c r="I22" i="7" a="1"/>
  <c r="I22" i="7" s="1"/>
  <c r="J22" i="7" a="1"/>
  <c r="J22" i="7" s="1"/>
  <c r="I23" i="7" a="1"/>
  <c r="I23" i="7" s="1"/>
  <c r="J23" i="7" a="1"/>
  <c r="J23" i="7" s="1"/>
  <c r="I24" i="7" a="1"/>
  <c r="I24" i="7" s="1"/>
  <c r="J24" i="7" a="1"/>
  <c r="J24" i="7" s="1"/>
  <c r="I25" i="7" a="1"/>
  <c r="I25" i="7" s="1"/>
  <c r="J25" i="7" a="1"/>
  <c r="J25" i="7" s="1"/>
  <c r="I26" i="7" a="1"/>
  <c r="I26" i="7" s="1"/>
  <c r="J26" i="7" a="1"/>
  <c r="J26" i="7" s="1"/>
  <c r="I27" i="7" a="1"/>
  <c r="I27" i="7" s="1"/>
  <c r="J27" i="7" a="1"/>
  <c r="J27" i="7" s="1"/>
  <c r="I28" i="7" a="1"/>
  <c r="I28" i="7" s="1"/>
  <c r="J28" i="7" a="1"/>
  <c r="J28" i="7" s="1"/>
  <c r="I29" i="7" a="1"/>
  <c r="I29" i="7" s="1"/>
  <c r="J29" i="7" a="1"/>
  <c r="J29" i="7" s="1"/>
  <c r="I30" i="7" a="1"/>
  <c r="I30" i="7" s="1"/>
  <c r="J30" i="7" a="1"/>
  <c r="J30" i="7" s="1"/>
  <c r="I31" i="7" a="1"/>
  <c r="I31" i="7" s="1"/>
  <c r="J31" i="7" a="1"/>
  <c r="J31" i="7" s="1"/>
  <c r="I32" i="7" a="1"/>
  <c r="I32" i="7" s="1"/>
  <c r="J32" i="7" a="1"/>
  <c r="J32" i="7" s="1"/>
  <c r="I33" i="7" a="1"/>
  <c r="I33" i="7" s="1"/>
  <c r="J33" i="7" a="1"/>
  <c r="J33" i="7" s="1"/>
  <c r="I34" i="7" a="1"/>
  <c r="I34" i="7" s="1"/>
  <c r="J34" i="7" a="1"/>
  <c r="J34" i="7" s="1"/>
  <c r="I35" i="7" a="1"/>
  <c r="I35" i="7" s="1"/>
  <c r="J35" i="7" a="1"/>
  <c r="J35" i="7" s="1"/>
  <c r="I36" i="7" a="1"/>
  <c r="I36" i="7" s="1"/>
  <c r="J36" i="7" a="1"/>
  <c r="J36" i="7" s="1"/>
  <c r="I37" i="7" a="1"/>
  <c r="I37" i="7" s="1"/>
  <c r="J37" i="7" a="1"/>
  <c r="J37" i="7" s="1"/>
  <c r="I38" i="7" a="1"/>
  <c r="I38" i="7" s="1"/>
  <c r="J38" i="7" a="1"/>
  <c r="J38" i="7" s="1"/>
  <c r="I39" i="7" a="1"/>
  <c r="I39" i="7" s="1"/>
  <c r="J39" i="7" a="1"/>
  <c r="J39" i="7" s="1"/>
  <c r="I40" i="7" a="1"/>
  <c r="I40" i="7" s="1"/>
  <c r="J40" i="7" a="1"/>
  <c r="J40" i="7" s="1"/>
  <c r="F2" i="2" a="1"/>
  <c r="F2" i="2" s="1"/>
  <c r="F3" i="2" a="1"/>
  <c r="F3" i="2" s="1"/>
  <c r="F4" i="2" a="1"/>
  <c r="F4" i="2" s="1"/>
  <c r="F5" i="2" a="1"/>
  <c r="F5" i="2" s="1"/>
  <c r="F6" i="2" a="1"/>
  <c r="F6" i="2" s="1"/>
  <c r="F7" i="2" a="1"/>
  <c r="F7" i="2" s="1"/>
  <c r="F8" i="2" a="1"/>
  <c r="F8" i="2" s="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N37" i="1" a="1"/>
  <c r="N37" i="1" s="1"/>
  <c r="N38" i="1" a="1"/>
  <c r="N38" i="1" s="1"/>
  <c r="N39" i="1" a="1"/>
  <c r="N39" i="1" s="1"/>
  <c r="N40" i="1" a="1"/>
  <c r="N40" i="1" s="1"/>
  <c r="O37" i="1" a="1"/>
  <c r="O37" i="1" s="1"/>
  <c r="O38" i="1" a="1"/>
  <c r="O38" i="1" s="1"/>
  <c r="O39" i="1" a="1"/>
  <c r="O39" i="1" s="1"/>
  <c r="O40" i="1" a="1"/>
  <c r="O40" i="1" s="1"/>
  <c r="Q32" i="1"/>
  <c r="O2" i="1" a="1"/>
  <c r="O2" i="1" s="1"/>
  <c r="Q29" i="1"/>
  <c r="Q30" i="1"/>
  <c r="Q31" i="1"/>
  <c r="Q33" i="1"/>
  <c r="Q34" i="1"/>
  <c r="M2" i="1" a="1"/>
  <c r="M2" i="1" s="1"/>
  <c r="M37" i="1" a="1"/>
  <c r="M37" i="1" s="1"/>
  <c r="M38" i="1" a="1"/>
  <c r="M38" i="1" s="1"/>
  <c r="M39" i="1" a="1"/>
  <c r="M39" i="1" s="1"/>
  <c r="M40" i="1" a="1"/>
  <c r="M40" i="1" s="1"/>
  <c r="L2" i="1" a="1"/>
  <c r="L2" i="1" s="1"/>
  <c r="L37" i="1" a="1"/>
  <c r="L37" i="1" s="1"/>
  <c r="L38" i="1" a="1"/>
  <c r="L38" i="1" s="1"/>
  <c r="L39" i="1" a="1"/>
  <c r="L39" i="1" s="1"/>
  <c r="L40" i="1" a="1"/>
  <c r="L40" i="1" s="1"/>
  <c r="F16" i="6" a="1"/>
  <c r="F16" i="6" s="1"/>
  <c r="N38" i="8" l="1"/>
  <c r="O38" i="8"/>
  <c r="R38" i="8" s="1"/>
  <c r="N26" i="8"/>
  <c r="O26" i="8"/>
  <c r="R26" i="8" s="1"/>
  <c r="O14" i="8"/>
  <c r="R14" i="8" s="1"/>
  <c r="N14" i="8"/>
  <c r="N2" i="8"/>
  <c r="O2" i="8"/>
  <c r="R2" i="8" s="1"/>
  <c r="N37" i="8"/>
  <c r="O37" i="8"/>
  <c r="R37" i="8" s="1"/>
  <c r="N25" i="8"/>
  <c r="O25" i="8"/>
  <c r="R25" i="8" s="1"/>
  <c r="N13" i="8"/>
  <c r="O13" i="8"/>
  <c r="R13" i="8" s="1"/>
  <c r="O36" i="8"/>
  <c r="R36" i="8" s="1"/>
  <c r="N36" i="8"/>
  <c r="N24" i="8"/>
  <c r="O24" i="8"/>
  <c r="R24" i="8" s="1"/>
  <c r="O12" i="8"/>
  <c r="R12" i="8" s="1"/>
  <c r="N12" i="8"/>
  <c r="N35" i="8"/>
  <c r="O35" i="8"/>
  <c r="R35" i="8" s="1"/>
  <c r="O23" i="8"/>
  <c r="R23" i="8" s="1"/>
  <c r="N23" i="8"/>
  <c r="N11" i="8"/>
  <c r="O11" i="8"/>
  <c r="R11" i="8" s="1"/>
  <c r="N34" i="8"/>
  <c r="O34" i="8"/>
  <c r="R34" i="8" s="1"/>
  <c r="N22" i="8"/>
  <c r="O22" i="8"/>
  <c r="R22" i="8" s="1"/>
  <c r="O10" i="8"/>
  <c r="R10" i="8" s="1"/>
  <c r="N10" i="8"/>
  <c r="O33" i="8"/>
  <c r="R33" i="8" s="1"/>
  <c r="N33" i="8"/>
  <c r="N21" i="8"/>
  <c r="O21" i="8"/>
  <c r="R21" i="8" s="1"/>
  <c r="O9" i="8"/>
  <c r="R9" i="8" s="1"/>
  <c r="N9" i="8"/>
  <c r="O32" i="8"/>
  <c r="R32" i="8" s="1"/>
  <c r="N32" i="8"/>
  <c r="O20" i="8"/>
  <c r="R20" i="8" s="1"/>
  <c r="N20" i="8"/>
  <c r="N8" i="8"/>
  <c r="O8" i="8"/>
  <c r="R8" i="8" s="1"/>
  <c r="O31" i="8"/>
  <c r="R31" i="8" s="1"/>
  <c r="N31" i="8"/>
  <c r="O19" i="8"/>
  <c r="R19" i="8" s="1"/>
  <c r="N19" i="8"/>
  <c r="O7" i="8"/>
  <c r="R7" i="8" s="1"/>
  <c r="N7" i="8"/>
  <c r="N30" i="8"/>
  <c r="O30" i="8"/>
  <c r="R30" i="8" s="1"/>
  <c r="O18" i="8"/>
  <c r="R18" i="8" s="1"/>
  <c r="N18" i="8"/>
  <c r="N6" i="8"/>
  <c r="O6" i="8"/>
  <c r="R6" i="8" s="1"/>
  <c r="O29" i="8"/>
  <c r="R29" i="8" s="1"/>
  <c r="N29" i="8"/>
  <c r="O17" i="8"/>
  <c r="R17" i="8" s="1"/>
  <c r="N17" i="8"/>
  <c r="O5" i="8"/>
  <c r="R5" i="8" s="1"/>
  <c r="N5" i="8"/>
  <c r="O40" i="8"/>
  <c r="R40" i="8" s="1"/>
  <c r="N40" i="8"/>
  <c r="O28" i="8"/>
  <c r="R28" i="8" s="1"/>
  <c r="N28" i="8"/>
  <c r="O16" i="8"/>
  <c r="R16" i="8" s="1"/>
  <c r="N16" i="8"/>
  <c r="O4" i="8"/>
  <c r="R4" i="8" s="1"/>
  <c r="N4" i="8"/>
  <c r="O39" i="8"/>
  <c r="R39" i="8" s="1"/>
  <c r="N39" i="8"/>
  <c r="N27" i="8"/>
  <c r="O27" i="8"/>
  <c r="R27" i="8" s="1"/>
  <c r="N15" i="8"/>
  <c r="O15" i="8"/>
  <c r="R15" i="8" s="1"/>
  <c r="O3" i="8"/>
  <c r="R3" i="8" s="1"/>
  <c r="N3" i="8"/>
  <c r="P47" i="8"/>
  <c r="O48" i="8"/>
  <c r="P48" i="8"/>
  <c r="O47" i="8"/>
  <c r="F4" i="6"/>
  <c r="F10" i="6" a="1"/>
  <c r="F10" i="6" s="1"/>
  <c r="F7" i="6" a="1"/>
  <c r="F7" i="6" s="1"/>
  <c r="F3" i="6"/>
  <c r="D3" i="6"/>
  <c r="K2" i="1" a="1"/>
  <c r="K2" i="1" s="1"/>
  <c r="K37" i="1" a="1"/>
  <c r="K37" i="1" s="1"/>
  <c r="K38" i="1" a="1"/>
  <c r="K38" i="1" s="1"/>
  <c r="K39" i="1" a="1"/>
  <c r="K39" i="1" s="1"/>
  <c r="K40" i="1" a="1"/>
  <c r="K40" i="1" s="1"/>
  <c r="J2" i="1" a="1"/>
  <c r="J2" i="1" s="1"/>
  <c r="J37" i="1" a="1"/>
  <c r="J37" i="1" s="1"/>
  <c r="J38" i="1" a="1"/>
  <c r="J38" i="1" s="1"/>
  <c r="J39" i="1" a="1"/>
  <c r="J39" i="1" s="1"/>
  <c r="J40" i="1" a="1"/>
  <c r="J40" i="1" s="1"/>
  <c r="I2" i="1" a="1"/>
  <c r="I2" i="1" s="1"/>
  <c r="I37" i="1" a="1"/>
  <c r="I37" i="1" s="1"/>
  <c r="I38" i="1" a="1"/>
  <c r="I38" i="1" s="1"/>
  <c r="I39" i="1" a="1"/>
  <c r="I39" i="1" s="1"/>
  <c r="I40" i="1" a="1"/>
  <c r="I40" i="1" s="1"/>
  <c r="H37" i="1" a="1"/>
  <c r="H37" i="1" s="1"/>
  <c r="H38" i="1" a="1"/>
  <c r="H38" i="1" s="1"/>
  <c r="H39" i="1" a="1"/>
  <c r="H39" i="1" s="1"/>
  <c r="H40" i="1" a="1"/>
  <c r="H40" i="1" s="1"/>
  <c r="B7" i="9" l="1"/>
  <c r="B8" i="9"/>
  <c r="B2" i="9"/>
  <c r="O61" i="8"/>
  <c r="P61" i="8" s="1"/>
  <c r="O58" i="8"/>
  <c r="O71" i="8" s="1"/>
  <c r="P58" i="8"/>
  <c r="O59" i="8"/>
  <c r="O60" i="8"/>
  <c r="P59" i="8"/>
  <c r="P45" i="8"/>
  <c r="O46" i="8"/>
  <c r="O45" i="8"/>
  <c r="O73" i="8" s="1"/>
  <c r="P46" i="8"/>
  <c r="E2" i="9" l="1"/>
  <c r="F2" i="9" s="1"/>
  <c r="B11" i="9"/>
  <c r="E11" i="9" s="1"/>
  <c r="F11" i="9" s="1"/>
  <c r="B10" i="9"/>
  <c r="E10" i="9" s="1"/>
  <c r="F10" i="9" s="1"/>
  <c r="B4" i="9"/>
  <c r="B5" i="9" s="1"/>
  <c r="O55" i="8"/>
  <c r="O54" i="8"/>
  <c r="O72" i="8"/>
  <c r="P60" i="8"/>
  <c r="E4" i="9" l="1"/>
  <c r="F4" i="9" s="1"/>
  <c r="E5" i="9"/>
  <c r="F5" i="9"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<sst xmlns="http://schemas.openxmlformats.org/spreadsheetml/2006/main" count="1036" uniqueCount="484">
  <si>
    <t>movie_id</t>
  </si>
  <si>
    <t>industry</t>
  </si>
  <si>
    <t>release_year</t>
  </si>
  <si>
    <t>imdb_rating</t>
  </si>
  <si>
    <t>studio</t>
  </si>
  <si>
    <t>language_id</t>
  </si>
  <si>
    <t>Bollywood</t>
  </si>
  <si>
    <t>Hollywood</t>
  </si>
  <si>
    <t>Marvel Studios</t>
  </si>
  <si>
    <t>United Producers</t>
  </si>
  <si>
    <t>Yash Raj Films</t>
  </si>
  <si>
    <t>Vinod Chopra Films</t>
  </si>
  <si>
    <t>Dharma Productions</t>
  </si>
  <si>
    <t>Castle Rock Entertainment</t>
  </si>
  <si>
    <t>Warner Bros. Pictures</t>
  </si>
  <si>
    <t>Columbia Pictures</t>
  </si>
  <si>
    <t>Paramount Pictures</t>
  </si>
  <si>
    <t>Liberty Films</t>
  </si>
  <si>
    <t>20th Century Fox</t>
  </si>
  <si>
    <t>Syncopy</t>
  </si>
  <si>
    <t>Universal Pictures</t>
  </si>
  <si>
    <t>Vinod Chopra Productions</t>
  </si>
  <si>
    <t>Mythri Movie Makers</t>
  </si>
  <si>
    <t>DVV Entertainment</t>
  </si>
  <si>
    <t>Arka Media Works</t>
  </si>
  <si>
    <t>Zee Studios</t>
  </si>
  <si>
    <t>Salman Khan Films</t>
  </si>
  <si>
    <t>budget</t>
  </si>
  <si>
    <t>revenue</t>
  </si>
  <si>
    <t>unit</t>
  </si>
  <si>
    <t>currency</t>
  </si>
  <si>
    <t>Billions</t>
  </si>
  <si>
    <t>INR</t>
  </si>
  <si>
    <t>Millions</t>
  </si>
  <si>
    <t>USD</t>
  </si>
  <si>
    <t>actor_id</t>
  </si>
  <si>
    <t>name</t>
  </si>
  <si>
    <t>birth_year</t>
  </si>
  <si>
    <t>Yash</t>
  </si>
  <si>
    <t>Sanjay Dutt</t>
  </si>
  <si>
    <t>Benedict Cumberbatch</t>
  </si>
  <si>
    <t>Elizabeth Olsen</t>
  </si>
  <si>
    <t>Chris Hemsworth</t>
  </si>
  <si>
    <t>Natalie Portman</t>
  </si>
  <si>
    <t>Tom Hiddleston</t>
  </si>
  <si>
    <t>Amitabh Bachchan</t>
  </si>
  <si>
    <t>Jaya Bachchan</t>
  </si>
  <si>
    <t>Shah Rukh Khan</t>
  </si>
  <si>
    <t>Kajol</t>
  </si>
  <si>
    <t>Aamir Khan</t>
  </si>
  <si>
    <t>R. Madhavan</t>
  </si>
  <si>
    <t>Sharman Joshi</t>
  </si>
  <si>
    <t>Hrithik Roshan</t>
  </si>
  <si>
    <t>Ranveer Singh</t>
  </si>
  <si>
    <t>Deepika Padukone</t>
  </si>
  <si>
    <t>Tim Robbins</t>
  </si>
  <si>
    <t>Morgan Freeman</t>
  </si>
  <si>
    <t>Leonardo DiCaprio</t>
  </si>
  <si>
    <t>Ken Watanabe</t>
  </si>
  <si>
    <t>Matthew McConaughey</t>
  </si>
  <si>
    <t>Anne Hathaway</t>
  </si>
  <si>
    <t>John David Washington</t>
  </si>
  <si>
    <t>Robert Pattinson</t>
  </si>
  <si>
    <t>Will Smith</t>
  </si>
  <si>
    <t>Thandiwe Newton</t>
  </si>
  <si>
    <t>Russell Crowe</t>
  </si>
  <si>
    <t>Joaquin Phoenix</t>
  </si>
  <si>
    <t>Kate Winslet</t>
  </si>
  <si>
    <t>James Stewart</t>
  </si>
  <si>
    <t>Donna Reed</t>
  </si>
  <si>
    <t>Sam Worthington</t>
  </si>
  <si>
    <t>Zoe Saldana</t>
  </si>
  <si>
    <t>Marlon Brando</t>
  </si>
  <si>
    <t>Al Pacino</t>
  </si>
  <si>
    <t>Christian Bale</t>
  </si>
  <si>
    <t>Heath Ledger</t>
  </si>
  <si>
    <t>Liam Neeson</t>
  </si>
  <si>
    <t>Ben Kingsley</t>
  </si>
  <si>
    <t>Sam Neill</t>
  </si>
  <si>
    <t>Laura Dern</t>
  </si>
  <si>
    <t>Song Kang-ho</t>
  </si>
  <si>
    <t>Lee Sun-kyun</t>
  </si>
  <si>
    <t>Robert Downey Jr.</t>
  </si>
  <si>
    <t>Chris Evans</t>
  </si>
  <si>
    <t>Kanu Banerjee</t>
  </si>
  <si>
    <t>Karuna Banerjee</t>
  </si>
  <si>
    <t>Darsheel Safary</t>
  </si>
  <si>
    <t>Sunil Dutt</t>
  </si>
  <si>
    <t>Anushka Sharma</t>
  </si>
  <si>
    <t>Ranbir Kapoor</t>
  </si>
  <si>
    <t>Allu Arjun</t>
  </si>
  <si>
    <t>Fahadh Faasil</t>
  </si>
  <si>
    <t>N. T. Rama Rao Jr.</t>
  </si>
  <si>
    <t>Ram Charan</t>
  </si>
  <si>
    <t>Prabhas</t>
  </si>
  <si>
    <t>Rana Daggubati</t>
  </si>
  <si>
    <t>Mithun Chakraborty</t>
  </si>
  <si>
    <t>Anupam Kher</t>
  </si>
  <si>
    <t>Salman Khan</t>
  </si>
  <si>
    <t>Nawazuddin Siddiqui</t>
  </si>
  <si>
    <t>Tommy Lee Jones</t>
  </si>
  <si>
    <t>Sebastian Stan</t>
  </si>
  <si>
    <t>Anil Kapoor</t>
  </si>
  <si>
    <t>Sidharth Malhotra</t>
  </si>
  <si>
    <t>Kiara Advani</t>
  </si>
  <si>
    <t>Hindi</t>
  </si>
  <si>
    <t>Telugu</t>
  </si>
  <si>
    <t>Kannada</t>
  </si>
  <si>
    <t>Tamil</t>
  </si>
  <si>
    <t>English</t>
  </si>
  <si>
    <t>French</t>
  </si>
  <si>
    <t>Bengali</t>
  </si>
  <si>
    <t>Gujarati</t>
  </si>
  <si>
    <t>NULL</t>
  </si>
  <si>
    <t>Unavailable</t>
  </si>
  <si>
    <t>*Click (ctrl+h) in order to go directly on replace option…</t>
  </si>
  <si>
    <t>*Click (ctrl+f) in order to go directly on find option…</t>
  </si>
  <si>
    <t>Hombale Films</t>
  </si>
  <si>
    <t>Government of West Bengal</t>
  </si>
  <si>
    <t>*Use (ctrl+alt+v) in order to paste but in special form feature…</t>
  </si>
  <si>
    <t>K.G.F: Chapter 2</t>
  </si>
  <si>
    <t>Doctor Strange in the Multiverse of Madness</t>
  </si>
  <si>
    <t>Thor: The Dark World</t>
  </si>
  <si>
    <t>Thor: Ragnarok</t>
  </si>
  <si>
    <t>Thor: Love and Thunder</t>
  </si>
  <si>
    <t>Sholay</t>
  </si>
  <si>
    <t>Dilwale Dulhania Le Jayenge</t>
  </si>
  <si>
    <t>3 Idiots</t>
  </si>
  <si>
    <t>Kabhi Khushi Kabhie Gham</t>
  </si>
  <si>
    <t>Bajirao Mastani</t>
  </si>
  <si>
    <t>The Shawshank Redemption</t>
  </si>
  <si>
    <t>Inception</t>
  </si>
  <si>
    <t>Interstellar</t>
  </si>
  <si>
    <t>The Pursuit of Happyness</t>
  </si>
  <si>
    <t>Gladiator</t>
  </si>
  <si>
    <t>Titanic</t>
  </si>
  <si>
    <t>It's a Wonderful Life</t>
  </si>
  <si>
    <t>Avatar</t>
  </si>
  <si>
    <t>The Godfather</t>
  </si>
  <si>
    <t>The Dark Knight</t>
  </si>
  <si>
    <t>Schindler's List</t>
  </si>
  <si>
    <t>Jurassic Park</t>
  </si>
  <si>
    <t>Parasite</t>
  </si>
  <si>
    <t>Avengers: Endgame</t>
  </si>
  <si>
    <t>Avengers: Infinity War</t>
  </si>
  <si>
    <t>Pather Panchali</t>
  </si>
  <si>
    <t>Taare Zameen Par</t>
  </si>
  <si>
    <t>Munna Bhai M.B.B.S.</t>
  </si>
  <si>
    <t>PK</t>
  </si>
  <si>
    <t>Sanju</t>
  </si>
  <si>
    <t>Pushpa: The Rise - Part 1</t>
  </si>
  <si>
    <t>RRR</t>
  </si>
  <si>
    <t>Baahubali: The Beginning</t>
  </si>
  <si>
    <t>The Kashmir Files</t>
  </si>
  <si>
    <t>Bajrangi Bhaijaan</t>
  </si>
  <si>
    <t>Captain America: The First Avenger</t>
  </si>
  <si>
    <t>Captain America: The Winter Soldier</t>
  </si>
  <si>
    <t>Race 3</t>
  </si>
  <si>
    <t>Shershaah</t>
  </si>
  <si>
    <t>Title</t>
  </si>
  <si>
    <t>*We have used (Fixed With) option just below the delimited option in Text to column feature in order to split colums contents as per our need…</t>
  </si>
  <si>
    <t>*The (text to colulmn) feature helps to split a single cell containing text into multiple cells based on a specified delimiter,such as a comma,simicoilon,or space..</t>
  </si>
  <si>
    <t>*Data cleaning is an important step in data anlaysis process because I esures that the data is accurateand reliable…</t>
  </si>
  <si>
    <t>*TRIM() function elimilnates extra spaces in the text,including those at the start of and end…</t>
  </si>
  <si>
    <t>Budget</t>
  </si>
  <si>
    <t>Revenue</t>
  </si>
  <si>
    <t>Revenue2</t>
  </si>
  <si>
    <t>Currency</t>
  </si>
  <si>
    <t>Unit</t>
  </si>
  <si>
    <t>*VLOOKUP function  is used to look up a value in a table by searching for a corresponding value in the leftmost column of another table…</t>
  </si>
  <si>
    <r>
      <t xml:space="preserve">*Syntax of the VLOOKUP() funtion is: </t>
    </r>
    <r>
      <rPr>
        <b/>
        <sz val="11"/>
        <color theme="8" tint="-0.499984740745262"/>
        <rFont val="Calibri"/>
        <family val="2"/>
        <scheme val="minor"/>
      </rPr>
      <t>VLOOKUP(lookup_ value , table _ array , col _ index_ num,  [range _ lookup])</t>
    </r>
  </si>
  <si>
    <t>*Some limitations of VLOOKUP :</t>
  </si>
  <si>
    <t>Adding a new column to the refrence table can cause errors by shifting column indexes and changing the refrenced columns…</t>
  </si>
  <si>
    <t>1.   It searches only first column of a refrence table for a matching value…</t>
  </si>
  <si>
    <t>2.   Adding a new column to the refrence table can cause errors by shifting column indexes and changing the refrenced columns…</t>
  </si>
  <si>
    <t>..</t>
  </si>
  <si>
    <t>Unit5</t>
  </si>
  <si>
    <t>Budget3</t>
  </si>
  <si>
    <t>Currency4</t>
  </si>
  <si>
    <t>Item</t>
  </si>
  <si>
    <t>Price</t>
  </si>
  <si>
    <t>Dosa</t>
  </si>
  <si>
    <t>samosa</t>
  </si>
  <si>
    <t>chowmein</t>
  </si>
  <si>
    <t>burger</t>
  </si>
  <si>
    <t>INDEX FUNCTION USED</t>
  </si>
  <si>
    <t>MATCH FUNCTION USED</t>
  </si>
  <si>
    <t>*This formula gives you all headers of the selected table…</t>
  </si>
  <si>
    <t>*This formula gives you all data (values) only of the selected table…</t>
  </si>
  <si>
    <t>*Here we have used INDEX()function</t>
  </si>
  <si>
    <t>in which we have just entered the row address and column address</t>
  </si>
  <si>
    <t xml:space="preserve">and given the array where to find it and </t>
  </si>
  <si>
    <t>then it will give you the value present</t>
  </si>
  <si>
    <t>in that particular cell…</t>
  </si>
  <si>
    <t xml:space="preserve"> </t>
  </si>
  <si>
    <t>*This formula gives you all the contents only of the selected table…</t>
  </si>
  <si>
    <t>CELL FILLED WITH GREEN COLOUR…</t>
  </si>
  <si>
    <r>
      <rPr>
        <b/>
        <sz val="11"/>
        <color theme="1" tint="0.14999847407452621"/>
        <rFont val="Calibri"/>
        <family val="2"/>
        <scheme val="minor"/>
      </rPr>
      <t>INDEX(Financials,</t>
    </r>
    <r>
      <rPr>
        <b/>
        <sz val="11"/>
        <color theme="6" tint="-0.249977111117893"/>
        <rFont val="Calibri"/>
        <family val="2"/>
        <scheme val="minor"/>
      </rPr>
      <t>MATCH([@[movie_id]],Financials[movie_id],0)</t>
    </r>
    <r>
      <rPr>
        <b/>
        <sz val="11"/>
        <color theme="1"/>
        <rFont val="Calibri"/>
        <family val="2"/>
        <scheme val="minor"/>
      </rPr>
      <t>,</t>
    </r>
    <r>
      <rPr>
        <b/>
        <sz val="11"/>
        <color theme="5" tint="-0.249977111117893"/>
        <rFont val="Calibri"/>
        <family val="2"/>
        <scheme val="minor"/>
      </rPr>
      <t>MATCH("revenue",Financials[#Headers],))</t>
    </r>
  </si>
  <si>
    <t xml:space="preserve">*And this formula just overcome the limitation of VLOOKUP() function that is : </t>
  </si>
  <si>
    <t>PARTS OF THE FORMULA</t>
  </si>
  <si>
    <r>
      <t>*In this formlula of MATCH fucntions it tells you that value"</t>
    </r>
    <r>
      <rPr>
        <b/>
        <u/>
        <sz val="12"/>
        <color rgb="FFFF0000"/>
        <rFont val="Calibri"/>
        <family val="2"/>
        <scheme val="minor"/>
      </rPr>
      <t>samosa</t>
    </r>
    <r>
      <rPr>
        <b/>
        <u/>
        <sz val="12"/>
        <color theme="8" tint="-0.499984740745262"/>
        <rFont val="Calibri"/>
        <family val="2"/>
        <scheme val="minor"/>
      </rPr>
      <t>" is in which</t>
    </r>
    <r>
      <rPr>
        <b/>
        <u/>
        <sz val="12"/>
        <color rgb="FFFF0000"/>
        <rFont val="Calibri"/>
        <family val="2"/>
        <scheme val="minor"/>
      </rPr>
      <t xml:space="preserve"> row </t>
    </r>
    <r>
      <rPr>
        <b/>
        <u/>
        <sz val="12"/>
        <color theme="8" tint="-0.499984740745262"/>
        <rFont val="Calibri"/>
        <family val="2"/>
        <scheme val="minor"/>
      </rPr>
      <t>of the</t>
    </r>
    <r>
      <rPr>
        <b/>
        <u/>
        <sz val="12"/>
        <color rgb="FFFF0000"/>
        <rFont val="Calibri"/>
        <family val="2"/>
        <scheme val="minor"/>
      </rPr>
      <t xml:space="preserve"> food[Item]</t>
    </r>
    <r>
      <rPr>
        <b/>
        <u/>
        <sz val="12"/>
        <color theme="8" tint="-0.499984740745262"/>
        <rFont val="Calibri"/>
        <family val="2"/>
        <scheme val="minor"/>
      </rPr>
      <t xml:space="preserve"> (Selected and specified Array)…</t>
    </r>
  </si>
  <si>
    <r>
      <t>*In this formlula of MATCH fucntions it tells you that value"</t>
    </r>
    <r>
      <rPr>
        <b/>
        <u/>
        <sz val="12"/>
        <color rgb="FFFF0000"/>
        <rFont val="Calibri"/>
        <family val="2"/>
        <scheme val="minor"/>
      </rPr>
      <t>Item</t>
    </r>
    <r>
      <rPr>
        <b/>
        <u/>
        <sz val="12"/>
        <color theme="8" tint="-0.499984740745262"/>
        <rFont val="Calibri"/>
        <family val="2"/>
        <scheme val="minor"/>
      </rPr>
      <t>" is in which</t>
    </r>
    <r>
      <rPr>
        <b/>
        <u/>
        <sz val="12"/>
        <color rgb="FFFF0000"/>
        <rFont val="Calibri"/>
        <family val="2"/>
        <scheme val="minor"/>
      </rPr>
      <t xml:space="preserve"> colulmn</t>
    </r>
    <r>
      <rPr>
        <b/>
        <u/>
        <sz val="12"/>
        <color theme="8" tint="-0.499984740745262"/>
        <rFont val="Calibri"/>
        <family val="2"/>
        <scheme val="minor"/>
      </rPr>
      <t xml:space="preserve"> of the </t>
    </r>
    <r>
      <rPr>
        <b/>
        <u/>
        <sz val="12"/>
        <color rgb="FFFF0000"/>
        <rFont val="Calibri"/>
        <family val="2"/>
        <scheme val="minor"/>
      </rPr>
      <t>header</t>
    </r>
    <r>
      <rPr>
        <b/>
        <u/>
        <sz val="12"/>
        <color theme="8" tint="-0.499984740745262"/>
        <rFont val="Calibri"/>
        <family val="2"/>
        <scheme val="minor"/>
      </rPr>
      <t>(Selected Array)…</t>
    </r>
  </si>
  <si>
    <t>*Below formula is used in INDEX() And MATCH()…</t>
  </si>
  <si>
    <r>
      <t xml:space="preserve">*In this there is a </t>
    </r>
    <r>
      <rPr>
        <b/>
        <sz val="11"/>
        <color rgb="FFFF0000"/>
        <rFont val="Calibri"/>
        <family val="2"/>
        <scheme val="minor"/>
      </rPr>
      <t>MATCH</t>
    </r>
    <r>
      <rPr>
        <b/>
        <sz val="11"/>
        <color theme="1"/>
        <rFont val="Calibri"/>
        <family val="2"/>
        <scheme val="minor"/>
      </rPr>
      <t xml:space="preserve"> done between the </t>
    </r>
    <r>
      <rPr>
        <b/>
        <sz val="11"/>
        <color rgb="FFFF0000"/>
        <rFont val="Calibri"/>
        <family val="2"/>
        <scheme val="minor"/>
      </rPr>
      <t>(movies_id and financial movies_id)</t>
    </r>
    <r>
      <rPr>
        <b/>
        <sz val="11"/>
        <color theme="1"/>
        <rFont val="Calibri"/>
        <family val="2"/>
        <scheme val="minor"/>
      </rPr>
      <t>and with exact match (0)...</t>
    </r>
  </si>
  <si>
    <r>
      <t xml:space="preserve">*In Yellow filled </t>
    </r>
    <r>
      <rPr>
        <b/>
        <u/>
        <sz val="11"/>
        <color rgb="FFFFC000"/>
        <rFont val="Calibri"/>
        <family val="2"/>
        <scheme val="minor"/>
      </rPr>
      <t xml:space="preserve">4 </t>
    </r>
    <r>
      <rPr>
        <b/>
        <u/>
        <sz val="11"/>
        <color theme="8" tint="-0.499984740745262"/>
        <rFont val="Calibri"/>
        <family val="2"/>
        <scheme val="minor"/>
      </rPr>
      <t xml:space="preserve">columns we have used </t>
    </r>
    <r>
      <rPr>
        <b/>
        <u/>
        <sz val="11"/>
        <color rgb="FFFF0000"/>
        <rFont val="Calibri"/>
        <family val="2"/>
        <scheme val="minor"/>
      </rPr>
      <t>INDEX and MATCH()</t>
    </r>
    <r>
      <rPr>
        <b/>
        <u/>
        <sz val="11"/>
        <color theme="8" tint="-0.499984740745262"/>
        <rFont val="Calibri"/>
        <family val="2"/>
        <scheme val="minor"/>
      </rPr>
      <t xml:space="preserve"> formula...</t>
    </r>
  </si>
  <si>
    <r>
      <t xml:space="preserve">*In red filled </t>
    </r>
    <r>
      <rPr>
        <b/>
        <u/>
        <sz val="11"/>
        <color rgb="FFFF0000"/>
        <rFont val="Calibri"/>
        <family val="2"/>
        <scheme val="minor"/>
      </rPr>
      <t>4</t>
    </r>
    <r>
      <rPr>
        <b/>
        <u/>
        <sz val="11"/>
        <color theme="8" tint="-0.499984740745262"/>
        <rFont val="Calibri"/>
        <family val="2"/>
        <scheme val="minor"/>
      </rPr>
      <t xml:space="preserve"> columns we have used </t>
    </r>
    <r>
      <rPr>
        <b/>
        <u/>
        <sz val="11"/>
        <color rgb="FFFF0000"/>
        <rFont val="Calibri"/>
        <family val="2"/>
        <scheme val="minor"/>
      </rPr>
      <t>VLOOKUP()</t>
    </r>
    <r>
      <rPr>
        <b/>
        <u/>
        <sz val="11"/>
        <color theme="8" tint="-0.499984740745262"/>
        <rFont val="Calibri"/>
        <family val="2"/>
        <scheme val="minor"/>
      </rPr>
      <t xml:space="preserve"> formula and have also </t>
    </r>
    <r>
      <rPr>
        <b/>
        <u/>
        <sz val="11"/>
        <color rgb="FFFF0000"/>
        <rFont val="Calibri"/>
        <family val="2"/>
        <scheme val="minor"/>
      </rPr>
      <t xml:space="preserve">locked the cell </t>
    </r>
    <r>
      <rPr>
        <b/>
        <u/>
        <sz val="11"/>
        <color theme="8" tint="-0.499984740745262"/>
        <rFont val="Calibri"/>
        <family val="2"/>
        <scheme val="minor"/>
      </rPr>
      <t>by putting [:] inside the square bracket…</t>
    </r>
  </si>
  <si>
    <r>
      <rPr>
        <b/>
        <u/>
        <sz val="12"/>
        <color rgb="FFFF0000"/>
        <rFont val="Calibri"/>
        <family val="2"/>
        <scheme val="minor"/>
      </rPr>
      <t xml:space="preserve"> *INDEX()</t>
    </r>
    <r>
      <rPr>
        <b/>
        <u/>
        <sz val="12"/>
        <color theme="8" tint="-0.499984740745262"/>
        <rFont val="Calibri"/>
        <family val="2"/>
        <scheme val="minor"/>
      </rPr>
      <t xml:space="preserve"> is used as it gives you the value present in that particular cell of provided cell address…</t>
    </r>
  </si>
  <si>
    <r>
      <rPr>
        <b/>
        <sz val="11"/>
        <color rgb="FFC00000"/>
        <rFont val="Calibri"/>
        <family val="2"/>
        <scheme val="minor"/>
      </rPr>
      <t>MATCH("revenue",Financials[#Headers],0))</t>
    </r>
    <r>
      <rPr>
        <sz val="11"/>
        <color theme="1"/>
        <rFont val="Calibri"/>
        <family val="2"/>
        <scheme val="minor"/>
      </rPr>
      <t xml:space="preserve"> </t>
    </r>
    <r>
      <rPr>
        <b/>
        <u/>
        <sz val="11"/>
        <color rgb="FF002060"/>
        <rFont val="Calibri"/>
        <family val="2"/>
        <scheme val="minor"/>
      </rPr>
      <t>this part is used to overcome the limitation of Adding a new column to the refrence table can cause errors by shifting column indexes and changing the refrenced columns…</t>
    </r>
  </si>
  <si>
    <r>
      <t>INDEX(Financials,</t>
    </r>
    <r>
      <rPr>
        <b/>
        <sz val="11"/>
        <color rgb="FFFF0000"/>
        <rFont val="Calibri"/>
        <family val="2"/>
        <scheme val="minor"/>
      </rPr>
      <t>MATCH(Movies[@[movie_id]:[movie_id]]</t>
    </r>
    <r>
      <rPr>
        <b/>
        <sz val="11"/>
        <color theme="1"/>
        <rFont val="Calibri"/>
        <family val="2"/>
        <scheme val="minor"/>
      </rPr>
      <t>,</t>
    </r>
    <r>
      <rPr>
        <b/>
        <sz val="11"/>
        <color theme="4" tint="-0.249977111117893"/>
        <rFont val="Calibri"/>
        <family val="2"/>
        <scheme val="minor"/>
      </rPr>
      <t>Financials[[movie_id]:[movie_id]]</t>
    </r>
    <r>
      <rPr>
        <b/>
        <sz val="11"/>
        <color theme="1"/>
        <rFont val="Calibri"/>
        <family val="2"/>
        <scheme val="minor"/>
      </rPr>
      <t>,0),MATCH("currency",Financials[#Headers],0))</t>
    </r>
  </si>
  <si>
    <t xml:space="preserve"> FORMULA</t>
  </si>
  <si>
    <r>
      <t xml:space="preserve">*In this the parts of the formula in </t>
    </r>
    <r>
      <rPr>
        <b/>
        <u/>
        <sz val="11"/>
        <color rgb="FFFF0000"/>
        <rFont val="Calibri"/>
        <family val="2"/>
        <scheme val="minor"/>
      </rPr>
      <t xml:space="preserve">RED </t>
    </r>
    <r>
      <rPr>
        <b/>
        <u/>
        <sz val="11"/>
        <color theme="1"/>
        <rFont val="Calibri"/>
        <family val="2"/>
        <scheme val="minor"/>
      </rPr>
      <t xml:space="preserve">and </t>
    </r>
    <r>
      <rPr>
        <b/>
        <u/>
        <sz val="11"/>
        <color theme="4" tint="-0.249977111117893"/>
        <rFont val="Calibri"/>
        <family val="2"/>
        <scheme val="minor"/>
      </rPr>
      <t>BLUE</t>
    </r>
    <r>
      <rPr>
        <b/>
        <u/>
        <sz val="11"/>
        <color theme="1"/>
        <rFont val="Calibri"/>
        <family val="2"/>
        <scheme val="minor"/>
      </rPr>
      <t xml:space="preserve"> is where we have locked the </t>
    </r>
    <r>
      <rPr>
        <b/>
        <u/>
        <sz val="12"/>
        <color rgb="FFC00000"/>
        <rFont val="Calibri"/>
        <family val="2"/>
        <scheme val="minor"/>
      </rPr>
      <t>Cell Refrence</t>
    </r>
    <r>
      <rPr>
        <b/>
        <u/>
        <sz val="11"/>
        <color theme="1"/>
        <rFont val="Calibri"/>
        <family val="2"/>
        <scheme val="minor"/>
      </rPr>
      <t xml:space="preserve"> by putting </t>
    </r>
    <r>
      <rPr>
        <b/>
        <u/>
        <sz val="12"/>
        <color rgb="FFC00000"/>
        <rFont val="Calibri"/>
        <family val="2"/>
        <scheme val="minor"/>
      </rPr>
      <t>Colon (:) between ]:[ like this…</t>
    </r>
  </si>
  <si>
    <r>
      <t xml:space="preserve">*Whenever the formula </t>
    </r>
    <r>
      <rPr>
        <b/>
        <sz val="12"/>
        <color rgb="FFC00000"/>
        <rFont val="Calibri"/>
        <family val="2"/>
        <scheme val="minor"/>
      </rPr>
      <t>is in format like : financials[movie_id]</t>
    </r>
    <r>
      <rPr>
        <b/>
        <sz val="11"/>
        <color theme="1"/>
        <rFont val="Calibri"/>
        <family val="2"/>
        <scheme val="minor"/>
      </rPr>
      <t xml:space="preserve"> where </t>
    </r>
    <r>
      <rPr>
        <b/>
        <sz val="12"/>
        <color theme="1"/>
        <rFont val="Calibri"/>
        <family val="2"/>
        <scheme val="minor"/>
      </rPr>
      <t>only single column</t>
    </r>
    <r>
      <rPr>
        <b/>
        <sz val="11"/>
        <color theme="1"/>
        <rFont val="Calibri"/>
        <family val="2"/>
        <scheme val="minor"/>
      </rPr>
      <t xml:space="preserve"> is needed and we have to lock that refrence cell(single column) then we have to DO LIKE THIS : </t>
    </r>
    <r>
      <rPr>
        <b/>
        <sz val="12"/>
        <color rgb="FFC00000"/>
        <rFont val="Calibri"/>
        <family val="2"/>
        <scheme val="minor"/>
      </rPr>
      <t>financials[[movie_id]:[movie_id]]</t>
    </r>
    <r>
      <rPr>
        <b/>
        <sz val="11"/>
        <color theme="1"/>
        <rFont val="Calibri"/>
        <family val="2"/>
        <scheme val="minor"/>
      </rPr>
      <t xml:space="preserve"> (Add [] brackets and then put Colon ]:[ between them like this...</t>
    </r>
  </si>
  <si>
    <r>
      <t xml:space="preserve">Similarly we have done for this also : </t>
    </r>
    <r>
      <rPr>
        <b/>
        <u/>
        <sz val="12"/>
        <color rgb="FFC00000"/>
        <rFont val="Calibri"/>
        <family val="2"/>
        <scheme val="minor"/>
      </rPr>
      <t>MATCH(Movies[@[movie_id]:[movie_id]</t>
    </r>
    <r>
      <rPr>
        <b/>
        <u/>
        <sz val="11"/>
        <color rgb="FFC00000"/>
        <rFont val="Calibri"/>
        <family val="2"/>
        <scheme val="minor"/>
      </rPr>
      <t>]</t>
    </r>
  </si>
  <si>
    <t>NOW MAKING THIS ABOVE FORMULA MORE AUTOMATED AND PERFECT WE WILL ADD</t>
  </si>
  <si>
    <t>AND THE FINAL PERFECT FORMAULA LOOKS LIKE THIS:</t>
  </si>
  <si>
    <r>
      <t>INDEX(Financials,MATCH(Movies[@[movie_id]:[movie_id]],Financials[[movie_id]:[movie_id]],0),MATCH</t>
    </r>
    <r>
      <rPr>
        <b/>
        <u/>
        <sz val="11"/>
        <color rgb="FFC00000"/>
        <rFont val="Calibri"/>
        <family val="2"/>
        <scheme val="minor"/>
      </rPr>
      <t>(Movies[[#Headers],[Currency]]</t>
    </r>
    <r>
      <rPr>
        <b/>
        <u/>
        <sz val="11"/>
        <color theme="1"/>
        <rFont val="Calibri"/>
        <family val="2"/>
        <scheme val="minor"/>
      </rPr>
      <t>,Financials[#Headers],0))</t>
    </r>
  </si>
  <si>
    <r>
      <t>INDEX(Financials,MATCH(Movies[@[movie_id]:[movie_id]],Financials[[movie_id]:[movie_id]],0),MATCH</t>
    </r>
    <r>
      <rPr>
        <b/>
        <u/>
        <sz val="11"/>
        <color rgb="FFC00000"/>
        <rFont val="Calibri"/>
        <family val="2"/>
        <scheme val="minor"/>
      </rPr>
      <t>(Movies[[#Headers],[Unit]]</t>
    </r>
    <r>
      <rPr>
        <b/>
        <u/>
        <sz val="11"/>
        <color theme="1"/>
        <rFont val="Calibri"/>
        <family val="2"/>
        <scheme val="minor"/>
      </rPr>
      <t>,Financials[#Headers],0))</t>
    </r>
  </si>
  <si>
    <t>Locked Cell Refrence(one column) formala ]:[ (Colon) part of INDEX() and MATCH()</t>
  </si>
  <si>
    <t>Final formula of INDEX() and MATCH()</t>
  </si>
  <si>
    <t>INDEX () AND MATCH() Formula</t>
  </si>
  <si>
    <t>VLOOKUP Formula</t>
  </si>
  <si>
    <t xml:space="preserve">BASICS </t>
  </si>
  <si>
    <t>*Then there is a MATCH() done again on "revenue" with financials[#Headers](all) instead of going through rows and columns number…</t>
  </si>
  <si>
    <t>TAKE AWAYS FROM THE VEDIO</t>
  </si>
  <si>
    <r>
      <t xml:space="preserve">The part in </t>
    </r>
    <r>
      <rPr>
        <b/>
        <u/>
        <sz val="12"/>
        <color rgb="FFC00000"/>
        <rFont val="Calibri"/>
        <family val="2"/>
        <scheme val="minor"/>
      </rPr>
      <t>RED</t>
    </r>
    <r>
      <rPr>
        <b/>
        <u/>
        <sz val="11"/>
        <color theme="1"/>
        <rFont val="Calibri"/>
        <family val="2"/>
        <scheme val="minor"/>
      </rPr>
      <t xml:space="preserve"> leads to the automation and resulted in a </t>
    </r>
    <r>
      <rPr>
        <b/>
        <u/>
        <sz val="11"/>
        <color rgb="FFC00000"/>
        <rFont val="Calibri"/>
        <family val="2"/>
        <scheme val="minor"/>
      </rPr>
      <t>PERFECT FORMULA instead of just "currency" and "unit"…</t>
    </r>
  </si>
  <si>
    <t>*INDEX() and MATCH() are two powerful Excel Function that are often used together to search for and retrieve data from a table or a range…</t>
  </si>
  <si>
    <t>*The syntax of  the MATCH() function is: MATCH(lookup_vlaue,lookup_aray,[match_type])…</t>
  </si>
  <si>
    <t>*The syntax of  the INDEX() function is: INDEX(array,row_num[column_num])…</t>
  </si>
  <si>
    <t>(INDEX() and MATCH() FORMULA USED</t>
  </si>
  <si>
    <r>
      <rPr>
        <b/>
        <u/>
        <sz val="11"/>
        <color rgb="FFFF0000"/>
        <rFont val="Calibri"/>
        <family val="2"/>
        <scheme val="minor"/>
      </rPr>
      <t xml:space="preserve">Movies[[#Headers],[Unit]] </t>
    </r>
    <r>
      <rPr>
        <b/>
        <u/>
        <sz val="11"/>
        <color theme="1"/>
        <rFont val="Calibri"/>
        <family val="2"/>
        <scheme val="minor"/>
      </rPr>
      <t>this comes in place of "unit" (column name) this help us to drag the formula to any column and it automaticallly chages the "   " inside value</t>
    </r>
  </si>
  <si>
    <t>*The syntax of the XLOOKUP() function is : XLOOKUP(lookup_value,lookup_array,return_array,[if_not_found],[match_made])…</t>
  </si>
  <si>
    <t>*Unlike VLOOKUP,which only searches in the leftmost colulmn of the table,XLOOKUP is capable of searching in any colulmn…</t>
  </si>
  <si>
    <t>*The intersection between BUSINESS MATHS+STATISTICS and BUSINESS LOGIC is called Business Metrics or KPIS…</t>
  </si>
  <si>
    <t>And BUSINESS LOGIC is basically the DOMAIN KNOWLEDGE…</t>
  </si>
  <si>
    <t>In which BUSINESS STATISTICS IS THE ARITHMETICAL OR MATHEMATICAL , STATISTICAL CONCEPTS you should know in order to find various aspects of Business…</t>
  </si>
  <si>
    <t>*And then the knowledge or skill of any tool makes you a DATA ANALYST…</t>
  </si>
  <si>
    <t>KPIS means (KEY PERFORMANCE INDICATOR)…</t>
  </si>
  <si>
    <t>*And then personal skills is what helps you in every field of life, which js very necessary…</t>
  </si>
  <si>
    <t>SUM</t>
  </si>
  <si>
    <t>AVERAGE</t>
  </si>
  <si>
    <t>INR (Million)</t>
  </si>
  <si>
    <t>USD(Million)</t>
  </si>
  <si>
    <t>Not Available</t>
  </si>
  <si>
    <t>All Movies</t>
  </si>
  <si>
    <t>REVENUE OF HOLLYWOOD</t>
  </si>
  <si>
    <t>REVENUE OF BOLLYWOOD</t>
  </si>
  <si>
    <t>BUDGET OF BOLLYWOOD</t>
  </si>
  <si>
    <t>BUDGET OF HOLLYWOOD</t>
  </si>
  <si>
    <t>ROI(Reutrn On Investment)including Investment</t>
  </si>
  <si>
    <t>KPIS(KEY PERFORMACNE INDICATOR)</t>
  </si>
  <si>
    <t>TOTAL REVENUE OF MOVIES</t>
  </si>
  <si>
    <t>TOTAL BUDGET OF MOVIES</t>
  </si>
  <si>
    <t>*It means investing on Bollywood is better than investing on Hollywood on basis of ROI…</t>
  </si>
  <si>
    <t>TOTAL COUNT</t>
  </si>
  <si>
    <t>All</t>
  </si>
  <si>
    <t>% REVENUE</t>
  </si>
  <si>
    <t>*Null values can be handled in different ways based on the business situation:</t>
  </si>
  <si>
    <t>1.  Delete that data</t>
  </si>
  <si>
    <t>2.  Replace with MEAN or MEDIAN VALUE…</t>
  </si>
  <si>
    <t>Key Metrics</t>
  </si>
  <si>
    <t>Profit/Loss</t>
  </si>
  <si>
    <t>Formula used : Revenue - Budget</t>
  </si>
  <si>
    <t>Formula used : Profit or Loss / Investment(Budget)</t>
  </si>
  <si>
    <t xml:space="preserve">Total Revenue </t>
  </si>
  <si>
    <t>*All Movies</t>
  </si>
  <si>
    <t>*Hollywood</t>
  </si>
  <si>
    <t>(Marvel Studios) Consolidated P&amp;L</t>
  </si>
  <si>
    <t>Formula used : Revenue of Marvel Studio / Total Revneue</t>
  </si>
  <si>
    <t>Formula used : Revenue of Marvel Studio / Total Revneue*(Hollywood)</t>
  </si>
  <si>
    <t>*Business language way of speaking : "Marvel Studio is almost half of the Hollywood Industrys Total Revenue…</t>
  </si>
  <si>
    <t>Market Share  in %</t>
  </si>
  <si>
    <t>Profit/Loss in %</t>
  </si>
  <si>
    <t>(Marvel Studios)Target</t>
  </si>
  <si>
    <t xml:space="preserve"> Actuals - Target </t>
  </si>
  <si>
    <t>*Here Positive and  Negative is based on your thinking it is good if we spend less or is it bad that we did not spend as per the target…</t>
  </si>
  <si>
    <t>…</t>
  </si>
  <si>
    <t>*And also in Business world companies provide bonuses or ask questions and perform changes  based on  (Actual - Targets)…</t>
  </si>
  <si>
    <t xml:space="preserve"> Actuals - Target in %</t>
  </si>
  <si>
    <t>Name</t>
  </si>
  <si>
    <t>Rob</t>
  </si>
  <si>
    <t>Raj</t>
  </si>
  <si>
    <t>Nina</t>
  </si>
  <si>
    <t>Sofia</t>
  </si>
  <si>
    <t>Mohan</t>
  </si>
  <si>
    <t>Tao</t>
  </si>
  <si>
    <t>Average(MEAN)</t>
  </si>
  <si>
    <t>Monthly Salary($)</t>
  </si>
  <si>
    <t>*This is called Descriptive Analysis…</t>
  </si>
  <si>
    <t>Elon Musk</t>
  </si>
  <si>
    <t xml:space="preserve">SHOULD WE OPEN AN TESLA SHOWROOM IN THIS TOWN ? </t>
  </si>
  <si>
    <t>(10 millions)</t>
  </si>
  <si>
    <t>According to this data we can see in order to setup a car showroom the AVERAGE(MEAN) salary is low…</t>
  </si>
  <si>
    <t>MEDIAN</t>
  </si>
  <si>
    <t>*According to this data we can see in order to setup a car showroom the AVERAGE SALARY IS GOOD but it happens because of one MAN ELON MUSK  SALARY(EXTREME VALUE)so due to this type of case we cant get the clear picture THATSWHY WE COME UP WITH ANOTHER  METHOD CALLED (MEDIAN) in order to solve the problem of (EXREME VALUES)…</t>
  </si>
  <si>
    <t>*Here Elon Musk is an OUTLIER</t>
  </si>
  <si>
    <t>(143 million)</t>
  </si>
  <si>
    <t>It contains certain STEPS :</t>
  </si>
  <si>
    <t>Step 1</t>
  </si>
  <si>
    <t>Step 2</t>
  </si>
  <si>
    <t>Step 3</t>
  </si>
  <si>
    <t>Step 4</t>
  </si>
  <si>
    <t>Sort the values in Ascending OR Descending order.</t>
  </si>
  <si>
    <t>Count the number of values in the set. </t>
  </si>
  <si>
    <t>If the number of values is odd, the median is the middle value.</t>
  </si>
  <si>
    <t>You can also use the following formulas to calculate the median:</t>
  </si>
  <si>
    <r>
      <t>Odd number of values</t>
    </r>
    <r>
      <rPr>
        <b/>
        <sz val="10"/>
        <color theme="1" tint="4.9989318521683403E-2"/>
        <rFont val="Arial"/>
        <family val="2"/>
      </rPr>
      <t>: Median = [(n + 1)/2]th term </t>
    </r>
  </si>
  <si>
    <r>
      <t>Even number of values</t>
    </r>
    <r>
      <rPr>
        <b/>
        <sz val="10"/>
        <color theme="1" tint="4.9989318521683403E-2"/>
        <rFont val="Arial"/>
        <family val="2"/>
      </rPr>
      <t>: Median = [(n/2)th term + (n/2 + 1)th term]/2 </t>
    </r>
  </si>
  <si>
    <t>Case-1</t>
  </si>
  <si>
    <t>Case-2</t>
  </si>
  <si>
    <t>If the number of values is even, the median is the average of the two middle value.</t>
  </si>
  <si>
    <t>*Here we have performed CUSTOM SORTING…</t>
  </si>
  <si>
    <t>Mid Point Value(MEDIAN)</t>
  </si>
  <si>
    <t>MEDIAN = 7000</t>
  </si>
  <si>
    <t>Since the number of values is odd, the median is the middle value.</t>
  </si>
  <si>
    <t>Raman</t>
  </si>
  <si>
    <t>IF NUMBER OF VALUES IS EVEN</t>
  </si>
  <si>
    <t>[(n/2)th term + (n/2 + 1)th term]/2</t>
  </si>
  <si>
    <t>*Basically AVERAGE OR MEAN</t>
  </si>
  <si>
    <t>Of the Two Middest Values</t>
  </si>
  <si>
    <t xml:space="preserve">MEDIAN = </t>
  </si>
  <si>
    <t>MODE</t>
  </si>
  <si>
    <t>Restraunt Vote</t>
  </si>
  <si>
    <t>Rishi</t>
  </si>
  <si>
    <t>Rounak</t>
  </si>
  <si>
    <t>Ankush</t>
  </si>
  <si>
    <t>Arushi</t>
  </si>
  <si>
    <t>Krishna</t>
  </si>
  <si>
    <t>Dev</t>
  </si>
  <si>
    <t>Indian</t>
  </si>
  <si>
    <t>Mexican</t>
  </si>
  <si>
    <t>Chinesse</t>
  </si>
  <si>
    <t>Desi Chinese</t>
  </si>
  <si>
    <t>Italian</t>
  </si>
  <si>
    <t>Thai</t>
  </si>
  <si>
    <t>Varaaha</t>
  </si>
  <si>
    <t>Rupesh</t>
  </si>
  <si>
    <t>Swarn</t>
  </si>
  <si>
    <t>What is MODE?</t>
  </si>
  <si>
    <t>So, according to the above dataset MODE is Indian…</t>
  </si>
  <si>
    <t>Mode is basically the frequently(most number of time) occuring value in a dataset…</t>
  </si>
  <si>
    <t>MEAN</t>
  </si>
  <si>
    <t>IDIOT DO SMART WORK</t>
  </si>
  <si>
    <t>DO IT FAST</t>
  </si>
  <si>
    <t>USE DRAG + SIGN AND THEN</t>
  </si>
  <si>
    <t>COPY AND CHANGE IT IN FEW SECONDS</t>
  </si>
  <si>
    <t>*With 20% of statistics, you can cover 80% of your work…</t>
  </si>
  <si>
    <t>*You can also use the following formulas to calculate the median:</t>
  </si>
  <si>
    <t>*Mode is basically the frequently(most number of time) occuring value in a dataset…</t>
  </si>
  <si>
    <r>
      <t>Odd number of values</t>
    </r>
    <r>
      <rPr>
        <b/>
        <sz val="12"/>
        <color theme="1" tint="4.9989318521683403E-2"/>
        <rFont val="Arial"/>
        <family val="2"/>
      </rPr>
      <t>: Median = [(n + 1)/2]th term </t>
    </r>
  </si>
  <si>
    <r>
      <t>Even number of values</t>
    </r>
    <r>
      <rPr>
        <b/>
        <sz val="12"/>
        <color theme="1" tint="4.9989318521683403E-2"/>
        <rFont val="Arial"/>
        <family val="2"/>
      </rPr>
      <t>: Median = [(n/2)th term + (n/2 + 1)th term]/2 </t>
    </r>
  </si>
  <si>
    <t>VARIANCE</t>
  </si>
  <si>
    <t>How far each number is from every other number in a dataset…</t>
  </si>
  <si>
    <t xml:space="preserve">VARIANCE : </t>
  </si>
  <si>
    <t>rishi</t>
  </si>
  <si>
    <t>nitin</t>
  </si>
  <si>
    <t>raj</t>
  </si>
  <si>
    <t>raman</t>
  </si>
  <si>
    <t>rounak</t>
  </si>
  <si>
    <t>ankush</t>
  </si>
  <si>
    <t>Yearly Income in $k</t>
  </si>
  <si>
    <t>MEAN =</t>
  </si>
  <si>
    <t>COUNTRY JUGANDA</t>
  </si>
  <si>
    <t>rahil</t>
  </si>
  <si>
    <t>krishna</t>
  </si>
  <si>
    <t>dev</t>
  </si>
  <si>
    <t>varaaha</t>
  </si>
  <si>
    <t>nina</t>
  </si>
  <si>
    <t>kiran</t>
  </si>
  <si>
    <t>MEAN=</t>
  </si>
  <si>
    <t>COUNTRY KRANCE</t>
  </si>
  <si>
    <t>Means that mostly people have SAME PER CAPITA INCOME…</t>
  </si>
  <si>
    <r>
      <t xml:space="preserve">*In country </t>
    </r>
    <r>
      <rPr>
        <b/>
        <sz val="12"/>
        <color theme="1"/>
        <rFont val="Calibri"/>
        <family val="2"/>
        <scheme val="minor"/>
      </rPr>
      <t xml:space="preserve">JUGNADA </t>
    </r>
    <r>
      <rPr>
        <sz val="11"/>
        <color theme="1"/>
        <rFont val="Calibri"/>
        <family val="2"/>
        <scheme val="minor"/>
      </rPr>
      <t xml:space="preserve">you can see that people income are mostly </t>
    </r>
    <r>
      <rPr>
        <b/>
        <sz val="12"/>
        <color theme="1"/>
        <rFont val="Calibri"/>
        <family val="2"/>
        <scheme val="minor"/>
      </rPr>
      <t>Around the Average…</t>
    </r>
  </si>
  <si>
    <r>
      <t>*In country KRANCE</t>
    </r>
    <r>
      <rPr>
        <b/>
        <sz val="12"/>
        <color theme="1"/>
        <rFont val="Calibri"/>
        <family val="2"/>
        <scheme val="minor"/>
      </rPr>
      <t xml:space="preserve"> </t>
    </r>
    <r>
      <rPr>
        <sz val="11"/>
        <color theme="1"/>
        <rFont val="Calibri"/>
        <family val="2"/>
        <scheme val="minor"/>
      </rPr>
      <t>you can see that people income are Very dispersed or THE INCOME INEQUALITY IS VERY HIGHER as compare to</t>
    </r>
    <r>
      <rPr>
        <b/>
        <sz val="12"/>
        <color theme="1"/>
        <rFont val="Calibri"/>
        <family val="2"/>
        <scheme val="minor"/>
      </rPr>
      <t xml:space="preserve"> the Average…</t>
    </r>
  </si>
  <si>
    <t>Means that mostly people have A LARGE VARIATION BETWEEN THEM ON THE BASIS OF INCOME…</t>
  </si>
  <si>
    <t>This also means that HUGE GAP BETWEEN POOR AND RICH OR THE WEALTH IS NOT DISTRIBUTED EQUAL…</t>
  </si>
  <si>
    <t>*IN JUGANDA THE VARIANCE IS LOW</t>
  </si>
  <si>
    <t>AVERAGE IS SAME BETWEEN BOTH COUNTIRES BUT…</t>
  </si>
  <si>
    <t>TOTAL</t>
  </si>
  <si>
    <t>COUNT</t>
  </si>
  <si>
    <t>Income-Mean</t>
  </si>
  <si>
    <t xml:space="preserve">Squaring </t>
  </si>
  <si>
    <t>*We have squared because there are some negative</t>
  </si>
  <si>
    <t xml:space="preserve">values which are cancelling out them and does not </t>
  </si>
  <si>
    <t>giving accurate or neded type of VALUE for fomrula…</t>
  </si>
  <si>
    <t>So, the VARIANCE of JUGANDA is 73…</t>
  </si>
  <si>
    <t>*IN KRANCE THE VARIANCE IS SO HIGH</t>
  </si>
  <si>
    <t>STANDARD DEVIATION</t>
  </si>
  <si>
    <t xml:space="preserve">STANDARD DEVIATION : </t>
  </si>
  <si>
    <t>Standard Deviation is  nothing but the square root of the Variance….</t>
  </si>
  <si>
    <t>and STANDARD DEVIATION IS 9…</t>
  </si>
  <si>
    <t xml:space="preserve">*According to above data STANDARD DEVIATION IN JUGANDA is 8.5 that MEANS THAT </t>
  </si>
  <si>
    <t>ON AN AVERAGE THE INCOME OF PEOPLE IS +8 OR -8 THOUSAND FROM MEAN…</t>
  </si>
  <si>
    <t xml:space="preserve">*According to above data STANDARD DEVIATION IN KRANCE is 30  that MEANS THAT </t>
  </si>
  <si>
    <t>ON AN AVERAGE THE INCOME OF PEOPLE IS +30 OR -30 THOUSAND FROM MEAN…</t>
  </si>
  <si>
    <t>DIFRRENCE AMONG THEM IS 30k positive or negative…</t>
  </si>
  <si>
    <t>DIFRRENCE AMONG THEM IS 8k positive or negative…</t>
  </si>
  <si>
    <t>And it is done to balance the SQUARE WHICH WE HAVE DONE EARLIER IN ORDER TO SOLEVE THE NEGATIVE VALUE PROBLEM, TO PERFORM CALCULAS IN A CORRECT WAY ALSO…</t>
  </si>
  <si>
    <t>In STOCK MARKET VOLATILITY…</t>
  </si>
  <si>
    <t>Knowing whether the particular share is too volatile or not , it I better option to invest it or not?</t>
  </si>
  <si>
    <t>Admisson of  your child in school  or not?</t>
  </si>
  <si>
    <t>By chexcking the VARIANCE SCORE THAT IS ALL STUDENTS GETTING GOOD MARKS OR THE SCHOOL JUST FILTER OUT THE SMART CHILDREN AND THEN  FOCUS ON THEM AND ADVERTISE THEIR SCORES  INSTEAD OF WORKING HARDER ON ALL TYPE OF STUDENTS….</t>
  </si>
  <si>
    <t>BASICALLY IS SCHOOL WORKING ON OR TAKING CARE OF ALL STUDENTS OR NOT. OR ITS JUST LIKE THAT MANY STUDENTS ARE FAR LESS SCORING THEN THE AVERAGE PECENTAGE SCORE…..</t>
  </si>
  <si>
    <t>MEANS STUDENTS ARE GOOD BUT TEACHING QUALITY OF SCHOOL IS ALSO GOOD..</t>
  </si>
  <si>
    <t>MEANS SOME STUDENTS ARE GOOD BEACUSETHEIR PARENTS TAKE GOOD CARE OF THEIR STUDIES BUT TEACHING IS BAD…</t>
  </si>
  <si>
    <t>IN MOVIES (imdb_rating)</t>
  </si>
  <si>
    <t>If VARIANCE AND STD DEV. is low</t>
  </si>
  <si>
    <t>If VARIANCE AND STD DEV. is high</t>
  </si>
  <si>
    <t xml:space="preserve">*Real  Life cases where Variance and standard deviation is useful : </t>
  </si>
  <si>
    <t>imdb_rating - Average(MEAN)</t>
  </si>
  <si>
    <t>Not Avaulable</t>
  </si>
  <si>
    <t>(VARIANCE)</t>
  </si>
  <si>
    <t>*Here we DIRECTLY USED VARICANCE AND STANDARD DEVIATION FORMULA…</t>
  </si>
  <si>
    <t>Instead of finding COUNT AND AVERAGE OF THE imdb_rating and then the SUM OF (imdb_rating - Average(MEAN)) And then square rooting of the Variance…</t>
  </si>
  <si>
    <t>Square root of VARIANCE(Std. Dev.)</t>
  </si>
  <si>
    <t>Property Prices in Rajanagar , Banglore</t>
  </si>
  <si>
    <t>Square Ft</t>
  </si>
  <si>
    <t>Price (INR Cr)</t>
  </si>
  <si>
    <t>CORRELATON BETWEEN TWO VARIABLES</t>
  </si>
  <si>
    <t>Correlation</t>
  </si>
  <si>
    <t>*POINTS TO KNOW ABOUT CORRELATION</t>
  </si>
  <si>
    <t>*If correlation is 1 that means relation between them is so close.</t>
  </si>
  <si>
    <t>*Range of Correlation is (+1 to -1)</t>
  </si>
  <si>
    <t>*0 means there no relation at all.</t>
  </si>
  <si>
    <t>SCATTER PLOT</t>
  </si>
  <si>
    <t>scattered much.</t>
  </si>
  <si>
    <t>*If you put a line from Origin in HYPOTENSE(45∘) degree on Scatter Plot graph</t>
  </si>
  <si>
    <t>Circle Area</t>
  </si>
  <si>
    <t>Radius(Ft)</t>
  </si>
  <si>
    <t>Area (Square Ft)</t>
  </si>
  <si>
    <t xml:space="preserve">*By using Formula </t>
  </si>
  <si>
    <t>where:</t>
  </si>
  <si>
    <t>A=πr*r</t>
  </si>
  <si>
    <t>A = the area of the circle,</t>
  </si>
  <si>
    <t>r = the radius of the circle, and</t>
  </si>
  <si>
    <t>π = 3.14159 or 22/7</t>
  </si>
  <si>
    <t>that means realtion is too close..</t>
  </si>
  <si>
    <t>*It is very close to 1</t>
  </si>
  <si>
    <t>*It is a common sense</t>
  </si>
  <si>
    <t>the Area also gets increased…</t>
  </si>
  <si>
    <t>that as the Radius increases</t>
  </si>
  <si>
    <t>Health Department</t>
  </si>
  <si>
    <t>Heigth(cm)</t>
  </si>
  <si>
    <t>Blood Sugar(mg/dL)</t>
  </si>
  <si>
    <t xml:space="preserve">*It is not close to 1 </t>
  </si>
  <si>
    <t>that means realtion is not close..</t>
  </si>
  <si>
    <t>*It means that there is NO CORRATION BETWEEN HEIGHT OF THE PERSON AND HIS/HER BLOOD SUGAR…</t>
  </si>
  <si>
    <t>*AND IT IS A COMMON SENSE THAT THERE IS NO CORRELATION BETWEEN PERSON HEIGHT AND BLOOD SUGAR…</t>
  </si>
  <si>
    <t>Related Graph</t>
  </si>
  <si>
    <t xml:space="preserve">you will see that the dots are so close to the line not </t>
  </si>
  <si>
    <t xml:space="preserve">*Here you can see that the dots </t>
  </si>
  <si>
    <t>It means that there can be no</t>
  </si>
  <si>
    <t>are scattered away from the line on all over the place…</t>
  </si>
  <si>
    <t>any Linear Equation can be formed…</t>
  </si>
  <si>
    <t>Employees Happy Index</t>
  </si>
  <si>
    <t>Employees time
(minutes)</t>
  </si>
  <si>
    <t>Blood Sugar(mg/dL)
(1 to 10)</t>
  </si>
  <si>
    <t xml:space="preserve">*It is in negative </t>
  </si>
  <si>
    <t>means No Relation At All..</t>
  </si>
  <si>
    <t>*There is Correation But IN NEGTIVE WAY..</t>
  </si>
  <si>
    <t>Means the MORE YOU COMMUTE THE MORE YOU GET LOW IN HAPPY INDEX..</t>
  </si>
  <si>
    <t>Investment Category</t>
  </si>
  <si>
    <t>(100 INR)</t>
  </si>
  <si>
    <t>Stocks</t>
  </si>
  <si>
    <t>Gold</t>
  </si>
  <si>
    <t>Real Life Scenario</t>
  </si>
  <si>
    <t>*We know that Stocks and Gold are Inversely Proportionate</t>
  </si>
  <si>
    <t>and if you go to any financial adviser in order to do Investment</t>
  </si>
  <si>
    <t>they will tell you to Hedge the fund (to invest in a Balance Way in Both the assets...</t>
  </si>
  <si>
    <t>And there we use this by Making our Portfolio much less Riskier OR Balanced..</t>
  </si>
  <si>
    <t>It depends on you…</t>
  </si>
  <si>
    <t>AND HECE THERE ARE MANY REAL LIFE EXAMPLES WHERE CORRELATION IS USED AND IS POPUAR IN CORPORATE WORLD(Data Analysis)</t>
  </si>
  <si>
    <t>*Correltationis a statical measure that shows the degree to which two variables are related…</t>
  </si>
  <si>
    <t xml:space="preserve">*A correlation coefficient can range from -1 to 1 </t>
  </si>
  <si>
    <t>where,</t>
  </si>
  <si>
    <t xml:space="preserve"> :   -1 (Perfect Negative Correlation ) , &lt;0 (No Correlation ) , &lt;1(Perfect Correlation)</t>
  </si>
  <si>
    <t>*You can get mode also by using COUNT formula…</t>
  </si>
  <si>
    <t>Profit (USD,millions)</t>
  </si>
  <si>
    <t>*Here we have used IFERROR formula in order to replace ANY ERROR with "Not Available"</t>
  </si>
  <si>
    <t>Budget in Millions(Unit)</t>
  </si>
  <si>
    <t>Revenue in Millions(Unit)</t>
  </si>
  <si>
    <t>Revenue (INR,millions)</t>
  </si>
  <si>
    <t>Revenue (USD,millions)</t>
  </si>
  <si>
    <t>Budget (INR,millions)</t>
  </si>
  <si>
    <t>Budget (USD,millions)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</si>
</sst>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quot;₹&quot;\ #,##0.00"/>
    <numFmt numFmtId="165" formatCode="[$$-409]#,##0.00"/>
    <numFmt numFmtId="166" formatCode="&quot;₹&quot;\ #,##0"/>
    <numFmt numFmtId="167" formatCode="[$$-409]#,##0"/>
    <numFmt numFmtId="168" formatCode="[$$-409]#,##0.0"/>
    <numFmt numFmtId="169" formatCode="[$$-C09]#,##0"/>
    <numFmt numFmtId="170" formatCode="0.00000000"/>
    <numFmt numFmtId="171" formatCode="0.0"/>
    <numFmt numFmtId="173" formatCode="[$$-45C]#,##0.00"/>
  </numFmts>
  <fonts count="50" x14ac:knownFonts="1">
    <font>
      <sz val="11"/>
      <color theme="1"/>
      <name val="Calibri"/>
      <family val="2"/>
      <scheme val="minor"/>
    </font>
    <font>
      <sz val="11"/>
      <name val="Calibri"/>
      <family val="2"/>
      <scheme val="minor"/>
    </font>
    <font>
      <b/>
      <sz val="11"/>
      <color theme="1"/>
      <name val="Calibri"/>
      <family val="2"/>
      <scheme val="minor"/>
    </font>
    <font>
      <b/>
      <sz val="11"/>
      <name val="Calibri"/>
      <family val="2"/>
      <scheme val="minor"/>
    </font>
    <font>
      <sz val="8"/>
      <name val="Calibri"/>
      <family val="2"/>
      <scheme val="minor"/>
    </font>
    <font>
      <b/>
      <u/>
      <sz val="10"/>
      <color theme="8" tint="-0.499984740745262"/>
      <name val="Calibri"/>
      <family val="2"/>
      <scheme val="minor"/>
    </font>
    <font>
      <b/>
      <u/>
      <sz val="11"/>
      <color theme="8" tint="-0.499984740745262"/>
      <name val="Calibri"/>
      <family val="2"/>
      <scheme val="minor"/>
    </font>
    <font>
      <b/>
      <sz val="11"/>
      <color theme="8" tint="-0.499984740745262"/>
      <name val="Calibri"/>
      <family val="2"/>
      <scheme val="minor"/>
    </font>
    <font>
      <b/>
      <u/>
      <sz val="11"/>
      <color rgb="FFFFC000"/>
      <name val="Calibri"/>
      <family val="2"/>
      <scheme val="minor"/>
    </font>
    <font>
      <b/>
      <u/>
      <sz val="11"/>
      <color rgb="FFFF0000"/>
      <name val="Calibri"/>
      <family val="2"/>
      <scheme val="minor"/>
    </font>
    <font>
      <b/>
      <sz val="14"/>
      <name val="Calibri"/>
      <family val="2"/>
      <scheme val="minor"/>
    </font>
    <font>
      <b/>
      <sz val="12"/>
      <color theme="1"/>
      <name val="Calibri"/>
      <family val="2"/>
      <scheme val="minor"/>
    </font>
    <font>
      <b/>
      <u/>
      <sz val="12"/>
      <color rgb="FFFF0000"/>
      <name val="Calibri"/>
      <family val="2"/>
      <scheme val="minor"/>
    </font>
    <font>
      <b/>
      <u/>
      <sz val="12"/>
      <color theme="8" tint="-0.499984740745262"/>
      <name val="Calibri"/>
      <family val="2"/>
      <scheme val="minor"/>
    </font>
    <font>
      <b/>
      <sz val="11"/>
      <color rgb="FFFF0000"/>
      <name val="Calibri"/>
      <family val="2"/>
      <scheme val="minor"/>
    </font>
    <font>
      <b/>
      <sz val="11"/>
      <color theme="1" tint="0.14999847407452621"/>
      <name val="Calibri"/>
      <family val="2"/>
      <scheme val="minor"/>
    </font>
    <font>
      <b/>
      <sz val="11"/>
      <color theme="6" tint="-0.249977111117893"/>
      <name val="Calibri"/>
      <family val="2"/>
      <scheme val="minor"/>
    </font>
    <font>
      <b/>
      <sz val="11"/>
      <color theme="5" tint="-0.249977111117893"/>
      <name val="Calibri"/>
      <family val="2"/>
      <scheme val="minor"/>
    </font>
    <font>
      <sz val="12"/>
      <color theme="1"/>
      <name val="Calibri"/>
      <family val="2"/>
      <scheme val="minor"/>
    </font>
    <font>
      <b/>
      <sz val="11"/>
      <color rgb="FFC00000"/>
      <name val="Calibri"/>
      <family val="2"/>
      <scheme val="minor"/>
    </font>
    <font>
      <b/>
      <u/>
      <sz val="11"/>
      <color rgb="FF002060"/>
      <name val="Calibri"/>
      <family val="2"/>
      <scheme val="minor"/>
    </font>
    <font>
      <b/>
      <sz val="11"/>
      <color theme="4" tint="-0.249977111117893"/>
      <name val="Calibri"/>
      <family val="2"/>
      <scheme val="minor"/>
    </font>
    <font>
      <b/>
      <u/>
      <sz val="11"/>
      <color theme="1"/>
      <name val="Calibri"/>
      <family val="2"/>
      <scheme val="minor"/>
    </font>
    <font>
      <b/>
      <u/>
      <sz val="11"/>
      <color theme="4" tint="-0.249977111117893"/>
      <name val="Calibri"/>
      <family val="2"/>
      <scheme val="minor"/>
    </font>
    <font>
      <b/>
      <u/>
      <sz val="11"/>
      <color rgb="FFC00000"/>
      <name val="Calibri"/>
      <family val="2"/>
      <scheme val="minor"/>
    </font>
    <font>
      <b/>
      <u/>
      <sz val="12"/>
      <color rgb="FFC00000"/>
      <name val="Calibri"/>
      <family val="2"/>
      <scheme val="minor"/>
    </font>
    <font>
      <b/>
      <sz val="12"/>
      <color rgb="FFC00000"/>
      <name val="Calibri"/>
      <family val="2"/>
      <scheme val="minor"/>
    </font>
    <font>
      <b/>
      <sz val="12"/>
      <color theme="1"/>
      <name val="Arial Black"/>
      <family val="2"/>
    </font>
    <font>
      <sz val="11"/>
      <color theme="1"/>
      <name val="Calibri"/>
      <family val="2"/>
      <scheme val="minor"/>
    </font>
    <font>
      <b/>
      <sz val="13"/>
      <color theme="3"/>
      <name val="Calibri"/>
      <family val="2"/>
      <scheme val="minor"/>
    </font>
    <font>
      <b/>
      <sz val="14"/>
      <color theme="1"/>
      <name val="Calibri"/>
      <family val="2"/>
      <scheme val="minor"/>
    </font>
    <font>
      <b/>
      <sz val="11"/>
      <color theme="1"/>
      <name val="Arial Black"/>
      <family val="2"/>
    </font>
    <font>
      <b/>
      <sz val="10"/>
      <color theme="1"/>
      <name val="Arial Black"/>
      <family val="2"/>
    </font>
    <font>
      <b/>
      <sz val="10"/>
      <color theme="1"/>
      <name val="Calibri"/>
      <family val="2"/>
      <scheme val="minor"/>
    </font>
    <font>
      <b/>
      <sz val="11"/>
      <color theme="1" tint="4.9989318521683403E-2"/>
      <name val="Calibri"/>
      <family val="2"/>
      <scheme val="minor"/>
    </font>
    <font>
      <b/>
      <sz val="10"/>
      <color theme="1" tint="4.9989318521683403E-2"/>
      <name val="Arial"/>
      <family val="2"/>
    </font>
    <font>
      <b/>
      <sz val="14"/>
      <color theme="5" tint="-0.249977111117893"/>
      <name val="Calibri"/>
      <family val="2"/>
      <scheme val="minor"/>
    </font>
    <font>
      <b/>
      <u/>
      <sz val="12"/>
      <color theme="1"/>
      <name val="Calibri"/>
      <family val="2"/>
      <scheme val="minor"/>
    </font>
    <font>
      <b/>
      <sz val="12"/>
      <color theme="1" tint="4.9989318521683403E-2"/>
      <name val="Calibri"/>
      <family val="2"/>
      <scheme val="minor"/>
    </font>
    <font>
      <b/>
      <sz val="12"/>
      <color theme="1" tint="4.9989318521683403E-2"/>
      <name val="Arial"/>
      <family val="2"/>
    </font>
    <font>
      <b/>
      <sz val="16"/>
      <color theme="1"/>
      <name val="Calibri"/>
      <family val="2"/>
      <scheme val="minor"/>
    </font>
    <font>
      <b/>
      <u/>
      <sz val="14"/>
      <color theme="1"/>
      <name val="Calibri"/>
      <family val="2"/>
      <scheme val="minor"/>
    </font>
    <font>
      <b/>
      <u/>
      <sz val="16"/>
      <color theme="1"/>
      <name val="Calibri"/>
      <family val="2"/>
      <scheme val="minor"/>
    </font>
    <font>
      <b/>
      <u/>
      <sz val="14"/>
      <color theme="8" tint="-0.249977111117893"/>
      <name val="Calibri"/>
      <family val="2"/>
      <scheme val="minor"/>
    </font>
    <font>
      <b/>
      <sz val="16"/>
      <color theme="5" tint="-0.249977111117893"/>
      <name val="Calibri"/>
      <family val="2"/>
      <scheme val="minor"/>
    </font>
    <font>
      <b/>
      <sz val="16"/>
      <color theme="1" tint="0.14999847407452621"/>
      <name val="Calibri"/>
      <family val="2"/>
      <scheme val="minor"/>
    </font>
    <font>
      <u/>
      <sz val="11"/>
      <color theme="10"/>
      <name val="Calibri"/>
      <family val="2"/>
      <scheme val="minor"/>
    </font>
    <font>
      <b/>
      <u/>
      <sz val="12"/>
      <color theme="4" tint="-0.499984740745262"/>
      <name val="Calibri"/>
      <family val="2"/>
      <scheme val="minor"/>
    </font>
    <font>
      <b/>
      <u/>
      <sz val="11"/>
      <color theme="4" tint="-0.499984740745262"/>
      <name val="Calibri"/>
      <family val="2"/>
      <scheme val="minor"/>
    </font>
    <font>
      <b/>
      <sz val="12"/>
      <color theme="1" tint="0.14999847407452621"/>
      <name val="Calibri"/>
      <family val="2"/>
      <scheme val="minor"/>
    </font>
  </fonts>
  <fills count="15">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
      <patternFill patternType="solid">
        <fgColor rgb="FFFF000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rgb="FF7030A0"/>
        <bgColor indexed="64"/>
      </patternFill>
    </fill>
    <fill>
      <patternFill patternType="solid">
        <fgColor theme="4" tint="0.59999389629810485"/>
        <bgColor indexed="64"/>
      </patternFill>
    </fill>
    <fill>
      <patternFill patternType="solid">
        <fgColor theme="6" tint="0.59999389629810485"/>
        <bgColor indexed="64"/>
      </patternFill>
    </fill>
  </fills>
  <borders count="34">
    <border>
      <left/>
      <right/>
      <top/>
      <bottom/>
      <diagonal/>
    </border>
    <border>
      <left style="thin">
        <color theme="4" tint="0.39997558519241921"/>
      </left>
      <right/>
      <top style="thin">
        <color theme="4" tint="0.39997558519241921"/>
      </top>
      <bottom style="thin">
        <color theme="4" tint="0.39997558519241921"/>
      </bottom>
      <diagonal/>
    </border>
    <border>
      <left/>
      <right/>
      <top/>
      <bottom style="thin">
        <color theme="4" tint="0.39997558519241921"/>
      </bottom>
      <diagonal/>
    </border>
    <border>
      <left/>
      <right/>
      <top/>
      <bottom style="thin">
        <color indexed="64"/>
      </bottom>
      <diagonal/>
    </border>
    <border>
      <left/>
      <right/>
      <top style="thin">
        <color theme="4" tint="0.39997558519241921"/>
      </top>
      <bottom style="thin">
        <color indexed="64"/>
      </bottom>
      <diagonal/>
    </border>
    <border>
      <left/>
      <right/>
      <top style="thin">
        <color theme="4" tint="0.39997558519241921"/>
      </top>
      <bottom style="thin">
        <color theme="4" tint="0.39997558519241921"/>
      </bottom>
      <diagonal/>
    </border>
    <border>
      <left/>
      <right/>
      <top/>
      <bottom style="thick">
        <color theme="4" tint="0.499984740745262"/>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
    <xf numFmtId="0" fontId="0" fillId="0" borderId="0"/>
    <xf numFmtId="9" fontId="28" fillId="0" borderId="0" applyFont="0" applyFill="0" applyBorder="0" applyAlignment="0" applyProtection="0"/>
    <xf numFmtId="0" fontId="29" fillId="0" borderId="6" applyNumberFormat="0" applyFill="0" applyAlignment="0" applyProtection="0"/>
    <xf numFmtId="0" fontId="46" fillId="0" borderId="0" applyNumberFormat="0" applyFill="0" applyBorder="0" applyAlignment="0" applyProtection="0"/>
  </cellStyleXfs>
  <cellXfs count="165">
    <xf numFmtId="0" fontId="0" fillId="0" borderId="0" xfId="0"/>
    <xf numFmtId="0" fontId="1" fillId="2" borderId="0" xfId="0" applyFont="1" applyFill="1"/>
    <xf numFmtId="0" fontId="0" fillId="2" borderId="0" xfId="0" applyFill="1"/>
    <xf numFmtId="0" fontId="1" fillId="4" borderId="0" xfId="0" applyFont="1" applyFill="1"/>
    <xf numFmtId="0" fontId="1" fillId="5" borderId="0" xfId="0" applyFont="1" applyFill="1"/>
    <xf numFmtId="0" fontId="2" fillId="0" borderId="0" xfId="0" applyFont="1"/>
    <xf numFmtId="0" fontId="11" fillId="0" borderId="0" xfId="0" applyFont="1"/>
    <xf numFmtId="0" fontId="10" fillId="5" borderId="2" xfId="0" applyFont="1" applyFill="1" applyBorder="1"/>
    <xf numFmtId="0" fontId="10" fillId="5" borderId="1" xfId="0" applyFont="1" applyFill="1" applyBorder="1"/>
    <xf numFmtId="0" fontId="0" fillId="5" borderId="0" xfId="0" applyFill="1"/>
    <xf numFmtId="0" fontId="2" fillId="6" borderId="3" xfId="0" applyFont="1" applyFill="1" applyBorder="1"/>
    <xf numFmtId="0" fontId="5" fillId="0" borderId="0" xfId="0" applyFont="1"/>
    <xf numFmtId="0" fontId="6" fillId="0" borderId="0" xfId="0" applyFont="1"/>
    <xf numFmtId="0" fontId="13" fillId="0" borderId="0" xfId="0" applyFont="1"/>
    <xf numFmtId="0" fontId="3" fillId="5" borderId="4" xfId="0" applyFont="1" applyFill="1" applyBorder="1"/>
    <xf numFmtId="0" fontId="18" fillId="0" borderId="0" xfId="0" applyFont="1"/>
    <xf numFmtId="0" fontId="3" fillId="5" borderId="4" xfId="0" applyFont="1" applyFill="1" applyBorder="1" applyAlignment="1">
      <alignment vertical="top"/>
    </xf>
    <xf numFmtId="0" fontId="7" fillId="0" borderId="0" xfId="0" applyFont="1" applyAlignment="1">
      <alignment vertical="top" wrapText="1"/>
    </xf>
    <xf numFmtId="0" fontId="22" fillId="0" borderId="0" xfId="0" applyFont="1"/>
    <xf numFmtId="0" fontId="3" fillId="5" borderId="4" xfId="0" applyFont="1" applyFill="1" applyBorder="1" applyAlignment="1">
      <alignment horizontal="center" vertical="center"/>
    </xf>
    <xf numFmtId="0" fontId="2" fillId="0" borderId="0" xfId="0" applyFont="1" applyAlignment="1">
      <alignment vertical="top" wrapText="1"/>
    </xf>
    <xf numFmtId="0" fontId="3" fillId="5" borderId="4" xfId="0" applyFont="1" applyFill="1" applyBorder="1" applyAlignment="1">
      <alignment horizontal="left" vertical="center"/>
    </xf>
    <xf numFmtId="0" fontId="2" fillId="3" borderId="0" xfId="0" applyFont="1" applyFill="1"/>
    <xf numFmtId="0" fontId="24" fillId="0" borderId="0" xfId="0" applyFont="1"/>
    <xf numFmtId="0" fontId="0" fillId="8" borderId="5" xfId="0" applyFill="1" applyBorder="1"/>
    <xf numFmtId="0" fontId="0" fillId="0" borderId="5" xfId="0" applyBorder="1"/>
    <xf numFmtId="0" fontId="22" fillId="0" borderId="0" xfId="0" applyFont="1" applyAlignment="1">
      <alignment wrapText="1"/>
    </xf>
    <xf numFmtId="0" fontId="3" fillId="2" borderId="5" xfId="0" applyFont="1" applyFill="1" applyBorder="1"/>
    <xf numFmtId="0" fontId="3" fillId="2" borderId="0" xfId="0" applyFont="1" applyFill="1"/>
    <xf numFmtId="164" fontId="0" fillId="0" borderId="0" xfId="0" applyNumberFormat="1"/>
    <xf numFmtId="165" fontId="0" fillId="0" borderId="0" xfId="0" applyNumberFormat="1"/>
    <xf numFmtId="0" fontId="31" fillId="10" borderId="11" xfId="0" applyFont="1" applyFill="1" applyBorder="1"/>
    <xf numFmtId="164" fontId="2" fillId="0" borderId="0" xfId="0" applyNumberFormat="1" applyFont="1"/>
    <xf numFmtId="0" fontId="31" fillId="10" borderId="13" xfId="0" applyFont="1" applyFill="1" applyBorder="1"/>
    <xf numFmtId="0" fontId="2" fillId="0" borderId="12" xfId="0" applyFont="1" applyBorder="1"/>
    <xf numFmtId="166" fontId="2" fillId="0" borderId="12" xfId="0" applyNumberFormat="1" applyFont="1" applyBorder="1"/>
    <xf numFmtId="167" fontId="2" fillId="0" borderId="12" xfId="0" applyNumberFormat="1" applyFont="1" applyBorder="1"/>
    <xf numFmtId="9" fontId="0" fillId="0" borderId="0" xfId="1" applyFont="1"/>
    <xf numFmtId="9" fontId="2" fillId="0" borderId="0" xfId="1" applyFont="1"/>
    <xf numFmtId="0" fontId="0" fillId="0" borderId="0" xfId="0" applyAlignment="1">
      <alignment wrapText="1"/>
    </xf>
    <xf numFmtId="9" fontId="2" fillId="0" borderId="12" xfId="1" applyFont="1" applyBorder="1"/>
    <xf numFmtId="164" fontId="2" fillId="0" borderId="12" xfId="0" applyNumberFormat="1" applyFont="1" applyBorder="1"/>
    <xf numFmtId="165" fontId="2" fillId="0" borderId="0" xfId="0" applyNumberFormat="1" applyFont="1"/>
    <xf numFmtId="0" fontId="6" fillId="0" borderId="0" xfId="0" applyFont="1" applyAlignment="1">
      <alignment wrapText="1"/>
    </xf>
    <xf numFmtId="168" fontId="0" fillId="0" borderId="0" xfId="0" applyNumberFormat="1"/>
    <xf numFmtId="0" fontId="32" fillId="10" borderId="11" xfId="0" applyFont="1" applyFill="1" applyBorder="1"/>
    <xf numFmtId="0" fontId="2" fillId="0" borderId="0" xfId="0" applyFont="1" applyAlignment="1">
      <alignment horizontal="right"/>
    </xf>
    <xf numFmtId="0" fontId="2" fillId="0" borderId="0" xfId="0" applyFont="1" applyAlignment="1">
      <alignment wrapText="1"/>
    </xf>
    <xf numFmtId="167" fontId="33" fillId="0" borderId="0" xfId="0" applyNumberFormat="1" applyFont="1"/>
    <xf numFmtId="0" fontId="2" fillId="7" borderId="0" xfId="0" applyFont="1" applyFill="1"/>
    <xf numFmtId="0" fontId="31" fillId="10" borderId="7" xfId="0" applyFont="1" applyFill="1" applyBorder="1"/>
    <xf numFmtId="0" fontId="11" fillId="0" borderId="0" xfId="0" applyFont="1" applyAlignment="1">
      <alignment horizontal="right"/>
    </xf>
    <xf numFmtId="0" fontId="17" fillId="0" borderId="19" xfId="0" applyFont="1" applyBorder="1"/>
    <xf numFmtId="0" fontId="31" fillId="10" borderId="21" xfId="0" applyFont="1" applyFill="1" applyBorder="1"/>
    <xf numFmtId="1" fontId="17" fillId="0" borderId="19" xfId="0" applyNumberFormat="1" applyFont="1" applyBorder="1"/>
    <xf numFmtId="169" fontId="2" fillId="0" borderId="0" xfId="0" applyNumberFormat="1" applyFont="1"/>
    <xf numFmtId="169" fontId="0" fillId="0" borderId="0" xfId="0" applyNumberFormat="1"/>
    <xf numFmtId="169" fontId="2" fillId="0" borderId="0" xfId="0" applyNumberFormat="1" applyFont="1" applyAlignment="1">
      <alignment horizontal="right"/>
    </xf>
    <xf numFmtId="0" fontId="34" fillId="0" borderId="0" xfId="0" applyFont="1"/>
    <xf numFmtId="0" fontId="17" fillId="0" borderId="19" xfId="0" applyFont="1" applyBorder="1" applyAlignment="1">
      <alignment horizontal="right"/>
    </xf>
    <xf numFmtId="0" fontId="36" fillId="0" borderId="19" xfId="0" applyFont="1" applyBorder="1"/>
    <xf numFmtId="0" fontId="34" fillId="0" borderId="19" xfId="0" applyFont="1" applyBorder="1" applyAlignment="1">
      <alignment horizontal="right"/>
    </xf>
    <xf numFmtId="0" fontId="34" fillId="7" borderId="19" xfId="0" applyFont="1" applyFill="1" applyBorder="1" applyAlignment="1">
      <alignment horizontal="right"/>
    </xf>
    <xf numFmtId="0" fontId="19" fillId="0" borderId="0" xfId="0" applyFont="1"/>
    <xf numFmtId="0" fontId="17" fillId="0" borderId="19" xfId="0" applyFont="1" applyBorder="1" applyAlignment="1">
      <alignment horizontal="left"/>
    </xf>
    <xf numFmtId="0" fontId="0" fillId="12" borderId="0" xfId="0" applyFill="1"/>
    <xf numFmtId="0" fontId="29" fillId="0" borderId="6" xfId="2"/>
    <xf numFmtId="0" fontId="29" fillId="0" borderId="0" xfId="2" applyFill="1" applyBorder="1"/>
    <xf numFmtId="0" fontId="31" fillId="10" borderId="23" xfId="0" applyFont="1" applyFill="1" applyBorder="1"/>
    <xf numFmtId="0" fontId="29" fillId="0" borderId="12" xfId="2" applyBorder="1"/>
    <xf numFmtId="2" fontId="29" fillId="0" borderId="12" xfId="2" applyNumberFormat="1" applyBorder="1"/>
    <xf numFmtId="0" fontId="37" fillId="0" borderId="0" xfId="0" applyFont="1"/>
    <xf numFmtId="0" fontId="38" fillId="0" borderId="0" xfId="0" applyFont="1"/>
    <xf numFmtId="0" fontId="37" fillId="0" borderId="0" xfId="0" applyFont="1" applyAlignment="1">
      <alignment horizontal="right"/>
    </xf>
    <xf numFmtId="1" fontId="17" fillId="0" borderId="0" xfId="0" applyNumberFormat="1" applyFont="1"/>
    <xf numFmtId="0" fontId="36" fillId="0" borderId="0" xfId="0" applyFont="1"/>
    <xf numFmtId="1" fontId="29" fillId="0" borderId="6" xfId="2" applyNumberFormat="1"/>
    <xf numFmtId="1" fontId="17" fillId="0" borderId="18" xfId="0" applyNumberFormat="1" applyFont="1" applyBorder="1"/>
    <xf numFmtId="1" fontId="17" fillId="0" borderId="25" xfId="0" applyNumberFormat="1" applyFont="1" applyBorder="1"/>
    <xf numFmtId="1" fontId="17" fillId="0" borderId="14" xfId="0" applyNumberFormat="1" applyFont="1" applyBorder="1"/>
    <xf numFmtId="1" fontId="36" fillId="9" borderId="18" xfId="0" applyNumberFormat="1" applyFont="1" applyFill="1" applyBorder="1"/>
    <xf numFmtId="1" fontId="17" fillId="9" borderId="14" xfId="0" applyNumberFormat="1" applyFont="1" applyFill="1" applyBorder="1"/>
    <xf numFmtId="0" fontId="31" fillId="10" borderId="7" xfId="0" applyFont="1" applyFill="1" applyBorder="1" applyAlignment="1">
      <alignment horizontal="center"/>
    </xf>
    <xf numFmtId="0" fontId="0" fillId="0" borderId="0" xfId="0" applyAlignment="1">
      <alignment horizontal="left" vertical="center" indent="1"/>
    </xf>
    <xf numFmtId="0" fontId="11" fillId="0" borderId="0" xfId="0" applyFont="1" applyAlignment="1">
      <alignment vertical="center"/>
    </xf>
    <xf numFmtId="0" fontId="0" fillId="0" borderId="0" xfId="0" applyAlignment="1">
      <alignment horizontal="left" vertical="top" indent="1"/>
    </xf>
    <xf numFmtId="0" fontId="41" fillId="0" borderId="0" xfId="0" applyFont="1" applyAlignment="1">
      <alignment horizontal="left"/>
    </xf>
    <xf numFmtId="0" fontId="42" fillId="0" borderId="0" xfId="0" applyFont="1" applyAlignment="1">
      <alignment horizontal="right"/>
    </xf>
    <xf numFmtId="1" fontId="17" fillId="9" borderId="25" xfId="0" applyNumberFormat="1" applyFont="1" applyFill="1" applyBorder="1"/>
    <xf numFmtId="2" fontId="0" fillId="0" borderId="0" xfId="0" applyNumberFormat="1"/>
    <xf numFmtId="1" fontId="0" fillId="0" borderId="0" xfId="0" applyNumberFormat="1"/>
    <xf numFmtId="171" fontId="36" fillId="9" borderId="14" xfId="0" applyNumberFormat="1" applyFont="1" applyFill="1" applyBorder="1"/>
    <xf numFmtId="0" fontId="30" fillId="0" borderId="0" xfId="0" applyFont="1"/>
    <xf numFmtId="0" fontId="43" fillId="0" borderId="0" xfId="0" applyFont="1"/>
    <xf numFmtId="0" fontId="43" fillId="0" borderId="0" xfId="0" applyFont="1" applyAlignment="1">
      <alignment horizontal="left" vertical="center" indent="1"/>
    </xf>
    <xf numFmtId="0" fontId="41" fillId="0" borderId="0" xfId="0" applyFont="1" applyAlignment="1">
      <alignment horizontal="left" wrapText="1"/>
    </xf>
    <xf numFmtId="0" fontId="41" fillId="0" borderId="0" xfId="0" applyFont="1"/>
    <xf numFmtId="0" fontId="41" fillId="0" borderId="0" xfId="0" applyFont="1" applyAlignment="1">
      <alignment wrapText="1"/>
    </xf>
    <xf numFmtId="0" fontId="40" fillId="9" borderId="0" xfId="0" applyFont="1" applyFill="1" applyAlignment="1">
      <alignment horizontal="right"/>
    </xf>
    <xf numFmtId="0" fontId="40" fillId="0" borderId="0" xfId="0" applyFont="1"/>
    <xf numFmtId="0" fontId="29" fillId="0" borderId="12" xfId="2" applyFill="1" applyBorder="1"/>
    <xf numFmtId="0" fontId="0" fillId="0" borderId="12" xfId="0" applyBorder="1"/>
    <xf numFmtId="170" fontId="0" fillId="0" borderId="0" xfId="0" applyNumberFormat="1"/>
    <xf numFmtId="0" fontId="30" fillId="0" borderId="0" xfId="0" applyFont="1" applyAlignment="1">
      <alignment horizontal="center"/>
    </xf>
    <xf numFmtId="1" fontId="44" fillId="9" borderId="18" xfId="0" applyNumberFormat="1" applyFont="1" applyFill="1" applyBorder="1"/>
    <xf numFmtId="171" fontId="44" fillId="9" borderId="14" xfId="0" applyNumberFormat="1" applyFont="1" applyFill="1" applyBorder="1"/>
    <xf numFmtId="1" fontId="45" fillId="9" borderId="18" xfId="0" applyNumberFormat="1" applyFont="1" applyFill="1" applyBorder="1"/>
    <xf numFmtId="0" fontId="46" fillId="0" borderId="0" xfId="3"/>
    <xf numFmtId="0" fontId="47" fillId="0" borderId="0" xfId="0" applyFont="1"/>
    <xf numFmtId="0" fontId="2" fillId="3" borderId="12" xfId="0" applyFont="1" applyFill="1" applyBorder="1" applyAlignment="1">
      <alignment horizontal="right"/>
    </xf>
    <xf numFmtId="0" fontId="2" fillId="3" borderId="12" xfId="0" applyFont="1" applyFill="1" applyBorder="1"/>
    <xf numFmtId="0" fontId="2" fillId="0" borderId="19" xfId="0" applyFont="1" applyBorder="1"/>
    <xf numFmtId="2" fontId="2" fillId="0" borderId="19" xfId="0" applyNumberFormat="1" applyFont="1" applyBorder="1"/>
    <xf numFmtId="0" fontId="48" fillId="0" borderId="0" xfId="0" applyFont="1" applyAlignment="1">
      <alignment vertical="top" wrapText="1"/>
    </xf>
    <xf numFmtId="0" fontId="48" fillId="0" borderId="0" xfId="0" applyFont="1"/>
    <xf numFmtId="0" fontId="48" fillId="0" borderId="0" xfId="0" applyFont="1" applyAlignment="1">
      <alignment wrapText="1"/>
    </xf>
    <xf numFmtId="0" fontId="9" fillId="0" borderId="0" xfId="0" applyFont="1" applyAlignment="1">
      <alignment wrapText="1"/>
    </xf>
    <xf numFmtId="0" fontId="6" fillId="0" borderId="0" xfId="0" applyFont="1" applyAlignment="1">
      <alignment vertical="top" wrapText="1"/>
    </xf>
    <xf numFmtId="0" fontId="2" fillId="3" borderId="12" xfId="0" applyFont="1" applyFill="1" applyBorder="1" applyAlignment="1">
      <alignment horizontal="right" wrapText="1"/>
    </xf>
    <xf numFmtId="0" fontId="31" fillId="10" borderId="28" xfId="0" applyFont="1" applyFill="1" applyBorder="1"/>
    <xf numFmtId="0" fontId="2" fillId="0" borderId="18" xfId="0" applyFont="1" applyBorder="1"/>
    <xf numFmtId="168" fontId="33" fillId="0" borderId="14" xfId="0" applyNumberFormat="1" applyFont="1" applyBorder="1"/>
    <xf numFmtId="9" fontId="33" fillId="0" borderId="14" xfId="1" applyFont="1" applyBorder="1"/>
    <xf numFmtId="0" fontId="2" fillId="0" borderId="29" xfId="0" applyFont="1" applyBorder="1"/>
    <xf numFmtId="0" fontId="0" fillId="0" borderId="25" xfId="0" applyBorder="1"/>
    <xf numFmtId="0" fontId="2" fillId="0" borderId="30" xfId="0" applyFont="1" applyBorder="1" applyAlignment="1">
      <alignment horizontal="right"/>
    </xf>
    <xf numFmtId="168" fontId="33" fillId="0" borderId="31" xfId="0" applyNumberFormat="1" applyFont="1" applyBorder="1"/>
    <xf numFmtId="0" fontId="2" fillId="0" borderId="32" xfId="0" applyFont="1" applyBorder="1" applyAlignment="1">
      <alignment horizontal="right"/>
    </xf>
    <xf numFmtId="168" fontId="33" fillId="0" borderId="33" xfId="0" applyNumberFormat="1" applyFont="1" applyBorder="1"/>
    <xf numFmtId="9" fontId="2" fillId="0" borderId="31" xfId="1" applyFont="1" applyBorder="1"/>
    <xf numFmtId="9" fontId="2" fillId="0" borderId="33" xfId="1" applyFont="1" applyBorder="1"/>
    <xf numFmtId="0" fontId="27" fillId="7" borderId="4" xfId="0" applyFont="1" applyFill="1" applyBorder="1" applyAlignment="1">
      <alignment horizontal="center"/>
    </xf>
    <xf numFmtId="0" fontId="2" fillId="6" borderId="4" xfId="0" applyFont="1" applyFill="1" applyBorder="1" applyAlignment="1">
      <alignment horizontal="left"/>
    </xf>
    <xf numFmtId="0" fontId="2" fillId="3" borderId="4" xfId="0" applyFont="1" applyFill="1" applyBorder="1" applyAlignment="1">
      <alignment horizontal="left"/>
    </xf>
    <xf numFmtId="0" fontId="27" fillId="5" borderId="4" xfId="0" applyFont="1" applyFill="1" applyBorder="1" applyAlignment="1">
      <alignment horizontal="center"/>
    </xf>
    <xf numFmtId="0" fontId="27" fillId="4" borderId="4" xfId="0" applyFont="1" applyFill="1" applyBorder="1" applyAlignment="1">
      <alignment horizontal="center"/>
    </xf>
    <xf numFmtId="0" fontId="27" fillId="7" borderId="15" xfId="0" applyFont="1" applyFill="1" applyBorder="1" applyAlignment="1">
      <alignment horizontal="center"/>
    </xf>
    <xf numFmtId="0" fontId="27" fillId="7" borderId="16" xfId="0" applyFont="1" applyFill="1" applyBorder="1" applyAlignment="1">
      <alignment horizontal="center"/>
    </xf>
    <xf numFmtId="0" fontId="27" fillId="7" borderId="17" xfId="0" applyFont="1" applyFill="1" applyBorder="1" applyAlignment="1">
      <alignment horizontal="center"/>
    </xf>
    <xf numFmtId="0" fontId="30" fillId="11" borderId="8" xfId="0" applyFont="1" applyFill="1" applyBorder="1" applyAlignment="1">
      <alignment horizontal="center"/>
    </xf>
    <xf numFmtId="0" fontId="30" fillId="11" borderId="9" xfId="0" applyFont="1" applyFill="1" applyBorder="1" applyAlignment="1">
      <alignment horizontal="center"/>
    </xf>
    <xf numFmtId="0" fontId="30" fillId="11" borderId="10" xfId="0" applyFont="1" applyFill="1" applyBorder="1" applyAlignment="1">
      <alignment horizontal="center"/>
    </xf>
    <xf numFmtId="0" fontId="27" fillId="7" borderId="20" xfId="0" applyFont="1" applyFill="1" applyBorder="1" applyAlignment="1">
      <alignment horizontal="center"/>
    </xf>
    <xf numFmtId="0" fontId="27" fillId="7" borderId="0" xfId="0" applyFont="1" applyFill="1" applyAlignment="1">
      <alignment horizontal="center"/>
    </xf>
    <xf numFmtId="0" fontId="2" fillId="13" borderId="24" xfId="0" applyFont="1" applyFill="1" applyBorder="1" applyAlignment="1">
      <alignment horizontal="center"/>
    </xf>
    <xf numFmtId="0" fontId="31" fillId="7" borderId="18" xfId="0" applyFont="1" applyFill="1" applyBorder="1" applyAlignment="1">
      <alignment horizontal="center"/>
    </xf>
    <xf numFmtId="0" fontId="31" fillId="7" borderId="19" xfId="0" applyFont="1" applyFill="1" applyBorder="1" applyAlignment="1">
      <alignment horizontal="center"/>
    </xf>
    <xf numFmtId="0" fontId="31" fillId="7" borderId="14" xfId="0" applyFont="1" applyFill="1" applyBorder="1" applyAlignment="1">
      <alignment horizontal="center"/>
    </xf>
    <xf numFmtId="0" fontId="0" fillId="0" borderId="0" xfId="0" applyAlignment="1">
      <alignment horizontal="center"/>
    </xf>
    <xf numFmtId="0" fontId="30" fillId="3" borderId="0" xfId="0" applyFont="1" applyFill="1" applyAlignment="1">
      <alignment horizontal="center"/>
    </xf>
    <xf numFmtId="0" fontId="30" fillId="3" borderId="22" xfId="0" applyFont="1" applyFill="1" applyBorder="1" applyAlignment="1">
      <alignment horizontal="center"/>
    </xf>
    <xf numFmtId="0" fontId="40" fillId="3" borderId="0" xfId="0" applyFont="1" applyFill="1" applyAlignment="1">
      <alignment horizontal="center"/>
    </xf>
    <xf numFmtId="0" fontId="11" fillId="13" borderId="27" xfId="0" applyFont="1" applyFill="1" applyBorder="1" applyAlignment="1">
      <alignment horizontal="center"/>
    </xf>
    <xf numFmtId="0" fontId="11" fillId="13" borderId="28" xfId="0" applyFont="1" applyFill="1" applyBorder="1" applyAlignment="1">
      <alignment horizontal="center"/>
    </xf>
    <xf numFmtId="0" fontId="31" fillId="14" borderId="0" xfId="0" applyFont="1" applyFill="1" applyAlignment="1">
      <alignment horizontal="center"/>
    </xf>
    <xf numFmtId="0" fontId="31" fillId="14" borderId="3" xfId="0" applyFont="1" applyFill="1" applyBorder="1" applyAlignment="1">
      <alignment horizontal="center"/>
    </xf>
    <xf numFmtId="0" fontId="11" fillId="0" borderId="0" xfId="0" applyFont="1" applyAlignment="1">
      <alignment horizontal="center"/>
    </xf>
    <xf numFmtId="0" fontId="2" fillId="3" borderId="26" xfId="0" applyFont="1" applyFill="1" applyBorder="1" applyAlignment="1">
      <alignment horizontal="center"/>
    </xf>
    <xf numFmtId="0" fontId="49" fillId="0" borderId="0" xfId="0" applyFont="1" applyAlignment="1">
      <alignment horizontal="center"/>
    </xf>
    <xf numFmtId="0" fontId="30" fillId="0" borderId="0" xfId="0" applyFont="1" applyAlignment="1">
      <alignment horizontal="center"/>
    </xf>
    <xf numFmtId="0" fontId="2" fillId="9" borderId="0" xfId="0" applyFont="1" applyFill="1" applyAlignment="1">
      <alignment horizontal="center"/>
    </xf>
    <xf numFmtId="0" fontId="20" fillId="0" borderId="0" xfId="0" applyFont="1"/>
    <xf numFmtId="173" fontId="3" fillId="2" borderId="0" xfId="0" applyNumberFormat="1" applyFont="1" applyFill="1"/>
    <xf numFmtId="173" fontId="0" fillId="0" borderId="0" xfId="0" applyNumberFormat="1"/>
    <xf numFmtId="173" fontId="0" fillId="0" borderId="0" xfId="0" applyNumberFormat="1" applyAlignment="1">
      <alignment horizontal="right"/>
    </xf>
  </cellXfs>
  <cellStyles count="4">
    <cellStyle name="Heading 2" xfId="2" builtinId="17"/>
    <cellStyle name="Hyperlink" xfId="3" builtinId="8"/>
    <cellStyle name="Normal" xfId="0" builtinId="0"/>
    <cellStyle name="Percent" xfId="1" builtinId="5"/>
  </cellStyles>
  <dxfs count="55">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8" tint="0.39994506668294322"/>
      </font>
    </dxf>
    <dxf>
      <font>
        <color theme="4" tint="0.39994506668294322"/>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173" formatCode="[$$-45C]#,##0.00"/>
    </dxf>
    <dxf>
      <numFmt numFmtId="2" formatCode="0.00"/>
    </dxf>
    <dxf>
      <numFmt numFmtId="165" formatCode="[$$-409]#,##0.00"/>
    </dxf>
    <dxf>
      <numFmt numFmtId="164" formatCode="&quot;₹&quot;\ #,##0.00"/>
      <fill>
        <patternFill patternType="solid">
          <fgColor indexed="64"/>
          <bgColor theme="9" tint="0.59999389629810485"/>
        </patternFill>
      </fill>
    </dxf>
    <dxf>
      <numFmt numFmtId="165" formatCode="[$$-409]#,##0.00"/>
    </dxf>
    <dxf>
      <numFmt numFmtId="164" formatCode="&quot;₹&quot;\ #,##0.00"/>
    </dxf>
    <dxf>
      <numFmt numFmtId="0" formatCode="General"/>
    </dxf>
    <dxf>
      <numFmt numFmtId="0" formatCode="Genera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left style="thin">
          <color theme="4" tint="0.39997558519241921"/>
        </left>
      </border>
    </dxf>
    <dxf>
      <font>
        <b/>
        <i val="0"/>
        <strike val="0"/>
        <condense val="0"/>
        <extend val="0"/>
        <outline val="0"/>
        <shadow val="0"/>
        <u val="none"/>
        <vertAlign val="baseline"/>
        <sz val="11"/>
        <color auto="1"/>
        <name val="Calibri"/>
        <family val="2"/>
        <scheme val="minor"/>
      </font>
      <fill>
        <patternFill patternType="solid">
          <fgColor indexed="64"/>
          <bgColor theme="9" tint="0.59999389629810485"/>
        </patternFill>
      </fill>
    </dxf>
    <dxf>
      <numFmt numFmtId="0" formatCode="General"/>
    </dxf>
    <dxf>
      <font>
        <b val="0"/>
        <i val="0"/>
        <strike val="0"/>
        <condense val="0"/>
        <extend val="0"/>
        <outline val="0"/>
        <shadow val="0"/>
        <u val="none"/>
        <vertAlign val="baseline"/>
        <sz val="11"/>
        <color auto="1"/>
        <name val="Calibri"/>
        <family val="2"/>
        <scheme val="minor"/>
      </font>
      <fill>
        <patternFill patternType="solid">
          <fgColor indexed="64"/>
          <bgColor theme="9" tint="0.59999389629810485"/>
        </patternFill>
      </fill>
    </dxf>
    <dxf>
      <font>
        <b/>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1"/>
        <name val="Calibri"/>
        <family val="2"/>
        <scheme val="minor"/>
      </font>
    </dxf>
    <dxf>
      <border outline="0">
        <top style="thin">
          <color theme="4" tint="0.39997558519241921"/>
        </top>
      </border>
    </dxf>
    <dxf>
      <font>
        <b/>
        <i val="0"/>
        <strike val="0"/>
        <condense val="0"/>
        <extend val="0"/>
        <outline val="0"/>
        <shadow val="0"/>
        <u val="none"/>
        <vertAlign val="baseline"/>
        <sz val="12"/>
        <color theme="1"/>
        <name val="Calibri"/>
        <family val="2"/>
        <scheme val="minor"/>
      </font>
    </dxf>
    <dxf>
      <border outline="0">
        <bottom style="thin">
          <color theme="4" tint="0.39997558519241921"/>
        </bottom>
      </border>
    </dxf>
    <dxf>
      <font>
        <b/>
        <i val="0"/>
        <strike val="0"/>
        <condense val="0"/>
        <extend val="0"/>
        <outline val="0"/>
        <shadow val="0"/>
        <u val="none"/>
        <vertAlign val="baseline"/>
        <sz val="14"/>
        <color auto="1"/>
        <name val="Calibri"/>
        <family val="2"/>
        <scheme val="minor"/>
      </font>
      <fill>
        <patternFill patternType="solid">
          <fgColor indexed="64"/>
          <bgColor theme="7" tint="0.59999389629810485"/>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auto="1"/>
        <name val="Calibri"/>
        <family val="2"/>
        <scheme val="minor"/>
      </font>
      <fill>
        <patternFill patternType="solid">
          <fgColor indexed="64"/>
          <bgColor theme="9"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REVENUE (In Millions)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25625698978889755"/>
          <c:y val="0.10905106585628867"/>
          <c:w val="0.65227452467219593"/>
          <c:h val="0.70928242865249413"/>
        </c:manualLayout>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('Business Metrics or KPIS'!$M$58:$N$58,'Business Metrics or KPIS'!$M$60:$N$60)</c:f>
              <c:multiLvlStrCache>
                <c:ptCount val="2"/>
                <c:lvl>
                  <c:pt idx="0">
                    <c:v>INR (Million)</c:v>
                  </c:pt>
                  <c:pt idx="1">
                    <c:v>INR (Million)</c:v>
                  </c:pt>
                </c:lvl>
                <c:lvl>
                  <c:pt idx="0">
                    <c:v>REVENUE OF HOLLYWOOD</c:v>
                  </c:pt>
                  <c:pt idx="1">
                    <c:v>REVENUE OF BOLLYWOOD</c:v>
                  </c:pt>
                </c:lvl>
              </c:multiLvlStrCache>
            </c:multiLvlStrRef>
          </c:cat>
          <c:val>
            <c:numRef>
              <c:f>('Business Metrics or KPIS'!$O$58,'Business Metrics or KPIS'!$O$60)</c:f>
              <c:numCache>
                <c:formatCode>"₹"\ #,##0</c:formatCode>
                <c:ptCount val="2"/>
                <c:pt idx="0">
                  <c:v>1486232</c:v>
                </c:pt>
                <c:pt idx="1">
                  <c:v>80909</c:v>
                </c:pt>
              </c:numCache>
            </c:numRef>
          </c:val>
          <c:extLst>
            <c:ext xmlns:c16="http://schemas.microsoft.com/office/drawing/2014/chart" uri="{C3380CC4-5D6E-409C-BE32-E72D297353CC}">
              <c16:uniqueId val="{00000000-BFF7-4135-8DA6-F49FD095BD01}"/>
            </c:ext>
          </c:extLst>
        </c:ser>
        <c:dLbls>
          <c:showLegendKey val="0"/>
          <c:showVal val="0"/>
          <c:showCatName val="0"/>
          <c:showSerName val="0"/>
          <c:showPercent val="0"/>
          <c:showBubbleSize val="0"/>
        </c:dLbls>
        <c:gapWidth val="115"/>
        <c:overlap val="-20"/>
        <c:axId val="2117590607"/>
        <c:axId val="2117591087"/>
      </c:barChart>
      <c:catAx>
        <c:axId val="211759060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7591087"/>
        <c:crosses val="autoZero"/>
        <c:auto val="1"/>
        <c:lblAlgn val="ctr"/>
        <c:lblOffset val="100"/>
        <c:noMultiLvlLbl val="0"/>
      </c:catAx>
      <c:valAx>
        <c:axId val="2117591087"/>
        <c:scaling>
          <c:orientation val="minMax"/>
        </c:scaling>
        <c:delete val="0"/>
        <c:axPos val="b"/>
        <c:majorGridlines>
          <c:spPr>
            <a:ln w="9525" cap="flat" cmpd="sng" algn="ctr">
              <a:solidFill>
                <a:schemeClr val="lt1">
                  <a:lumMod val="95000"/>
                  <a:alpha val="10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17590607"/>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ROI</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063-45DB-86FB-DB83DD5E9D0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063-45DB-86FB-DB83DD5E9D0B}"/>
              </c:ext>
            </c:extLst>
          </c:dPt>
          <c:cat>
            <c:strRef>
              <c:extLst>
                <c:ext xmlns:c15="http://schemas.microsoft.com/office/drawing/2012/chart" uri="{02D57815-91ED-43cb-92C2-25804820EDAC}">
                  <c15:fullRef>
                    <c15:sqref>'Business Metrics or KPIS'!$M$71:$N$72</c15:sqref>
                  </c15:fullRef>
                  <c15:levelRef>
                    <c15:sqref>'Business Metrics or KPIS'!$N$71:$N$72</c15:sqref>
                  </c15:levelRef>
                </c:ext>
              </c:extLst>
              <c:f>'Business Metrics or KPIS'!$N$71:$N$72</c:f>
              <c:strCache>
                <c:ptCount val="2"/>
                <c:pt idx="0">
                  <c:v>Hollywood</c:v>
                </c:pt>
                <c:pt idx="1">
                  <c:v>Bollywood</c:v>
                </c:pt>
              </c:strCache>
            </c:strRef>
          </c:cat>
          <c:val>
            <c:numRef>
              <c:f>'Business Metrics or KPIS'!$O$71:$O$72</c:f>
              <c:numCache>
                <c:formatCode>0%</c:formatCode>
                <c:ptCount val="2"/>
                <c:pt idx="0">
                  <c:v>6.0522612214048825</c:v>
                </c:pt>
                <c:pt idx="1">
                  <c:v>19.522017131137652</c:v>
                </c:pt>
              </c:numCache>
            </c:numRef>
          </c:val>
          <c:extLst>
            <c:ext xmlns:c16="http://schemas.microsoft.com/office/drawing/2014/chart" uri="{C3380CC4-5D6E-409C-BE32-E72D297353CC}">
              <c16:uniqueId val="{00000000-30C0-4568-8296-8FDDFE4D5644}"/>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4939560004748152E-2"/>
          <c:y val="0.22390178121136442"/>
          <c:w val="0.87727371059846881"/>
          <c:h val="0.63605687441682712"/>
        </c:manualLayout>
      </c:layout>
      <c:scatterChart>
        <c:scatterStyle val="lineMarker"/>
        <c:varyColors val="0"/>
        <c:ser>
          <c:idx val="0"/>
          <c:order val="0"/>
          <c:tx>
            <c:strRef>
              <c:f>'Co-relation'!$B$3</c:f>
              <c:strCache>
                <c:ptCount val="1"/>
                <c:pt idx="0">
                  <c:v>Price (INR Cr)</c:v>
                </c:pt>
              </c:strCache>
            </c:strRef>
          </c:tx>
          <c:spPr>
            <a:ln w="19050" cap="rnd">
              <a:noFill/>
              <a:round/>
            </a:ln>
            <a:effectLst/>
          </c:spPr>
          <c:marker>
            <c:symbol val="circle"/>
            <c:size val="5"/>
            <c:spPr>
              <a:solidFill>
                <a:schemeClr val="accent1"/>
              </a:solidFill>
              <a:ln w="9525">
                <a:solidFill>
                  <a:schemeClr val="accent1"/>
                </a:solidFill>
              </a:ln>
              <a:effectLst/>
            </c:spPr>
          </c:marker>
          <c:xVal>
            <c:numRef>
              <c:f>'Co-relation'!$A$4:$A$8</c:f>
              <c:numCache>
                <c:formatCode>General</c:formatCode>
                <c:ptCount val="5"/>
                <c:pt idx="0">
                  <c:v>1760</c:v>
                </c:pt>
                <c:pt idx="1">
                  <c:v>1943</c:v>
                </c:pt>
                <c:pt idx="2">
                  <c:v>1914</c:v>
                </c:pt>
                <c:pt idx="3">
                  <c:v>1618</c:v>
                </c:pt>
                <c:pt idx="4">
                  <c:v>1369</c:v>
                </c:pt>
              </c:numCache>
            </c:numRef>
          </c:xVal>
          <c:yVal>
            <c:numRef>
              <c:f>'Co-relation'!$B$4:$B$8</c:f>
              <c:numCache>
                <c:formatCode>General</c:formatCode>
                <c:ptCount val="5"/>
                <c:pt idx="0">
                  <c:v>2.64</c:v>
                </c:pt>
                <c:pt idx="1">
                  <c:v>2.98</c:v>
                </c:pt>
                <c:pt idx="2">
                  <c:v>3.13</c:v>
                </c:pt>
                <c:pt idx="3">
                  <c:v>1.76</c:v>
                </c:pt>
                <c:pt idx="4">
                  <c:v>1.99</c:v>
                </c:pt>
              </c:numCache>
            </c:numRef>
          </c:yVal>
          <c:smooth val="0"/>
          <c:extLst>
            <c:ext xmlns:c16="http://schemas.microsoft.com/office/drawing/2014/chart" uri="{C3380CC4-5D6E-409C-BE32-E72D297353CC}">
              <c16:uniqueId val="{00000000-4FCC-4635-AB71-6A097797268C}"/>
            </c:ext>
          </c:extLst>
        </c:ser>
        <c:dLbls>
          <c:showLegendKey val="0"/>
          <c:showVal val="0"/>
          <c:showCatName val="0"/>
          <c:showSerName val="0"/>
          <c:showPercent val="0"/>
          <c:showBubbleSize val="0"/>
        </c:dLbls>
        <c:axId val="782754512"/>
        <c:axId val="782764592"/>
      </c:scatterChart>
      <c:valAx>
        <c:axId val="7827545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764592"/>
        <c:crosses val="autoZero"/>
        <c:crossBetween val="midCat"/>
      </c:valAx>
      <c:valAx>
        <c:axId val="782764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7545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'Co-relation'!$B$34</c:f>
              <c:strCache>
                <c:ptCount val="1"/>
                <c:pt idx="0">
                  <c:v>Blood Sugar(mg/dL)</c:v>
                </c:pt>
              </c:strCache>
            </c:strRef>
          </c:tx>
          <c:spPr>
            <a:ln w="19050" cap="rnd">
              <a:noFill/>
              <a:round/>
            </a:ln>
            <a:effectLst/>
          </c:spPr>
          <c:marker>
            <c:symbol val="circle"/>
            <c:size val="5"/>
            <c:spPr>
              <a:solidFill>
                <a:schemeClr val="accent1"/>
              </a:solidFill>
              <a:ln w="9525">
                <a:solidFill>
                  <a:schemeClr val="accent1"/>
                </a:solidFill>
              </a:ln>
              <a:effectLst/>
            </c:spPr>
          </c:marker>
          <c:xVal>
            <c:numRef>
              <c:f>'Co-relation'!$A$35:$A$41</c:f>
              <c:numCache>
                <c:formatCode>General</c:formatCode>
                <c:ptCount val="7"/>
                <c:pt idx="0">
                  <c:v>180</c:v>
                </c:pt>
                <c:pt idx="1">
                  <c:v>175</c:v>
                </c:pt>
                <c:pt idx="2">
                  <c:v>130</c:v>
                </c:pt>
                <c:pt idx="3">
                  <c:v>156</c:v>
                </c:pt>
                <c:pt idx="4">
                  <c:v>162</c:v>
                </c:pt>
                <c:pt idx="5">
                  <c:v>163</c:v>
                </c:pt>
                <c:pt idx="6">
                  <c:v>160</c:v>
                </c:pt>
              </c:numCache>
            </c:numRef>
          </c:xVal>
          <c:yVal>
            <c:numRef>
              <c:f>'Co-relation'!$B$35:$B$41</c:f>
              <c:numCache>
                <c:formatCode>General</c:formatCode>
                <c:ptCount val="7"/>
                <c:pt idx="0">
                  <c:v>80</c:v>
                </c:pt>
                <c:pt idx="1">
                  <c:v>176</c:v>
                </c:pt>
                <c:pt idx="2">
                  <c:v>78</c:v>
                </c:pt>
                <c:pt idx="3">
                  <c:v>200</c:v>
                </c:pt>
                <c:pt idx="4">
                  <c:v>91</c:v>
                </c:pt>
                <c:pt idx="5">
                  <c:v>175</c:v>
                </c:pt>
                <c:pt idx="6">
                  <c:v>88</c:v>
                </c:pt>
              </c:numCache>
            </c:numRef>
          </c:yVal>
          <c:smooth val="0"/>
          <c:extLst>
            <c:ext xmlns:c16="http://schemas.microsoft.com/office/drawing/2014/chart" uri="{C3380CC4-5D6E-409C-BE32-E72D297353CC}">
              <c16:uniqueId val="{00000000-B04E-479A-83B7-6F8094BFE22E}"/>
            </c:ext>
          </c:extLst>
        </c:ser>
        <c:dLbls>
          <c:showLegendKey val="0"/>
          <c:showVal val="0"/>
          <c:showCatName val="0"/>
          <c:showSerName val="0"/>
          <c:showPercent val="0"/>
          <c:showBubbleSize val="0"/>
        </c:dLbls>
        <c:axId val="986774848"/>
        <c:axId val="986775808"/>
      </c:scatterChart>
      <c:valAx>
        <c:axId val="9867748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775808"/>
        <c:crosses val="autoZero"/>
        <c:crossBetween val="midCat"/>
      </c:valAx>
      <c:valAx>
        <c:axId val="986775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7748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'Co-relation'!$B$53</c:f>
              <c:strCache>
                <c:ptCount val="1"/>
                <c:pt idx="0">
                  <c:v>Blood Sugar(mg/dL)
(1 to 10)</c:v>
                </c:pt>
              </c:strCache>
            </c:strRef>
          </c:tx>
          <c:spPr>
            <a:ln w="19050" cap="rnd">
              <a:noFill/>
              <a:round/>
            </a:ln>
            <a:effectLst/>
          </c:spPr>
          <c:marker>
            <c:symbol val="circle"/>
            <c:size val="5"/>
            <c:spPr>
              <a:solidFill>
                <a:schemeClr val="accent1"/>
              </a:solidFill>
              <a:ln w="9525">
                <a:solidFill>
                  <a:schemeClr val="accent1"/>
                </a:solidFill>
              </a:ln>
              <a:effectLst/>
            </c:spPr>
          </c:marker>
          <c:xVal>
            <c:numRef>
              <c:f>'Co-relation'!$A$54:$A$60</c:f>
              <c:numCache>
                <c:formatCode>General</c:formatCode>
                <c:ptCount val="7"/>
                <c:pt idx="0">
                  <c:v>10</c:v>
                </c:pt>
                <c:pt idx="1">
                  <c:v>60</c:v>
                </c:pt>
                <c:pt idx="2">
                  <c:v>0</c:v>
                </c:pt>
                <c:pt idx="3">
                  <c:v>120</c:v>
                </c:pt>
                <c:pt idx="4">
                  <c:v>30</c:v>
                </c:pt>
                <c:pt idx="5">
                  <c:v>25</c:v>
                </c:pt>
                <c:pt idx="6">
                  <c:v>5</c:v>
                </c:pt>
              </c:numCache>
            </c:numRef>
          </c:xVal>
          <c:yVal>
            <c:numRef>
              <c:f>'Co-relation'!$B$54:$B$60</c:f>
              <c:numCache>
                <c:formatCode>General</c:formatCode>
                <c:ptCount val="7"/>
                <c:pt idx="0">
                  <c:v>8</c:v>
                </c:pt>
                <c:pt idx="1">
                  <c:v>4</c:v>
                </c:pt>
                <c:pt idx="2">
                  <c:v>9</c:v>
                </c:pt>
                <c:pt idx="3">
                  <c:v>2</c:v>
                </c:pt>
                <c:pt idx="4">
                  <c:v>7</c:v>
                </c:pt>
                <c:pt idx="5">
                  <c:v>7</c:v>
                </c:pt>
                <c:pt idx="6">
                  <c:v>9</c:v>
                </c:pt>
              </c:numCache>
            </c:numRef>
          </c:yVal>
          <c:smooth val="0"/>
          <c:extLst>
            <c:ext xmlns:c16="http://schemas.microsoft.com/office/drawing/2014/chart" uri="{C3380CC4-5D6E-409C-BE32-E72D297353CC}">
              <c16:uniqueId val="{00000000-8B45-4E58-809A-F7431D952B97}"/>
            </c:ext>
          </c:extLst>
        </c:ser>
        <c:dLbls>
          <c:showLegendKey val="0"/>
          <c:showVal val="0"/>
          <c:showCatName val="0"/>
          <c:showSerName val="0"/>
          <c:showPercent val="0"/>
          <c:showBubbleSize val="0"/>
        </c:dLbls>
        <c:axId val="990984112"/>
        <c:axId val="990994672"/>
      </c:scatterChart>
      <c:valAx>
        <c:axId val="9909841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994672"/>
        <c:crosses val="autoZero"/>
        <c:crossBetween val="midCat"/>
      </c:valAx>
      <c:valAx>
        <c:axId val="990994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9841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7</xdr:col>
      <xdr:colOff>87854</xdr:colOff>
      <xdr:row>54</xdr:row>
      <xdr:rowOff>101527</xdr:rowOff>
    </xdr:from>
    <xdr:to>
      <xdr:col>11</xdr:col>
      <xdr:colOff>1337534</xdr:colOff>
      <xdr:row>68</xdr:row>
      <xdr:rowOff>62754</xdr:rowOff>
    </xdr:to>
    <xdr:graphicFrame macro="">
      <xdr:nvGraphicFramePr>
        <xdr:cNvPr id="6" name="Chart 5">
          <a:extLst>
            <a:ext uri="{FF2B5EF4-FFF2-40B4-BE49-F238E27FC236}">
              <a16:creationId xmlns:a16="http://schemas.microsoft.com/office/drawing/2014/main" id="{8A007D27-A3DD-BE34-6839-F458FA57B4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3944471</xdr:colOff>
      <xdr:row>73</xdr:row>
      <xdr:rowOff>38326</xdr:rowOff>
    </xdr:from>
    <xdr:to>
      <xdr:col>14</xdr:col>
      <xdr:colOff>1523551</xdr:colOff>
      <xdr:row>77</xdr:row>
      <xdr:rowOff>44824</xdr:rowOff>
    </xdr:to>
    <xdr:graphicFrame macro="">
      <xdr:nvGraphicFramePr>
        <xdr:cNvPr id="7" name="Chart 6">
          <a:extLst>
            <a:ext uri="{FF2B5EF4-FFF2-40B4-BE49-F238E27FC236}">
              <a16:creationId xmlns:a16="http://schemas.microsoft.com/office/drawing/2014/main" id="{A322B801-1F5F-F2D9-F9FB-273817EF57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504713</xdr:colOff>
      <xdr:row>2</xdr:row>
      <xdr:rowOff>107352</xdr:rowOff>
    </xdr:from>
    <xdr:to>
      <xdr:col>10</xdr:col>
      <xdr:colOff>412377</xdr:colOff>
      <xdr:row>13</xdr:row>
      <xdr:rowOff>14792</xdr:rowOff>
    </xdr:to>
    <xdr:graphicFrame macro="">
      <xdr:nvGraphicFramePr>
        <xdr:cNvPr id="2" name="Chart 1">
          <a:extLst>
            <a:ext uri="{FF2B5EF4-FFF2-40B4-BE49-F238E27FC236}">
              <a16:creationId xmlns:a16="http://schemas.microsoft.com/office/drawing/2014/main" id="{1BE78B2B-08E7-5A08-15ED-2310B20ED7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246081</xdr:colOff>
      <xdr:row>5</xdr:row>
      <xdr:rowOff>206188</xdr:rowOff>
    </xdr:from>
    <xdr:to>
      <xdr:col>9</xdr:col>
      <xdr:colOff>519953</xdr:colOff>
      <xdr:row>11</xdr:row>
      <xdr:rowOff>25100</xdr:rowOff>
    </xdr:to>
    <xdr:cxnSp macro="">
      <xdr:nvCxnSpPr>
        <xdr:cNvPr id="4" name="Straight Connector 3">
          <a:extLst>
            <a:ext uri="{FF2B5EF4-FFF2-40B4-BE49-F238E27FC236}">
              <a16:creationId xmlns:a16="http://schemas.microsoft.com/office/drawing/2014/main" id="{FE949435-1DFE-E3E5-80E9-66AEE7DAD1C4}"/>
            </a:ext>
          </a:extLst>
        </xdr:cNvPr>
        <xdr:cNvCxnSpPr/>
      </xdr:nvCxnSpPr>
      <xdr:spPr>
        <a:xfrm flipV="1">
          <a:off x="9497657" y="1192306"/>
          <a:ext cx="4083872" cy="1100865"/>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106680</xdr:colOff>
      <xdr:row>5</xdr:row>
      <xdr:rowOff>99060</xdr:rowOff>
    </xdr:from>
    <xdr:to>
      <xdr:col>6</xdr:col>
      <xdr:colOff>340659</xdr:colOff>
      <xdr:row>5</xdr:row>
      <xdr:rowOff>152400</xdr:rowOff>
    </xdr:to>
    <xdr:cxnSp macro="">
      <xdr:nvCxnSpPr>
        <xdr:cNvPr id="6" name="Straight Arrow Connector 5">
          <a:extLst>
            <a:ext uri="{FF2B5EF4-FFF2-40B4-BE49-F238E27FC236}">
              <a16:creationId xmlns:a16="http://schemas.microsoft.com/office/drawing/2014/main" id="{409B6B66-1DF1-5773-6DD6-0698C5789D7F}"/>
            </a:ext>
          </a:extLst>
        </xdr:cNvPr>
        <xdr:cNvCxnSpPr/>
      </xdr:nvCxnSpPr>
      <xdr:spPr>
        <a:xfrm>
          <a:off x="4786256" y="1085178"/>
          <a:ext cx="4196379" cy="53340"/>
        </a:xfrm>
        <a:prstGeom prst="straightConnector1">
          <a:avLst/>
        </a:prstGeom>
        <a:ln w="38100">
          <a:solidFill>
            <a:schemeClr val="tx1">
              <a:lumMod val="85000"/>
              <a:lumOff val="1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609600</xdr:colOff>
      <xdr:row>31</xdr:row>
      <xdr:rowOff>72390</xdr:rowOff>
    </xdr:from>
    <xdr:to>
      <xdr:col>7</xdr:col>
      <xdr:colOff>76200</xdr:colOff>
      <xdr:row>43</xdr:row>
      <xdr:rowOff>83820</xdr:rowOff>
    </xdr:to>
    <xdr:graphicFrame macro="">
      <xdr:nvGraphicFramePr>
        <xdr:cNvPr id="8" name="Chart 7">
          <a:extLst>
            <a:ext uri="{FF2B5EF4-FFF2-40B4-BE49-F238E27FC236}">
              <a16:creationId xmlns:a16="http://schemas.microsoft.com/office/drawing/2014/main" id="{7D27D514-9E68-DE43-535E-E63F4054AD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1043940</xdr:colOff>
      <xdr:row>34</xdr:row>
      <xdr:rowOff>53340</xdr:rowOff>
    </xdr:from>
    <xdr:to>
      <xdr:col>6</xdr:col>
      <xdr:colOff>350520</xdr:colOff>
      <xdr:row>41</xdr:row>
      <xdr:rowOff>68580</xdr:rowOff>
    </xdr:to>
    <xdr:cxnSp macro="">
      <xdr:nvCxnSpPr>
        <xdr:cNvPr id="10" name="Straight Connector 9">
          <a:extLst>
            <a:ext uri="{FF2B5EF4-FFF2-40B4-BE49-F238E27FC236}">
              <a16:creationId xmlns:a16="http://schemas.microsoft.com/office/drawing/2014/main" id="{863387D1-7F4A-D774-3FAE-9A644A6C9134}"/>
            </a:ext>
          </a:extLst>
        </xdr:cNvPr>
        <xdr:cNvCxnSpPr/>
      </xdr:nvCxnSpPr>
      <xdr:spPr>
        <a:xfrm flipV="1">
          <a:off x="5722620" y="6637020"/>
          <a:ext cx="3268980" cy="129540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354106</xdr:colOff>
      <xdr:row>51</xdr:row>
      <xdr:rowOff>8965</xdr:rowOff>
    </xdr:from>
    <xdr:to>
      <xdr:col>7</xdr:col>
      <xdr:colOff>573742</xdr:colOff>
      <xdr:row>65</xdr:row>
      <xdr:rowOff>35859</xdr:rowOff>
    </xdr:to>
    <xdr:graphicFrame macro="">
      <xdr:nvGraphicFramePr>
        <xdr:cNvPr id="15" name="Chart 14">
          <a:extLst>
            <a:ext uri="{FF2B5EF4-FFF2-40B4-BE49-F238E27FC236}">
              <a16:creationId xmlns:a16="http://schemas.microsoft.com/office/drawing/2014/main" id="{81A7D51E-781F-808B-3336-E9D780571A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788895</xdr:colOff>
      <xdr:row>54</xdr:row>
      <xdr:rowOff>89647</xdr:rowOff>
    </xdr:from>
    <xdr:to>
      <xdr:col>7</xdr:col>
      <xdr:colOff>197224</xdr:colOff>
      <xdr:row>62</xdr:row>
      <xdr:rowOff>170329</xdr:rowOff>
    </xdr:to>
    <xdr:cxnSp macro="">
      <xdr:nvCxnSpPr>
        <xdr:cNvPr id="16" name="Straight Connector 15">
          <a:extLst>
            <a:ext uri="{FF2B5EF4-FFF2-40B4-BE49-F238E27FC236}">
              <a16:creationId xmlns:a16="http://schemas.microsoft.com/office/drawing/2014/main" id="{4CF07CD5-D9F1-40EC-AE67-58CDE7C23207}"/>
            </a:ext>
          </a:extLst>
        </xdr:cNvPr>
        <xdr:cNvCxnSpPr/>
      </xdr:nvCxnSpPr>
      <xdr:spPr>
        <a:xfrm>
          <a:off x="5468471" y="11152094"/>
          <a:ext cx="3980329" cy="1515035"/>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7FE39D-5614-4A7F-89B7-C167ABC0A251}" name="Movies" displayName="Movies" ref="A1:O40" totalsRowShown="0" headerRowDxfId="54">
  <autoFilter ref="A1:O40" xr:uid="{6A7FE39D-5614-4A7F-89B7-C167ABC0A251}"/>
  <tableColumns count="15">
    <tableColumn id="1" xr3:uid="{5E453F0D-B27C-433C-BF11-BA3FE1A6822E}" name="movie_id"/>
    <tableColumn id="9" xr3:uid="{3FF9B4C1-3BCE-460D-B9C0-8041B40D03B6}" name="Title"/>
    <tableColumn id="3" xr3:uid="{A73DC6E7-A5B7-4D92-B13E-587CFA363BFA}" name="industry"/>
    <tableColumn id="4" xr3:uid="{DFE5EBBB-5DEF-4AB9-A5C9-802FC0AD1B5B}" name="release_year"/>
    <tableColumn id="5" xr3:uid="{D500D219-E618-40DD-B4AA-E390F996EF1E}" name="imdb_rating"/>
    <tableColumn id="6" xr3:uid="{D06057E5-53B4-474F-BA7C-D7BC731BE502}" name="studio"/>
    <tableColumn id="7" xr3:uid="{70C8CD53-1FFB-4649-B796-093E6560F8C9}" name="language_id"/>
    <tableColumn id="2" xr3:uid="{37EC4270-EE00-4C33-B6B4-35D65276C40E}" name="Revenue" dataDxfId="53">
      <calculatedColumnFormula array="1">VLOOKUP(Movies[[#This Row],[movie_id]:[movie_id]],Financials[#All],3,FALSE)</calculatedColumnFormula>
    </tableColumn>
    <tableColumn id="11" xr3:uid="{13FB308A-98F3-4E60-B4A8-8551F67189E7}" name="Budget" dataDxfId="52">
      <calculatedColumnFormula array="1">VLOOKUP(Movies[[#This Row],[movie_id]:[movie_id]],Financials[#All],2,FALSE)</calculatedColumnFormula>
    </tableColumn>
    <tableColumn id="12" xr3:uid="{65B86369-F99E-4125-8743-115502549319}" name="Currency" dataDxfId="51">
      <calculatedColumnFormula array="1">VLOOKUP(Movies[[#This Row],[movie_id]:[movie_id]],Financials[#All],5,FALSE)</calculatedColumnFormula>
    </tableColumn>
    <tableColumn id="13" xr3:uid="{90389D60-3880-4F07-876B-5220580C5C9B}" name="Unit" dataDxfId="50">
      <calculatedColumnFormula array="1">VLOOKUP(Movies[[#This Row],[movie_id]:[movie_id]],Financials[#All],4,FALSE)</calculatedColumnFormula>
    </tableColumn>
    <tableColumn id="14" xr3:uid="{3D2BA280-3055-458D-91C9-5A43B617B9F5}" name="Revenue2" dataDxfId="49">
      <calculatedColumnFormula array="1">INDEX(Financials[],MATCH(Movies[[#This Row],[movie_id]:[movie_id]],Financials[movie_id]:Financials[movie_id],0),MATCH("Revenue",Financials[#Headers],0))</calculatedColumnFormula>
    </tableColumn>
    <tableColumn id="15" xr3:uid="{2EFA7ACD-6B06-4ACC-9B13-31AA96A7A412}" name="Budget3" dataDxfId="48">
      <calculatedColumnFormula array="1">INDEX(Financials[],MATCH(Movies[[#This Row],[movie_id]:[movie_id]],Financials[[movie_id]:[movie_id]],0),MATCH("budget",Financials[#Headers],0))</calculatedColumnFormula>
    </tableColumn>
    <tableColumn id="16" xr3:uid="{DEA9488A-A52B-4E8E-93E1-322339DEED2C}" name="Currency4" dataDxfId="47">
      <calculatedColumnFormula array="1">_xlfn.IFNA(INDEX(Financials[],MATCH(Movies[[#This Row],[movie_id]:[movie_id]],Financials[[movie_id]:[movie_id]],0),MATCH(Movies[[#Headers],[Currency]],Financials[#Headers],0)),"Not Aavialable")</calculatedColumnFormula>
    </tableColumn>
    <tableColumn id="17" xr3:uid="{58180529-C5B9-4D61-BF19-171CB9FC4105}" name="Unit5" dataDxfId="4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37D4FC5-EED6-4857-BFB7-9888075CFD5C}" name="Food" displayName="Food" ref="A2:B6" totalsRowShown="0" headerRowDxfId="45" dataDxfId="43" headerRowBorderDxfId="44" tableBorderDxfId="42">
  <autoFilter ref="A2:B6" xr:uid="{437D4FC5-EED6-4857-BFB7-9888075CFD5C}"/>
  <tableColumns count="2">
    <tableColumn id="1" xr3:uid="{DA0AC7DC-30A7-4D0B-BF12-6775766FAF40}" name="Item" dataDxfId="41"/>
    <tableColumn id="2" xr3:uid="{36AA0C7D-84FD-4D5C-9725-4DFEEEF60C77}" name="Price" dataDxfId="4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EC907F-917F-4689-8EAB-F7CEF660B9E4}" name="Financials" displayName="Financials" ref="A1:I41" totalsRowShown="0" headerRowDxfId="39">
  <autoFilter ref="A1:I41" xr:uid="{DCEC907F-917F-4689-8EAB-F7CEF660B9E4}"/>
  <tableColumns count="9">
    <tableColumn id="1" xr3:uid="{D1A9B0F4-FC15-4DC9-80C7-7EBF56996521}" name="movie_id"/>
    <tableColumn id="2" xr3:uid="{7A82C7E9-BE81-4BFD-9DE1-91C9F01BD827}" name="budget"/>
    <tableColumn id="3" xr3:uid="{965E2B99-FA87-4277-B9CC-A0E3C19DE420}" name="revenue"/>
    <tableColumn id="4" xr3:uid="{96087170-9E57-4229-AC50-74EEA71833C0}" name="unit"/>
    <tableColumn id="5" xr3:uid="{6495EEB2-7844-4F05-9057-6857978F8760}" name="currency"/>
    <tableColumn id="6" xr3:uid="{4C9B7CC9-E322-4B2D-AC41-329AED1F2283}" name="studio" dataDxfId="38">
      <calculatedColumnFormula array="1">_xlfn.IFNA(INDEX(Movies[],MATCH(Financials[[#This Row],[movie_id]:[movie_id]],Movies[[movie_id]:[movie_id]],0),MATCH(Financials[[#Headers],[studio]],Movies[#Headers],0)),"Not Avilable")</calculatedColumnFormula>
    </tableColumn>
    <tableColumn id="7" xr3:uid="{3C5AA937-D139-409F-96BA-A9470A19D64F}" name="imdb_rating" dataDxfId="13">
      <calculatedColumnFormula array="1">IFERROR(INDEX(Movies[],MATCH(Financials[[#This Row],[movie_id]:[movie_id]],Movies[[movie_id]:[movie_id]],0),MATCH(Financials[[#Headers],[imdb_rating]],Movies[#Headers],0)),"Not Available")</calculatedColumnFormula>
    </tableColumn>
    <tableColumn id="8" xr3:uid="{022083BB-3DE6-49EB-96EA-F44EC12CAC78}" name="release_year" dataDxfId="12">
      <calculatedColumnFormula array="1">IFERROR(INDEX(Movies[],MATCH(Financials[[#This Row],[movie_id]:[movie_id]],Movies[[movie_id]:[movie_id]],0),MATCH(Financials[[#Headers],[release_year]],Movies[#Headers],0)),"Not Available")</calculatedColumnFormula>
    </tableColumn>
    <tableColumn id="9" xr3:uid="{B6D55EF9-8DBA-4606-9D3A-B1DF615B06A4}" name="language_id" dataDxfId="11">
      <calculatedColumnFormula array="1">IFERROR(INDEX(Movies[],MATCH(Financials[[#This Row],[movie_id]:[movie_id]],Movies[[movie_id]:[movie_id]],0),MATCH(Financials[[#Headers],[language_id]],Movies[#Headers],0)),"Not Available")</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63A4A20-00CD-45F1-91F3-905BD73E135D}" name="XMovies" displayName="XMovies" ref="A1:L40" totalsRowShown="0" headerRowDxfId="37" tableBorderDxfId="36">
  <autoFilter ref="A1:L40" xr:uid="{D63A4A20-00CD-45F1-91F3-905BD73E135D}"/>
  <tableColumns count="12">
    <tableColumn id="1" xr3:uid="{22DB280F-5FFF-42AF-8B1D-5DC51C81C042}" name="movie_id" dataDxfId="35"/>
    <tableColumn id="2" xr3:uid="{5312EF74-5C0D-4936-B131-AD2613A0B01D}" name="Title" dataDxfId="34"/>
    <tableColumn id="3" xr3:uid="{34D59EE1-00DC-4D6F-B57E-4BB0DC76F989}" name="industry" dataDxfId="33"/>
    <tableColumn id="4" xr3:uid="{2FFED009-ACDE-4294-B230-748E5305D510}" name="release_year" dataDxfId="32"/>
    <tableColumn id="5" xr3:uid="{A9103C86-E91D-4891-A221-BB24CD67CD76}" name="imdb_rating" dataDxfId="31"/>
    <tableColumn id="6" xr3:uid="{6FE0D9BC-D604-47BB-86BC-B60E752D73FE}" name="studio" dataDxfId="30"/>
    <tableColumn id="7" xr3:uid="{B3AF8A72-858C-4FE4-AC5C-EDB7CF881B4C}" name="language_id" dataDxfId="29"/>
    <tableColumn id="8" xr3:uid="{6E12D11D-C16C-46EA-81F9-4E9606D02B21}" name="Revenue" dataDxfId="28">
      <calculatedColumnFormula array="1">_xlfn.XLOOKUP(XMovies[[#This Row],[movie_id]:[movie_id]],Financials[[#All],[movie_id]:[movie_id]],Financials[[#All],[revenue]],"Not Available",0)</calculatedColumnFormula>
    </tableColumn>
    <tableColumn id="9" xr3:uid="{ECCF005C-395D-47A0-AFFB-9BCC30C525F2}" name="Unit" dataDxfId="27">
      <calculatedColumnFormula array="1">_xlfn.XLOOKUP(XMovies[[#This Row],[movie_id]:[movie_id]],Financials[[#All],[movie_id]:[movie_id]],Financials[[#All],[unit]],"Not Available",0)</calculatedColumnFormula>
    </tableColumn>
    <tableColumn id="10" xr3:uid="{7FD70708-5242-40D4-84D8-9C8B7D27A187}" name="Currency" dataDxfId="26">
      <calculatedColumnFormula array="1">_xlfn.XLOOKUP(XMovies[[#This Row],[movie_id]:[movie_id]],Financials[[#All],[movie_id]:[movie_id]],Financials[[#All],[currency]],"Not Available",0)</calculatedColumnFormula>
    </tableColumn>
    <tableColumn id="11" xr3:uid="{C3A90309-D060-4BBF-82F1-0A05C17FD7FD}" name="budget" dataDxfId="25">
      <calculatedColumnFormula array="1">_xlfn.XLOOKUP(XMovies[[#This Row],[movie_id]:[movie_id]],Financials[[#All],[movie_id]:[movie_id]],Financials[[#All],[budget]],"Not Available",0)</calculatedColumnFormula>
    </tableColumn>
    <tableColumn id="13" xr3:uid="{273F725B-C777-41DB-BB3A-6B393DE3144C}" name="Profit (USD,millions)" dataDxfId="14">
      <calculatedColumnFormula>_xlfn.XLOOKUP(XMovies[[#This Row],[movie_id]],moviesKPIS[movie_id],moviesKPIS[Profit (USD,millions)],"Not Available",0)</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5FA1A96-FC82-44AD-ABBD-2C99C480D0A3}" name="moviesKPIS" displayName="moviesKPIS" ref="A1:R40" totalsRowShown="0">
  <autoFilter ref="A1:R40" xr:uid="{D5FA1A96-FC82-44AD-ABBD-2C99C480D0A3}"/>
  <tableColumns count="18">
    <tableColumn id="1" xr3:uid="{74023431-1539-4512-9BDF-9A8F8F40DD67}" name="movie_id"/>
    <tableColumn id="2" xr3:uid="{C8EB4DB4-7C81-4739-8E9B-6C1E145BF287}" name="Title"/>
    <tableColumn id="3" xr3:uid="{0D125F13-38BB-4F7F-BEAA-7BF5C48537D0}" name="industry"/>
    <tableColumn id="4" xr3:uid="{B12E2A75-0A6C-40F0-8781-18A28364515F}" name="release_year"/>
    <tableColumn id="5" xr3:uid="{AE4DE373-4933-41E4-82E5-707CB76CED11}" name="imdb_rating"/>
    <tableColumn id="6" xr3:uid="{B79618E5-C7D0-458B-9807-BC79E180B2A8}" name="studio"/>
    <tableColumn id="7" xr3:uid="{79020A84-E670-45FF-B13E-7CAF9ABE9947}" name="language_id"/>
    <tableColumn id="14" xr3:uid="{124E23A0-8EA4-4A73-8F5E-A7BADD6C7107}" name="Budget"/>
    <tableColumn id="10" xr3:uid="{E88D3FA9-02BA-4313-A17A-75E2D5717524}" name="Currency"/>
    <tableColumn id="11" xr3:uid="{76CD1809-FE51-4F1B-9360-92E2020ADD14}" name="Unit"/>
    <tableColumn id="8" xr3:uid="{4AAC9B78-0867-435B-B435-2C9357446E4B}" name="Revenue"/>
    <tableColumn id="17" xr3:uid="{6FD8F38B-AD23-4F58-BF55-BBC609F2BA2B}" name="Revenue in Millions(Unit)" dataDxfId="21">
      <calculatedColumnFormula>IF(moviesKPIS[[#This Row],[Unit]]="billions",moviesKPIS[[#This Row],[Revenue]]*1000,moviesKPIS[[#This Row],[Revenue]])</calculatedColumnFormula>
    </tableColumn>
    <tableColumn id="18" xr3:uid="{D835CDCB-4D56-4615-8A27-EA550696592C}" name="Budget in Millions(Unit)" dataDxfId="20">
      <calculatedColumnFormula>IF(moviesKPIS[[#This Row],[Unit]]="billions",moviesKPIS[[#This Row],[Budget]]*1000,moviesKPIS[[#This Row],[Budget]])</calculatedColumnFormula>
    </tableColumn>
    <tableColumn id="19" xr3:uid="{34DBFF9F-8122-401B-AE10-5E061EA65C8A}" name="Revenue (INR,millions)" dataDxfId="19">
      <calculatedColumnFormula>IF(moviesKPIS[[#This Row],[Currency]]="USD",moviesKPIS[[#This Row],[Revenue in Millions(Unit)]]*80,moviesKPIS[[#This Row],[Revenue in Millions(Unit)]])</calculatedColumnFormula>
    </tableColumn>
    <tableColumn id="21" xr3:uid="{97786D10-A2AB-4BF1-B32A-3BC349ACF9AF}" name="Revenue (USD,millions)" dataDxfId="18">
      <calculatedColumnFormula>IF(moviesKPIS[[#This Row],[Currency]]="INR",moviesKPIS[[#This Row],[Revenue in Millions(Unit)]]/80,moviesKPIS[[#This Row],[Revenue in Millions(Unit)]])</calculatedColumnFormula>
    </tableColumn>
    <tableColumn id="20" xr3:uid="{499618B0-6B5D-4A7D-A218-0C7F22F4CB3E}" name="Budget (INR,millions)" dataDxfId="17">
      <calculatedColumnFormula>IF(moviesKPIS[[#This Row],[Currency]]="USD",moviesKPIS[[#This Row],[Budget]]*80,moviesKPIS[[#This Row],[Budget]])</calculatedColumnFormula>
    </tableColumn>
    <tableColumn id="22" xr3:uid="{7524C41E-E225-4DD3-A424-568219DDD94F}" name="Budget (USD,millions)" dataDxfId="16">
      <calculatedColumnFormula>IF(moviesKPIS[[#This Row],[Currency]]="inr",moviesKPIS[[#This Row],[Budget]]/80,moviesKPIS[[#This Row],[Budget]])</calculatedColumnFormula>
    </tableColumn>
    <tableColumn id="9" xr3:uid="{5294BC8B-5D5D-4A3E-B8B5-835CF4405021}" name="Profit (USD,millions)" dataDxfId="15">
      <calculatedColumnFormula>IFERROR(moviesKPIS[[#This Row],[Revenue (USD,millions)]]-moviesKPIS[[#This Row],[Budget (USD,millions)]],"Not Available")</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9E9627B-7F83-4E00-A9BD-B2B85ADBBA2F}" name="actors" displayName="actors" ref="A1:C68" totalsRowShown="0" headerRowDxfId="24">
  <autoFilter ref="A1:C68" xr:uid="{49E9627B-7F83-4E00-A9BD-B2B85ADBBA2F}"/>
  <tableColumns count="3">
    <tableColumn id="1" xr3:uid="{17C41506-36D4-4294-9829-5A0C52DE3455}" name="actor_id"/>
    <tableColumn id="2" xr3:uid="{2876D79C-DCCC-46A7-9A7C-E9583B5ED0CC}" name="name"/>
    <tableColumn id="3" xr3:uid="{FAFDAD74-E8EF-4409-98E8-FA816AA45652}" name="birth_year"/>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9F3DFB9-F7AC-4F5D-9639-8E5EFD749C75}" name="movieactor" displayName="movieactor" ref="A1:B86" totalsRowShown="0" headerRowDxfId="23">
  <autoFilter ref="A1:B86" xr:uid="{69F3DFB9-F7AC-4F5D-9639-8E5EFD749C75}"/>
  <tableColumns count="2">
    <tableColumn id="1" xr3:uid="{726AA249-607F-4CEE-9C80-419BD67B7D42}" name="movie_id"/>
    <tableColumn id="2" xr3:uid="{A11280A0-C25A-482F-B3E4-13975B2F5282}" name="actor_id"/>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C058435-0457-4C21-A779-EC166EB5551A}" name="languages" displayName="languages" ref="A1:B9" totalsRowShown="0" headerRowDxfId="22">
  <autoFilter ref="A1:B9" xr:uid="{1C058435-0457-4C21-A779-EC166EB5551A}"/>
  <tableColumns count="2">
    <tableColumn id="1" xr3:uid="{E256DBAD-6FC6-4A32-8A1D-C74A5F599F74}" name="language_id"/>
    <tableColumn id="2" xr3:uid="{583CF6B9-244C-4D0F-A271-B5A1C600F170}" name="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67"/>
  <sheetViews>
    <sheetView zoomScale="85" zoomScaleNormal="85" workbookViewId="0">
      <selection activeCell="E9" sqref="E9"/>
    </sheetView>
  </sheetViews>
  <sheetFormatPr defaultRowHeight="14.4" x14ac:dyDescent="0.3"/>
  <cols>
    <col min="1" max="1" width="14.88671875" customWidth="1"/>
    <col min="2" max="2" width="26.109375" customWidth="1"/>
    <col min="3" max="3" width="13.21875" customWidth="1"/>
    <col min="4" max="4" width="14.33203125" customWidth="1"/>
    <col min="5" max="5" width="11.77734375" customWidth="1"/>
    <col min="6" max="6" width="23.109375" customWidth="1"/>
    <col min="7" max="7" width="14.33203125" bestFit="1" customWidth="1"/>
    <col min="8" max="8" width="14" customWidth="1"/>
    <col min="9" max="9" width="12" customWidth="1"/>
    <col min="10" max="10" width="10.77734375" bestFit="1" customWidth="1"/>
    <col min="12" max="12" width="12.5546875" customWidth="1"/>
    <col min="13" max="13" width="11.88671875" customWidth="1"/>
    <col min="14" max="14" width="12.44140625" customWidth="1"/>
    <col min="16" max="16" width="25.33203125" customWidth="1"/>
    <col min="17" max="17" width="142.5546875" customWidth="1"/>
  </cols>
  <sheetData>
    <row r="1" spans="1:52" ht="18.600000000000001" x14ac:dyDescent="0.45">
      <c r="A1" s="1" t="s">
        <v>0</v>
      </c>
      <c r="B1" s="1" t="s">
        <v>159</v>
      </c>
      <c r="C1" s="1" t="s">
        <v>1</v>
      </c>
      <c r="D1" s="1" t="s">
        <v>2</v>
      </c>
      <c r="E1" s="1" t="s">
        <v>3</v>
      </c>
      <c r="F1" s="1" t="s">
        <v>4</v>
      </c>
      <c r="G1" s="1" t="s">
        <v>5</v>
      </c>
      <c r="H1" s="3" t="s">
        <v>165</v>
      </c>
      <c r="I1" s="3" t="s">
        <v>164</v>
      </c>
      <c r="J1" s="3" t="s">
        <v>167</v>
      </c>
      <c r="K1" s="3" t="s">
        <v>168</v>
      </c>
      <c r="L1" s="4" t="s">
        <v>166</v>
      </c>
      <c r="M1" s="4" t="s">
        <v>177</v>
      </c>
      <c r="N1" s="4" t="s">
        <v>178</v>
      </c>
      <c r="O1" s="4" t="s">
        <v>176</v>
      </c>
      <c r="P1" s="134" t="s">
        <v>219</v>
      </c>
      <c r="Q1" s="134"/>
    </row>
    <row r="2" spans="1:52" x14ac:dyDescent="0.3">
      <c r="A2">
        <v>101</v>
      </c>
      <c r="B2" t="s">
        <v>120</v>
      </c>
      <c r="C2" t="s">
        <v>6</v>
      </c>
      <c r="D2">
        <v>2022</v>
      </c>
      <c r="E2">
        <v>8.4</v>
      </c>
      <c r="F2" t="s">
        <v>117</v>
      </c>
      <c r="G2">
        <v>3</v>
      </c>
      <c r="H2" cm="1">
        <f t="array" ref="H2">VLOOKUP(Movies[[#This Row],[movie_id]:[movie_id]],Financials[#All],3,FALSE)</f>
        <v>12.5</v>
      </c>
      <c r="I2" cm="1">
        <f t="array" ref="I2">VLOOKUP(Movies[[#This Row],[movie_id]:[movie_id]],Financials[#All],2,FALSE)</f>
        <v>1</v>
      </c>
      <c r="J2" t="str" cm="1">
        <f t="array" ref="J2">VLOOKUP(Movies[[#This Row],[movie_id]:[movie_id]],Financials[#All],5,FALSE)</f>
        <v>INR</v>
      </c>
      <c r="K2" t="str" cm="1">
        <f t="array" ref="K2">VLOOKUP(Movies[[#This Row],[movie_id]:[movie_id]],Financials[#All],4,FALSE)</f>
        <v>Billions</v>
      </c>
      <c r="L2" s="10" cm="1">
        <f t="array" ref="L2">INDEX(Financials[],MATCH(Movies[[#This Row],[movie_id]:[movie_id]],Financials[movie_id]:Financials[movie_id],0),MATCH("Revenue",Financials[#Headers],0))</f>
        <v>12.5</v>
      </c>
      <c r="M2" s="10" cm="1">
        <f t="array" ref="M2">INDEX(Financials[],MATCH(Movies[[#This Row],[movie_id]:[movie_id]],Financials[[movie_id]:[movie_id]],0),MATCH("budget",Financials[#Headers],0))</f>
        <v>1</v>
      </c>
      <c r="N2" s="22" t="str" cm="1">
        <f t="array" ref="N2">_xlfn.IFNA(INDEX(Financials[],MATCH(Movies[[#This Row],[movie_id]:[movie_id]],Financials[[movie_id]:[movie_id]],0),MATCH(Movies[[#Headers],[Currency]],Financials[#Headers],0)),"Not Aavialable")</f>
        <v>INR</v>
      </c>
      <c r="O2" s="22" t="str" cm="1">
        <f t="array" ref="O2">INDEX(Financials[],MATCH(Movies[[#This Row],[movie_id]:[movie_id]],Financials[[movie_id]:[movie_id]],0),MATCH("currency",Financials[#Headers],0))</f>
        <v>INR</v>
      </c>
      <c r="P2" s="132" t="s">
        <v>217</v>
      </c>
      <c r="Q2" s="132"/>
    </row>
    <row r="3" spans="1:52" x14ac:dyDescent="0.3">
      <c r="A3">
        <v>102</v>
      </c>
      <c r="B3" t="s">
        <v>121</v>
      </c>
      <c r="C3" t="s">
        <v>7</v>
      </c>
      <c r="D3">
        <v>2022</v>
      </c>
      <c r="E3">
        <v>7</v>
      </c>
      <c r="F3" t="s">
        <v>8</v>
      </c>
      <c r="G3">
        <v>5</v>
      </c>
      <c r="H3" cm="1">
        <f t="array" ref="H3">VLOOKUP(Movies[[#This Row],[movie_id]:[movie_id]],Financials[#All],3,FALSE)</f>
        <v>954.8</v>
      </c>
      <c r="I3" cm="1">
        <f t="array" ref="I3">VLOOKUP(Movies[[#This Row],[movie_id]:[movie_id]],Financials[#All],2,FALSE)</f>
        <v>200</v>
      </c>
      <c r="J3" t="str" cm="1">
        <f t="array" ref="J3">VLOOKUP(Movies[[#This Row],[movie_id]:[movie_id]],Financials[#All],5,FALSE)</f>
        <v>USD</v>
      </c>
      <c r="K3" t="str" cm="1">
        <f t="array" ref="K3">VLOOKUP(Movies[[#This Row],[movie_id]:[movie_id]],Financials[#All],4,FALSE)</f>
        <v>Millions</v>
      </c>
      <c r="L3" cm="1">
        <f t="array" ref="L3">INDEX(Financials[],MATCH(Movies[[#This Row],[movie_id]:[movie_id]],Financials[movie_id]:Financials[movie_id],0),MATCH("Revenue",Financials[#Headers],0))</f>
        <v>954.8</v>
      </c>
      <c r="M3" cm="1">
        <f t="array" ref="M3">INDEX(Financials[],MATCH(Movies[[#This Row],[movie_id]:[movie_id]],Financials[[movie_id]:[movie_id]],0),MATCH("budget",Financials[#Headers],0))</f>
        <v>200</v>
      </c>
      <c r="N3" s="22" t="str" cm="1">
        <f t="array" ref="N3">_xlfn.IFNA(INDEX(Financials[],MATCH(Movies[[#This Row],[movie_id]:[movie_id]],Financials[[movie_id]:[movie_id]],0),MATCH(Movies[[#Headers],[Currency]],Financials[#Headers],0)),"Not Aavialable")</f>
        <v>USD</v>
      </c>
      <c r="O3" s="22" t="str" cm="1">
        <f t="array" ref="O3">INDEX(Financials[],MATCH(Movies[[#This Row],[movie_id]:[movie_id]],Financials[[movie_id]:[movie_id]],0),MATCH(Movies[[#Headers],[Unit]],Financials[#Headers],0))</f>
        <v>Millions</v>
      </c>
      <c r="P3" s="133" t="s">
        <v>218</v>
      </c>
      <c r="Q3" s="133"/>
    </row>
    <row r="4" spans="1:52" x14ac:dyDescent="0.3">
      <c r="A4">
        <v>103</v>
      </c>
      <c r="B4" t="s">
        <v>122</v>
      </c>
      <c r="C4" t="s">
        <v>7</v>
      </c>
      <c r="D4">
        <v>2013</v>
      </c>
      <c r="E4">
        <v>6.8</v>
      </c>
      <c r="F4" t="s">
        <v>8</v>
      </c>
      <c r="G4">
        <v>5</v>
      </c>
      <c r="H4" cm="1">
        <f t="array" ref="H4">VLOOKUP(Movies[[#This Row],[movie_id]:[movie_id]],Financials[#All],3,FALSE)</f>
        <v>644.79999999999995</v>
      </c>
      <c r="I4" cm="1">
        <f t="array" ref="I4">VLOOKUP(Movies[[#This Row],[movie_id]:[movie_id]],Financials[#All],2,FALSE)</f>
        <v>165</v>
      </c>
      <c r="J4" t="str" cm="1">
        <f t="array" ref="J4">VLOOKUP(Movies[[#This Row],[movie_id]:[movie_id]],Financials[#All],5,FALSE)</f>
        <v>USD</v>
      </c>
      <c r="K4" t="str" cm="1">
        <f t="array" ref="K4">VLOOKUP(Movies[[#This Row],[movie_id]:[movie_id]],Financials[#All],4,FALSE)</f>
        <v>Millions</v>
      </c>
      <c r="L4" cm="1">
        <f t="array" ref="L4">INDEX(Financials[],MATCH(Movies[[#This Row],[movie_id]:[movie_id]],Financials[movie_id]:Financials[movie_id],0),MATCH("Revenue",Financials[#Headers],0))</f>
        <v>644.79999999999995</v>
      </c>
      <c r="M4" cm="1">
        <f t="array" ref="M4">INDEX(Financials[],MATCH(Movies[[#This Row],[movie_id]:[movie_id]],Financials[[movie_id]:[movie_id]],0),MATCH("budget",Financials[#Headers],0))</f>
        <v>165</v>
      </c>
      <c r="N4" t="str" cm="1">
        <f t="array" ref="N4">_xlfn.IFNA(INDEX(Financials[],MATCH(Movies[[#This Row],[movie_id]:[movie_id]],Financials[[movie_id]:[movie_id]],0),MATCH(Movies[[#Headers],[Currency]],Financials[#Headers],0)),"Not Aavialable")</f>
        <v>USD</v>
      </c>
      <c r="O4" t="str" cm="1">
        <f t="array" ref="O4">INDEX(Financials[],MATCH(Movies[[#This Row],[movie_id]:[movie_id]],Financials[[movie_id]:[movie_id]],0),MATCH(Movies[[#Headers],[Unit]],Financials[#Headers],0))</f>
        <v>Millions</v>
      </c>
    </row>
    <row r="5" spans="1:52" x14ac:dyDescent="0.3">
      <c r="A5">
        <v>104</v>
      </c>
      <c r="B5" t="s">
        <v>123</v>
      </c>
      <c r="C5" t="s">
        <v>7</v>
      </c>
      <c r="D5">
        <v>2017</v>
      </c>
      <c r="E5">
        <v>7.9</v>
      </c>
      <c r="F5" t="s">
        <v>8</v>
      </c>
      <c r="G5">
        <v>5</v>
      </c>
      <c r="H5" cm="1">
        <f t="array" ref="H5">VLOOKUP(Movies[[#This Row],[movie_id]:[movie_id]],Financials[#All],3,FALSE)</f>
        <v>854</v>
      </c>
      <c r="I5" cm="1">
        <f t="array" ref="I5">VLOOKUP(Movies[[#This Row],[movie_id]:[movie_id]],Financials[#All],2,FALSE)</f>
        <v>180</v>
      </c>
      <c r="J5" t="str" cm="1">
        <f t="array" ref="J5">VLOOKUP(Movies[[#This Row],[movie_id]:[movie_id]],Financials[#All],5,FALSE)</f>
        <v>USD</v>
      </c>
      <c r="K5" t="str" cm="1">
        <f t="array" ref="K5">VLOOKUP(Movies[[#This Row],[movie_id]:[movie_id]],Financials[#All],4,FALSE)</f>
        <v>Millions</v>
      </c>
      <c r="L5" cm="1">
        <f t="array" ref="L5">INDEX(Financials[],MATCH(Movies[[#This Row],[movie_id]:[movie_id]],Financials[movie_id]:Financials[movie_id],0),MATCH("Revenue",Financials[#Headers],0))</f>
        <v>854</v>
      </c>
      <c r="M5" cm="1">
        <f t="array" ref="M5">INDEX(Financials[],MATCH(Movies[[#This Row],[movie_id]:[movie_id]],Financials[[movie_id]:[movie_id]],0),MATCH("budget",Financials[#Headers],0))</f>
        <v>180</v>
      </c>
      <c r="N5" t="str" cm="1">
        <f t="array" ref="N5">_xlfn.IFNA(INDEX(Financials[],MATCH(Movies[[#This Row],[movie_id]:[movie_id]],Financials[[movie_id]:[movie_id]],0),MATCH(Movies[[#Headers],[Currency]],Financials[#Headers],0)),"Not Aavialable")</f>
        <v>USD</v>
      </c>
      <c r="O5" t="str" cm="1">
        <f t="array" ref="O5">INDEX(Financials[],MATCH(Movies[[#This Row],[movie_id]:[movie_id]],Financials[[movie_id]:[movie_id]],0),MATCH(Movies[[#Headers],[Unit]],Financials[#Headers],0))</f>
        <v>Millions</v>
      </c>
      <c r="Q5" s="12" t="s">
        <v>204</v>
      </c>
    </row>
    <row r="6" spans="1:52" x14ac:dyDescent="0.3">
      <c r="A6">
        <v>105</v>
      </c>
      <c r="B6" t="s">
        <v>124</v>
      </c>
      <c r="C6" t="s">
        <v>7</v>
      </c>
      <c r="D6">
        <v>2022</v>
      </c>
      <c r="E6">
        <v>6.8</v>
      </c>
      <c r="F6" t="s">
        <v>8</v>
      </c>
      <c r="G6">
        <v>5</v>
      </c>
      <c r="H6" cm="1">
        <f t="array" ref="H6">VLOOKUP(Movies[[#This Row],[movie_id]:[movie_id]],Financials[#All],3,FALSE)</f>
        <v>670</v>
      </c>
      <c r="I6" cm="1">
        <f t="array" ref="I6">VLOOKUP(Movies[[#This Row],[movie_id]:[movie_id]],Financials[#All],2,FALSE)</f>
        <v>250</v>
      </c>
      <c r="J6" t="str" cm="1">
        <f t="array" ref="J6">VLOOKUP(Movies[[#This Row],[movie_id]:[movie_id]],Financials[#All],5,FALSE)</f>
        <v>USD</v>
      </c>
      <c r="K6" t="str" cm="1">
        <f t="array" ref="K6">VLOOKUP(Movies[[#This Row],[movie_id]:[movie_id]],Financials[#All],4,FALSE)</f>
        <v>Millions</v>
      </c>
      <c r="L6" cm="1">
        <f t="array" ref="L6">INDEX(Financials[],MATCH(Movies[[#This Row],[movie_id]:[movie_id]],Financials[movie_id]:Financials[movie_id],0),MATCH("Revenue",Financials[#Headers],0))</f>
        <v>670</v>
      </c>
      <c r="M6" cm="1">
        <f t="array" ref="M6">INDEX(Financials[],MATCH(Movies[[#This Row],[movie_id]:[movie_id]],Financials[[movie_id]:[movie_id]],0),MATCH("budget",Financials[#Headers],0))</f>
        <v>250</v>
      </c>
      <c r="N6" t="str" cm="1">
        <f t="array" ref="N6">_xlfn.IFNA(INDEX(Financials[],MATCH(Movies[[#This Row],[movie_id]:[movie_id]],Financials[[movie_id]:[movie_id]],0),MATCH(Movies[[#Headers],[Currency]],Financials[#Headers],0)),"Not Aavialable")</f>
        <v>USD</v>
      </c>
      <c r="O6" t="str" cm="1">
        <f t="array" ref="O6">INDEX(Financials[],MATCH(Movies[[#This Row],[movie_id]:[movie_id]],Financials[[movie_id]:[movie_id]],0),MATCH(Movies[[#Headers],[Unit]],Financials[#Headers],0))</f>
        <v>Millions</v>
      </c>
      <c r="Q6" s="12" t="s">
        <v>202</v>
      </c>
    </row>
    <row r="7" spans="1:52" x14ac:dyDescent="0.3">
      <c r="A7">
        <v>106</v>
      </c>
      <c r="B7" t="s">
        <v>125</v>
      </c>
      <c r="C7" t="s">
        <v>6</v>
      </c>
      <c r="D7">
        <v>1975</v>
      </c>
      <c r="E7">
        <v>8.1</v>
      </c>
      <c r="F7" t="s">
        <v>9</v>
      </c>
      <c r="G7">
        <v>1</v>
      </c>
      <c r="H7" t="e" cm="1">
        <f t="array" ref="H7">VLOOKUP(Movies[[#This Row],[movie_id]:[movie_id]],Financials[#All],3,FALSE)</f>
        <v>#N/A</v>
      </c>
      <c r="I7" t="e" cm="1">
        <f t="array" ref="I7">VLOOKUP(Movies[[#This Row],[movie_id]:[movie_id]],Financials[#All],2,FALSE)</f>
        <v>#N/A</v>
      </c>
      <c r="J7" t="e" cm="1">
        <f t="array" ref="J7">VLOOKUP(Movies[[#This Row],[movie_id]:[movie_id]],Financials[#All],5,FALSE)</f>
        <v>#N/A</v>
      </c>
      <c r="K7" t="e" cm="1">
        <f t="array" ref="K7">VLOOKUP(Movies[[#This Row],[movie_id]:[movie_id]],Financials[#All],4,FALSE)</f>
        <v>#N/A</v>
      </c>
      <c r="L7" t="e" cm="1">
        <f t="array" ref="L7">INDEX(Financials[],MATCH(Movies[[#This Row],[movie_id]:[movie_id]],Financials[movie_id]:Financials[movie_id],0),MATCH("Revenue",Financials[#Headers],0))</f>
        <v>#N/A</v>
      </c>
      <c r="M7" t="e" cm="1">
        <f t="array" ref="M7">INDEX(Financials[],MATCH(Movies[[#This Row],[movie_id]:[movie_id]],Financials[[movie_id]:[movie_id]],0),MATCH("budget",Financials[#Headers],0))</f>
        <v>#N/A</v>
      </c>
      <c r="N7" t="str" cm="1">
        <f t="array" ref="N7">_xlfn.IFNA(INDEX(Financials[],MATCH(Movies[[#This Row],[movie_id]:[movie_id]],Financials[[movie_id]:[movie_id]],0),MATCH(Movies[[#Headers],[Currency]],Financials[#Headers],0)),"Not Aavialable")</f>
        <v>Not Aavialable</v>
      </c>
      <c r="O7" t="e" cm="1">
        <f t="array" ref="O7">INDEX(Financials[],MATCH(Movies[[#This Row],[movie_id]:[movie_id]],Financials[[movie_id]:[movie_id]],0),MATCH(Movies[[#Headers],[Unit]],Financials[#Headers],0))</f>
        <v>#N/A</v>
      </c>
      <c r="Q7" s="5" t="s">
        <v>197</v>
      </c>
      <c r="AZ7" t="s">
        <v>175</v>
      </c>
    </row>
    <row r="8" spans="1:52" x14ac:dyDescent="0.3">
      <c r="A8">
        <v>107</v>
      </c>
      <c r="B8" t="s">
        <v>126</v>
      </c>
      <c r="C8" t="s">
        <v>6</v>
      </c>
      <c r="D8">
        <v>1995</v>
      </c>
      <c r="E8">
        <v>8</v>
      </c>
      <c r="F8" t="s">
        <v>10</v>
      </c>
      <c r="G8">
        <v>1</v>
      </c>
      <c r="H8" cm="1">
        <f t="array" ref="H8">VLOOKUP(Movies[[#This Row],[movie_id]:[movie_id]],Financials[#All],3,FALSE)</f>
        <v>2000</v>
      </c>
      <c r="I8" cm="1">
        <f t="array" ref="I8">VLOOKUP(Movies[[#This Row],[movie_id]:[movie_id]],Financials[#All],2,FALSE)</f>
        <v>400</v>
      </c>
      <c r="J8" t="str" cm="1">
        <f t="array" ref="J8">VLOOKUP(Movies[[#This Row],[movie_id]:[movie_id]],Financials[#All],5,FALSE)</f>
        <v>INR</v>
      </c>
      <c r="K8" t="str" cm="1">
        <f t="array" ref="K8">VLOOKUP(Movies[[#This Row],[movie_id]:[movie_id]],Financials[#All],4,FALSE)</f>
        <v>Millions</v>
      </c>
      <c r="L8" cm="1">
        <f t="array" ref="L8">INDEX(Financials[],MATCH(Movies[[#This Row],[movie_id]:[movie_id]],Financials[movie_id]:Financials[movie_id],0),MATCH("Revenue",Financials[#Headers],0))</f>
        <v>2000</v>
      </c>
      <c r="M8" cm="1">
        <f t="array" ref="M8">INDEX(Financials[],MATCH(Movies[[#This Row],[movie_id]:[movie_id]],Financials[[movie_id]:[movie_id]],0),MATCH("budget",Financials[#Headers],0))</f>
        <v>400</v>
      </c>
      <c r="N8" t="str" cm="1">
        <f t="array" ref="N8">_xlfn.IFNA(INDEX(Financials[],MATCH(Movies[[#This Row],[movie_id]:[movie_id]],Financials[[movie_id]:[movie_id]],0),MATCH(Movies[[#Headers],[Currency]],Financials[#Headers],0)),"Not Aavialable")</f>
        <v>INR</v>
      </c>
      <c r="O8" t="str" cm="1">
        <f t="array" ref="O8">INDEX(Financials[],MATCH(Movies[[#This Row],[movie_id]:[movie_id]],Financials[[movie_id]:[movie_id]],0),MATCH(Movies[[#Headers],[Unit]],Financials[#Headers],0))</f>
        <v>Millions</v>
      </c>
      <c r="P8" s="14" t="s">
        <v>199</v>
      </c>
      <c r="Q8" s="10" t="s">
        <v>196</v>
      </c>
    </row>
    <row r="9" spans="1:52" ht="15.6" x14ac:dyDescent="0.3">
      <c r="A9">
        <v>108</v>
      </c>
      <c r="B9" t="s">
        <v>127</v>
      </c>
      <c r="C9" t="s">
        <v>6</v>
      </c>
      <c r="D9">
        <v>2009</v>
      </c>
      <c r="E9">
        <v>8.4</v>
      </c>
      <c r="F9" t="s">
        <v>11</v>
      </c>
      <c r="G9">
        <v>1</v>
      </c>
      <c r="H9" cm="1">
        <f t="array" ref="H9">VLOOKUP(Movies[[#This Row],[movie_id]:[movie_id]],Financials[#All],3,FALSE)</f>
        <v>4000</v>
      </c>
      <c r="I9" cm="1">
        <f t="array" ref="I9">VLOOKUP(Movies[[#This Row],[movie_id]:[movie_id]],Financials[#All],2,FALSE)</f>
        <v>550</v>
      </c>
      <c r="J9" t="str" cm="1">
        <f t="array" ref="J9">VLOOKUP(Movies[[#This Row],[movie_id]:[movie_id]],Financials[#All],5,FALSE)</f>
        <v>INR</v>
      </c>
      <c r="K9" t="str" cm="1">
        <f t="array" ref="K9">VLOOKUP(Movies[[#This Row],[movie_id]:[movie_id]],Financials[#All],4,FALSE)</f>
        <v>Millions</v>
      </c>
      <c r="L9" cm="1">
        <f t="array" ref="L9">INDEX(Financials[],MATCH(Movies[[#This Row],[movie_id]:[movie_id]],Financials[movie_id]:Financials[movie_id],0),MATCH("Revenue",Financials[#Headers],0))</f>
        <v>4000</v>
      </c>
      <c r="M9" cm="1">
        <f t="array" ref="M9">INDEX(Financials[],MATCH(Movies[[#This Row],[movie_id]:[movie_id]],Financials[[movie_id]:[movie_id]],0),MATCH("budget",Financials[#Headers],0))</f>
        <v>550</v>
      </c>
      <c r="N9" t="str" cm="1">
        <f t="array" ref="N9">_xlfn.IFNA(INDEX(Financials[],MATCH(Movies[[#This Row],[movie_id]:[movie_id]],Financials[[movie_id]:[movie_id]],0),MATCH(Movies[[#Headers],[Currency]],Financials[#Headers],0)),"Not Aavialable")</f>
        <v>INR</v>
      </c>
      <c r="O9" t="str" cm="1">
        <f t="array" ref="O9">INDEX(Financials[],MATCH(Movies[[#This Row],[movie_id]:[movie_id]],Financials[[movie_id]:[movie_id]],0),MATCH(Movies[[#Headers],[Unit]],Financials[#Headers],0))</f>
        <v>Millions</v>
      </c>
      <c r="P9" s="14">
        <v>1</v>
      </c>
      <c r="Q9" s="13" t="s">
        <v>206</v>
      </c>
    </row>
    <row r="10" spans="1:52" x14ac:dyDescent="0.3">
      <c r="A10">
        <v>109</v>
      </c>
      <c r="B10" t="s">
        <v>128</v>
      </c>
      <c r="C10" t="s">
        <v>6</v>
      </c>
      <c r="D10">
        <v>2001</v>
      </c>
      <c r="E10">
        <v>7.4</v>
      </c>
      <c r="F10" t="s">
        <v>12</v>
      </c>
      <c r="G10">
        <v>1</v>
      </c>
      <c r="H10" cm="1">
        <f t="array" ref="H10">VLOOKUP(Movies[[#This Row],[movie_id]:[movie_id]],Financials[#All],3,FALSE)</f>
        <v>1360</v>
      </c>
      <c r="I10" cm="1">
        <f t="array" ref="I10">VLOOKUP(Movies[[#This Row],[movie_id]:[movie_id]],Financials[#All],2,FALSE)</f>
        <v>390</v>
      </c>
      <c r="J10" t="str" cm="1">
        <f t="array" ref="J10">VLOOKUP(Movies[[#This Row],[movie_id]:[movie_id]],Financials[#All],5,FALSE)</f>
        <v>INR</v>
      </c>
      <c r="K10" t="str" cm="1">
        <f t="array" ref="K10">VLOOKUP(Movies[[#This Row],[movie_id]:[movie_id]],Financials[#All],4,FALSE)</f>
        <v>Millions</v>
      </c>
      <c r="L10" cm="1">
        <f t="array" ref="L10">INDEX(Financials[],MATCH(Movies[[#This Row],[movie_id]:[movie_id]],Financials[movie_id]:Financials[movie_id],0),MATCH("Revenue",Financials[#Headers],0))</f>
        <v>1360</v>
      </c>
      <c r="M10" cm="1">
        <f t="array" ref="M10">INDEX(Financials[],MATCH(Movies[[#This Row],[movie_id]:[movie_id]],Financials[[movie_id]:[movie_id]],0),MATCH("budget",Financials[#Headers],0))</f>
        <v>390</v>
      </c>
      <c r="N10" t="str" cm="1">
        <f t="array" ref="N10">_xlfn.IFNA(INDEX(Financials[],MATCH(Movies[[#This Row],[movie_id]:[movie_id]],Financials[[movie_id]:[movie_id]],0),MATCH(Movies[[#Headers],[Currency]],Financials[#Headers],0)),"Not Aavialable")</f>
        <v>INR</v>
      </c>
      <c r="O10" t="str" cm="1">
        <f t="array" ref="O10">INDEX(Financials[],MATCH(Movies[[#This Row],[movie_id]:[movie_id]],Financials[[movie_id]:[movie_id]],0),MATCH(Movies[[#Headers],[Unit]],Financials[#Headers],0))</f>
        <v>Millions</v>
      </c>
      <c r="P10" s="14">
        <v>2</v>
      </c>
      <c r="Q10" s="12" t="s">
        <v>203</v>
      </c>
    </row>
    <row r="11" spans="1:52" ht="15.6" x14ac:dyDescent="0.3">
      <c r="A11">
        <v>110</v>
      </c>
      <c r="B11" t="s">
        <v>129</v>
      </c>
      <c r="C11" t="s">
        <v>6</v>
      </c>
      <c r="D11">
        <v>2015</v>
      </c>
      <c r="E11">
        <v>7.2</v>
      </c>
      <c r="F11" t="s">
        <v>114</v>
      </c>
      <c r="G11">
        <v>1</v>
      </c>
      <c r="H11" cm="1">
        <f t="array" ref="H11">VLOOKUP(Movies[[#This Row],[movie_id]:[movie_id]],Financials[#All],3,FALSE)</f>
        <v>3.5</v>
      </c>
      <c r="I11" cm="1">
        <f t="array" ref="I11">VLOOKUP(Movies[[#This Row],[movie_id]:[movie_id]],Financials[#All],2,FALSE)</f>
        <v>1.4</v>
      </c>
      <c r="J11" t="str" cm="1">
        <f t="array" ref="J11">VLOOKUP(Movies[[#This Row],[movie_id]:[movie_id]],Financials[#All],5,FALSE)</f>
        <v>INR</v>
      </c>
      <c r="K11" t="str" cm="1">
        <f t="array" ref="K11">VLOOKUP(Movies[[#This Row],[movie_id]:[movie_id]],Financials[#All],4,FALSE)</f>
        <v>Billions</v>
      </c>
      <c r="L11" cm="1">
        <f t="array" ref="L11">INDEX(Financials[],MATCH(Movies[[#This Row],[movie_id]:[movie_id]],Financials[movie_id]:Financials[movie_id],0),MATCH("Revenue",Financials[#Headers],0))</f>
        <v>3.5</v>
      </c>
      <c r="M11" cm="1">
        <f t="array" ref="M11">INDEX(Financials[],MATCH(Movies[[#This Row],[movie_id]:[movie_id]],Financials[[movie_id]:[movie_id]],0),MATCH("budget",Financials[#Headers],0))</f>
        <v>1.4</v>
      </c>
      <c r="N11" t="str" cm="1">
        <f t="array" ref="N11">_xlfn.IFNA(INDEX(Financials[],MATCH(Movies[[#This Row],[movie_id]:[movie_id]],Financials[[movie_id]:[movie_id]],0),MATCH(Movies[[#Headers],[Currency]],Financials[#Headers],0)),"Not Aavialable")</f>
        <v>INR</v>
      </c>
      <c r="O11" t="str" cm="1">
        <f t="array" ref="O11">INDEX(Financials[],MATCH(Movies[[#This Row],[movie_id]:[movie_id]],Financials[[movie_id]:[movie_id]],0),MATCH(Movies[[#Headers],[Unit]],Financials[#Headers],0))</f>
        <v>Billions</v>
      </c>
      <c r="P11" s="16">
        <v>3</v>
      </c>
      <c r="Q11" s="13" t="s">
        <v>222</v>
      </c>
    </row>
    <row r="12" spans="1:52" ht="28.8" x14ac:dyDescent="0.3">
      <c r="A12">
        <v>111</v>
      </c>
      <c r="B12" t="s">
        <v>130</v>
      </c>
      <c r="C12" t="s">
        <v>7</v>
      </c>
      <c r="D12">
        <v>1994</v>
      </c>
      <c r="E12">
        <v>9.3000000000000007</v>
      </c>
      <c r="F12" t="s">
        <v>13</v>
      </c>
      <c r="G12">
        <v>5</v>
      </c>
      <c r="H12" cm="1">
        <f t="array" ref="H12">VLOOKUP(Movies[[#This Row],[movie_id]:[movie_id]],Financials[#All],3,FALSE)</f>
        <v>73.3</v>
      </c>
      <c r="I12" cm="1">
        <f t="array" ref="I12">VLOOKUP(Movies[[#This Row],[movie_id]:[movie_id]],Financials[#All],2,FALSE)</f>
        <v>25</v>
      </c>
      <c r="J12" t="str" cm="1">
        <f t="array" ref="J12">VLOOKUP(Movies[[#This Row],[movie_id]:[movie_id]],Financials[#All],5,FALSE)</f>
        <v>USD</v>
      </c>
      <c r="K12" t="str" cm="1">
        <f t="array" ref="K12">VLOOKUP(Movies[[#This Row],[movie_id]:[movie_id]],Financials[#All],4,FALSE)</f>
        <v>Millions</v>
      </c>
      <c r="L12" cm="1">
        <f t="array" ref="L12">INDEX(Financials[],MATCH(Movies[[#This Row],[movie_id]:[movie_id]],Financials[movie_id]:Financials[movie_id],0),MATCH("Revenue",Financials[#Headers],0))</f>
        <v>73.3</v>
      </c>
      <c r="M12" cm="1">
        <f t="array" ref="M12">INDEX(Financials[],MATCH(Movies[[#This Row],[movie_id]:[movie_id]],Financials[[movie_id]:[movie_id]],0),MATCH("budget",Financials[#Headers],0))</f>
        <v>25</v>
      </c>
      <c r="N12" t="str" cm="1">
        <f t="array" ref="N12">_xlfn.IFNA(INDEX(Financials[],MATCH(Movies[[#This Row],[movie_id]:[movie_id]],Financials[[movie_id]:[movie_id]],0),MATCH(Movies[[#Headers],[Currency]],Financials[#Headers],0)),"Not Aavialable")</f>
        <v>USD</v>
      </c>
      <c r="O12" t="str" cm="1">
        <f t="array" ref="O12">INDEX(Financials[],MATCH(Movies[[#This Row],[movie_id]:[movie_id]],Financials[[movie_id]:[movie_id]],0),MATCH(Movies[[#Headers],[Unit]],Financials[#Headers],0))</f>
        <v>Millions</v>
      </c>
      <c r="Q12" s="17" t="s">
        <v>207</v>
      </c>
    </row>
    <row r="13" spans="1:52" x14ac:dyDescent="0.3">
      <c r="A13">
        <v>112</v>
      </c>
      <c r="B13" t="s">
        <v>131</v>
      </c>
      <c r="C13" t="s">
        <v>7</v>
      </c>
      <c r="D13">
        <v>2010</v>
      </c>
      <c r="E13">
        <v>8.8000000000000007</v>
      </c>
      <c r="F13" t="s">
        <v>14</v>
      </c>
      <c r="G13">
        <v>5</v>
      </c>
      <c r="H13" t="e" cm="1">
        <f t="array" ref="H13">VLOOKUP(Movies[[#This Row],[movie_id]:[movie_id]],Financials[#All],3,FALSE)</f>
        <v>#N/A</v>
      </c>
      <c r="I13" t="e" cm="1">
        <f t="array" ref="I13">VLOOKUP(Movies[[#This Row],[movie_id]:[movie_id]],Financials[#All],2,FALSE)</f>
        <v>#N/A</v>
      </c>
      <c r="J13" t="e" cm="1">
        <f t="array" ref="J13">VLOOKUP(Movies[[#This Row],[movie_id]:[movie_id]],Financials[#All],5,FALSE)</f>
        <v>#N/A</v>
      </c>
      <c r="K13" t="e" cm="1">
        <f t="array" ref="K13">VLOOKUP(Movies[[#This Row],[movie_id]:[movie_id]],Financials[#All],4,FALSE)</f>
        <v>#N/A</v>
      </c>
      <c r="L13" t="e" cm="1">
        <f t="array" ref="L13">INDEX(Financials[],MATCH(Movies[[#This Row],[movie_id]:[movie_id]],Financials[movie_id]:Financials[movie_id],0),MATCH("Revenue",Financials[#Headers],0))</f>
        <v>#N/A</v>
      </c>
      <c r="M13" t="e" cm="1">
        <f t="array" ref="M13">INDEX(Financials[],MATCH(Movies[[#This Row],[movie_id]:[movie_id]],Financials[[movie_id]:[movie_id]],0),MATCH("budget",Financials[#Headers],0))</f>
        <v>#N/A</v>
      </c>
      <c r="N13" t="str" cm="1">
        <f t="array" ref="N13">_xlfn.IFNA(INDEX(Financials[],MATCH(Movies[[#This Row],[movie_id]:[movie_id]],Financials[[movie_id]:[movie_id]],0),MATCH(Movies[[#Headers],[Currency]],Financials[#Headers],0)),"Not Aavialable")</f>
        <v>Not Aavialable</v>
      </c>
      <c r="O13" t="e" cm="1">
        <f t="array" ref="O13">INDEX(Financials[],MATCH(Movies[[#This Row],[movie_id]:[movie_id]],Financials[[movie_id]:[movie_id]],0),MATCH(Movies[[#Headers],[Unit]],Financials[#Headers],0))</f>
        <v>#N/A</v>
      </c>
    </row>
    <row r="14" spans="1:52" x14ac:dyDescent="0.3">
      <c r="A14">
        <v>113</v>
      </c>
      <c r="B14" t="s">
        <v>132</v>
      </c>
      <c r="C14" t="s">
        <v>7</v>
      </c>
      <c r="D14">
        <v>2014</v>
      </c>
      <c r="E14">
        <v>8.6</v>
      </c>
      <c r="F14" t="s">
        <v>14</v>
      </c>
      <c r="G14">
        <v>5</v>
      </c>
      <c r="H14" cm="1">
        <f t="array" ref="H14">VLOOKUP(Movies[[#This Row],[movie_id]:[movie_id]],Financials[#All],3,FALSE)</f>
        <v>701.8</v>
      </c>
      <c r="I14" cm="1">
        <f t="array" ref="I14">VLOOKUP(Movies[[#This Row],[movie_id]:[movie_id]],Financials[#All],2,FALSE)</f>
        <v>165</v>
      </c>
      <c r="J14" t="str" cm="1">
        <f t="array" ref="J14">VLOOKUP(Movies[[#This Row],[movie_id]:[movie_id]],Financials[#All],5,FALSE)</f>
        <v>USD</v>
      </c>
      <c r="K14" t="str" cm="1">
        <f t="array" ref="K14">VLOOKUP(Movies[[#This Row],[movie_id]:[movie_id]],Financials[#All],4,FALSE)</f>
        <v>Millions</v>
      </c>
      <c r="L14" cm="1">
        <f t="array" ref="L14">INDEX(Financials[],MATCH(Movies[[#This Row],[movie_id]:[movie_id]],Financials[movie_id]:Financials[movie_id],0),MATCH("Revenue",Financials[#Headers],0))</f>
        <v>701.8</v>
      </c>
      <c r="M14" cm="1">
        <f t="array" ref="M14">INDEX(Financials[],MATCH(Movies[[#This Row],[movie_id]:[movie_id]],Financials[[movie_id]:[movie_id]],0),MATCH("budget",Financials[#Headers],0))</f>
        <v>165</v>
      </c>
      <c r="N14" t="str" cm="1">
        <f t="array" ref="N14">_xlfn.IFNA(INDEX(Financials[],MATCH(Movies[[#This Row],[movie_id]:[movie_id]],Financials[[movie_id]:[movie_id]],0),MATCH(Movies[[#Headers],[Currency]],Financials[#Headers],0)),"Not Aavialable")</f>
        <v>USD</v>
      </c>
      <c r="O14" t="str" cm="1">
        <f t="array" ref="O14">INDEX(Financials[],MATCH(Movies[[#This Row],[movie_id]:[movie_id]],Financials[[movie_id]:[movie_id]],0),MATCH(Movies[[#Headers],[Unit]],Financials[#Headers],0))</f>
        <v>Millions</v>
      </c>
    </row>
    <row r="15" spans="1:52" x14ac:dyDescent="0.3">
      <c r="A15">
        <v>115</v>
      </c>
      <c r="B15" t="s">
        <v>133</v>
      </c>
      <c r="C15" t="s">
        <v>7</v>
      </c>
      <c r="D15">
        <v>2006</v>
      </c>
      <c r="E15">
        <v>8</v>
      </c>
      <c r="F15" t="s">
        <v>15</v>
      </c>
      <c r="G15">
        <v>5</v>
      </c>
      <c r="H15" cm="1">
        <f t="array" ref="H15">VLOOKUP(Movies[[#This Row],[movie_id]:[movie_id]],Financials[#All],3,FALSE)</f>
        <v>307.10000000000002</v>
      </c>
      <c r="I15" cm="1">
        <f t="array" ref="I15">VLOOKUP(Movies[[#This Row],[movie_id]:[movie_id]],Financials[#All],2,FALSE)</f>
        <v>55</v>
      </c>
      <c r="J15" t="str" cm="1">
        <f t="array" ref="J15">VLOOKUP(Movies[[#This Row],[movie_id]:[movie_id]],Financials[#All],5,FALSE)</f>
        <v>USD</v>
      </c>
      <c r="K15" t="str" cm="1">
        <f t="array" ref="K15">VLOOKUP(Movies[[#This Row],[movie_id]:[movie_id]],Financials[#All],4,FALSE)</f>
        <v>Millions</v>
      </c>
      <c r="L15" cm="1">
        <f t="array" ref="L15">INDEX(Financials[],MATCH(Movies[[#This Row],[movie_id]:[movie_id]],Financials[movie_id]:Financials[movie_id],0),MATCH("Revenue",Financials[#Headers],0))</f>
        <v>307.10000000000002</v>
      </c>
      <c r="M15" cm="1">
        <f t="array" ref="M15">INDEX(Financials[],MATCH(Movies[[#This Row],[movie_id]:[movie_id]],Financials[[movie_id]:[movie_id]],0),MATCH("budget",Financials[#Headers],0))</f>
        <v>55</v>
      </c>
      <c r="N15" t="str" cm="1">
        <f t="array" ref="N15">_xlfn.IFNA(INDEX(Financials[],MATCH(Movies[[#This Row],[movie_id]:[movie_id]],Financials[[movie_id]:[movie_id]],0),MATCH(Movies[[#Headers],[Currency]],Financials[#Headers],0)),"Not Aavialable")</f>
        <v>USD</v>
      </c>
      <c r="O15" t="str" cm="1">
        <f t="array" ref="O15">INDEX(Financials[],MATCH(Movies[[#This Row],[movie_id]:[movie_id]],Financials[[movie_id]:[movie_id]],0),MATCH(Movies[[#Headers],[Unit]],Financials[#Headers],0))</f>
        <v>Millions</v>
      </c>
      <c r="Q15" s="11" t="s">
        <v>198</v>
      </c>
    </row>
    <row r="16" spans="1:52" x14ac:dyDescent="0.3">
      <c r="A16">
        <v>116</v>
      </c>
      <c r="B16" t="s">
        <v>134</v>
      </c>
      <c r="C16" t="s">
        <v>7</v>
      </c>
      <c r="D16">
        <v>2000</v>
      </c>
      <c r="E16">
        <v>8.5</v>
      </c>
      <c r="F16" t="s">
        <v>20</v>
      </c>
      <c r="G16">
        <v>5</v>
      </c>
      <c r="H16" cm="1">
        <f t="array" ref="H16">VLOOKUP(Movies[[#This Row],[movie_id]:[movie_id]],Financials[#All],3,FALSE)</f>
        <v>460.5</v>
      </c>
      <c r="I16" cm="1">
        <f t="array" ref="I16">VLOOKUP(Movies[[#This Row],[movie_id]:[movie_id]],Financials[#All],2,FALSE)</f>
        <v>103</v>
      </c>
      <c r="J16" t="str" cm="1">
        <f t="array" ref="J16">VLOOKUP(Movies[[#This Row],[movie_id]:[movie_id]],Financials[#All],5,FALSE)</f>
        <v>USD</v>
      </c>
      <c r="K16" t="str" cm="1">
        <f t="array" ref="K16">VLOOKUP(Movies[[#This Row],[movie_id]:[movie_id]],Financials[#All],4,FALSE)</f>
        <v>Millions</v>
      </c>
      <c r="L16" cm="1">
        <f t="array" ref="L16">INDEX(Financials[],MATCH(Movies[[#This Row],[movie_id]:[movie_id]],Financials[movie_id]:Financials[movie_id],0),MATCH("Revenue",Financials[#Headers],0))</f>
        <v>460.5</v>
      </c>
      <c r="M16" cm="1">
        <f t="array" ref="M16">INDEX(Financials[],MATCH(Movies[[#This Row],[movie_id]:[movie_id]],Financials[[movie_id]:[movie_id]],0),MATCH("budget",Financials[#Headers],0))</f>
        <v>103</v>
      </c>
      <c r="N16" t="str" cm="1">
        <f t="array" ref="N16">_xlfn.IFNA(INDEX(Financials[],MATCH(Movies[[#This Row],[movie_id]:[movie_id]],Financials[[movie_id]:[movie_id]],0),MATCH(Movies[[#Headers],[Currency]],Financials[#Headers],0)),"Not Aavialable")</f>
        <v>USD</v>
      </c>
      <c r="O16" t="str" cm="1">
        <f t="array" ref="O16">INDEX(Financials[],MATCH(Movies[[#This Row],[movie_id]:[movie_id]],Financials[[movie_id]:[movie_id]],0),MATCH(Movies[[#Headers],[Unit]],Financials[#Headers],0))</f>
        <v>Millions</v>
      </c>
      <c r="Q16" s="11" t="s">
        <v>172</v>
      </c>
    </row>
    <row r="17" spans="1:17" x14ac:dyDescent="0.3">
      <c r="A17">
        <v>117</v>
      </c>
      <c r="B17" t="s">
        <v>135</v>
      </c>
      <c r="C17" t="s">
        <v>7</v>
      </c>
      <c r="D17">
        <v>1997</v>
      </c>
      <c r="E17">
        <v>7.9</v>
      </c>
      <c r="F17" t="s">
        <v>16</v>
      </c>
      <c r="G17">
        <v>5</v>
      </c>
      <c r="H17" cm="1">
        <f t="array" ref="H17">VLOOKUP(Movies[[#This Row],[movie_id]:[movie_id]],Financials[#All],3,FALSE)</f>
        <v>2202</v>
      </c>
      <c r="I17" cm="1">
        <f t="array" ref="I17">VLOOKUP(Movies[[#This Row],[movie_id]:[movie_id]],Financials[#All],2,FALSE)</f>
        <v>200</v>
      </c>
      <c r="J17" t="str" cm="1">
        <f t="array" ref="J17">VLOOKUP(Movies[[#This Row],[movie_id]:[movie_id]],Financials[#All],5,FALSE)</f>
        <v>USD</v>
      </c>
      <c r="K17" t="str" cm="1">
        <f t="array" ref="K17">VLOOKUP(Movies[[#This Row],[movie_id]:[movie_id]],Financials[#All],4,FALSE)</f>
        <v>Millions</v>
      </c>
      <c r="L17" cm="1">
        <f t="array" ref="L17">INDEX(Financials[],MATCH(Movies[[#This Row],[movie_id]:[movie_id]],Financials[movie_id]:Financials[movie_id],0),MATCH("Revenue",Financials[#Headers],0))</f>
        <v>2202</v>
      </c>
      <c r="M17" cm="1">
        <f t="array" ref="M17">INDEX(Financials[],MATCH(Movies[[#This Row],[movie_id]:[movie_id]],Financials[[movie_id]:[movie_id]],0),MATCH("budget",Financials[#Headers],0))</f>
        <v>200</v>
      </c>
      <c r="N17" t="str" cm="1">
        <f t="array" ref="N17">_xlfn.IFNA(INDEX(Financials[],MATCH(Movies[[#This Row],[movie_id]:[movie_id]],Financials[[movie_id]:[movie_id]],0),MATCH(Movies[[#Headers],[Currency]],Financials[#Headers],0)),"Not Aavialable")</f>
        <v>USD</v>
      </c>
      <c r="O17" t="str" cm="1">
        <f t="array" ref="O17">INDEX(Financials[],MATCH(Movies[[#This Row],[movie_id]:[movie_id]],Financials[[movie_id]:[movie_id]],0),MATCH(Movies[[#Headers],[Unit]],Financials[#Headers],0))</f>
        <v>Millions</v>
      </c>
    </row>
    <row r="18" spans="1:17" x14ac:dyDescent="0.3">
      <c r="A18">
        <v>118</v>
      </c>
      <c r="B18" t="s">
        <v>136</v>
      </c>
      <c r="C18" t="s">
        <v>7</v>
      </c>
      <c r="D18">
        <v>1946</v>
      </c>
      <c r="E18">
        <v>8.6</v>
      </c>
      <c r="F18" t="s">
        <v>17</v>
      </c>
      <c r="G18">
        <v>5</v>
      </c>
      <c r="H18" cm="1">
        <f t="array" ref="H18">VLOOKUP(Movies[[#This Row],[movie_id]:[movie_id]],Financials[#All],3,FALSE)</f>
        <v>3.3</v>
      </c>
      <c r="I18" cm="1">
        <f t="array" ref="I18">VLOOKUP(Movies[[#This Row],[movie_id]:[movie_id]],Financials[#All],2,FALSE)</f>
        <v>3.18</v>
      </c>
      <c r="J18" t="str" cm="1">
        <f t="array" ref="J18">VLOOKUP(Movies[[#This Row],[movie_id]:[movie_id]],Financials[#All],5,FALSE)</f>
        <v>USD</v>
      </c>
      <c r="K18" t="str" cm="1">
        <f t="array" ref="K18">VLOOKUP(Movies[[#This Row],[movie_id]:[movie_id]],Financials[#All],4,FALSE)</f>
        <v>Millions</v>
      </c>
      <c r="L18" cm="1">
        <f t="array" ref="L18">INDEX(Financials[],MATCH(Movies[[#This Row],[movie_id]:[movie_id]],Financials[movie_id]:Financials[movie_id],0),MATCH("Revenue",Financials[#Headers],0))</f>
        <v>3.3</v>
      </c>
      <c r="M18" cm="1">
        <f t="array" ref="M18">INDEX(Financials[],MATCH(Movies[[#This Row],[movie_id]:[movie_id]],Financials[[movie_id]:[movie_id]],0),MATCH("budget",Financials[#Headers],0))</f>
        <v>3.18</v>
      </c>
      <c r="N18" t="str" cm="1">
        <f t="array" ref="N18">_xlfn.IFNA(INDEX(Financials[],MATCH(Movies[[#This Row],[movie_id]:[movie_id]],Financials[[movie_id]:[movie_id]],0),MATCH(Movies[[#Headers],[Currency]],Financials[#Headers],0)),"Not Aavialable")</f>
        <v>USD</v>
      </c>
      <c r="O18" t="str" cm="1">
        <f t="array" ref="O18">INDEX(Financials[],MATCH(Movies[[#This Row],[movie_id]:[movie_id]],Financials[[movie_id]:[movie_id]],0),MATCH(Movies[[#Headers],[Unit]],Financials[#Headers],0))</f>
        <v>Millions</v>
      </c>
    </row>
    <row r="19" spans="1:17" x14ac:dyDescent="0.3">
      <c r="A19">
        <v>119</v>
      </c>
      <c r="B19" t="s">
        <v>137</v>
      </c>
      <c r="C19" t="s">
        <v>7</v>
      </c>
      <c r="D19">
        <v>2009</v>
      </c>
      <c r="E19">
        <v>7.8</v>
      </c>
      <c r="F19" t="s">
        <v>18</v>
      </c>
      <c r="G19">
        <v>5</v>
      </c>
      <c r="H19" cm="1">
        <f t="array" ref="H19">VLOOKUP(Movies[[#This Row],[movie_id]:[movie_id]],Financials[#All],3,FALSE)</f>
        <v>2847</v>
      </c>
      <c r="I19" cm="1">
        <f t="array" ref="I19">VLOOKUP(Movies[[#This Row],[movie_id]:[movie_id]],Financials[#All],2,FALSE)</f>
        <v>237</v>
      </c>
      <c r="J19" t="str" cm="1">
        <f t="array" ref="J19">VLOOKUP(Movies[[#This Row],[movie_id]:[movie_id]],Financials[#All],5,FALSE)</f>
        <v>USD</v>
      </c>
      <c r="K19" t="str" cm="1">
        <f t="array" ref="K19">VLOOKUP(Movies[[#This Row],[movie_id]:[movie_id]],Financials[#All],4,FALSE)</f>
        <v>Millions</v>
      </c>
      <c r="L19" cm="1">
        <f t="array" ref="L19">INDEX(Financials[],MATCH(Movies[[#This Row],[movie_id]:[movie_id]],Financials[movie_id]:Financials[movie_id],0),MATCH("Revenue",Financials[#Headers],0))</f>
        <v>2847</v>
      </c>
      <c r="M19" cm="1">
        <f t="array" ref="M19">INDEX(Financials[],MATCH(Movies[[#This Row],[movie_id]:[movie_id]],Financials[[movie_id]:[movie_id]],0),MATCH("budget",Financials[#Headers],0))</f>
        <v>237</v>
      </c>
      <c r="N19" t="str" cm="1">
        <f t="array" ref="N19">_xlfn.IFNA(INDEX(Financials[],MATCH(Movies[[#This Row],[movie_id]:[movie_id]],Financials[[movie_id]:[movie_id]],0),MATCH(Movies[[#Headers],[Currency]],Financials[#Headers],0)),"Not Aavialable")</f>
        <v>USD</v>
      </c>
      <c r="O19" t="str" cm="1">
        <f t="array" ref="O19">INDEX(Financials[],MATCH(Movies[[#This Row],[movie_id]:[movie_id]],Financials[[movie_id]:[movie_id]],0),MATCH(Movies[[#Headers],[Unit]],Financials[#Headers],0))</f>
        <v>Millions</v>
      </c>
    </row>
    <row r="20" spans="1:17" x14ac:dyDescent="0.3">
      <c r="A20">
        <v>120</v>
      </c>
      <c r="B20" t="s">
        <v>138</v>
      </c>
      <c r="C20" t="s">
        <v>7</v>
      </c>
      <c r="D20">
        <v>1972</v>
      </c>
      <c r="E20">
        <v>9.1999999999999993</v>
      </c>
      <c r="F20" t="s">
        <v>16</v>
      </c>
      <c r="G20">
        <v>5</v>
      </c>
      <c r="H20" cm="1">
        <f t="array" ref="H20">VLOOKUP(Movies[[#This Row],[movie_id]:[movie_id]],Financials[#All],3,FALSE)</f>
        <v>291</v>
      </c>
      <c r="I20" cm="1">
        <f t="array" ref="I20">VLOOKUP(Movies[[#This Row],[movie_id]:[movie_id]],Financials[#All],2,FALSE)</f>
        <v>7.2</v>
      </c>
      <c r="J20" t="str" cm="1">
        <f t="array" ref="J20">VLOOKUP(Movies[[#This Row],[movie_id]:[movie_id]],Financials[#All],5,FALSE)</f>
        <v>USD</v>
      </c>
      <c r="K20" t="str" cm="1">
        <f t="array" ref="K20">VLOOKUP(Movies[[#This Row],[movie_id]:[movie_id]],Financials[#All],4,FALSE)</f>
        <v>Millions</v>
      </c>
      <c r="L20" cm="1">
        <f t="array" ref="L20">INDEX(Financials[],MATCH(Movies[[#This Row],[movie_id]:[movie_id]],Financials[movie_id]:Financials[movie_id],0),MATCH("Revenue",Financials[#Headers],0))</f>
        <v>291</v>
      </c>
      <c r="M20" cm="1">
        <f t="array" ref="M20">INDEX(Financials[],MATCH(Movies[[#This Row],[movie_id]:[movie_id]],Financials[[movie_id]:[movie_id]],0),MATCH("budget",Financials[#Headers],0))</f>
        <v>7.2</v>
      </c>
      <c r="N20" t="str" cm="1">
        <f t="array" ref="N20">_xlfn.IFNA(INDEX(Financials[],MATCH(Movies[[#This Row],[movie_id]:[movie_id]],Financials[[movie_id]:[movie_id]],0),MATCH(Movies[[#Headers],[Currency]],Financials[#Headers],0)),"Not Aavialable")</f>
        <v>USD</v>
      </c>
      <c r="O20" t="str" cm="1">
        <f t="array" ref="O20">INDEX(Financials[],MATCH(Movies[[#This Row],[movie_id]:[movie_id]],Financials[[movie_id]:[movie_id]],0),MATCH(Movies[[#Headers],[Unit]],Financials[#Headers],0))</f>
        <v>Millions</v>
      </c>
      <c r="P20" s="19" t="s">
        <v>209</v>
      </c>
      <c r="Q20" s="5" t="s">
        <v>208</v>
      </c>
    </row>
    <row r="21" spans="1:17" ht="15.6" x14ac:dyDescent="0.3">
      <c r="A21">
        <v>121</v>
      </c>
      <c r="B21" t="s">
        <v>139</v>
      </c>
      <c r="C21" t="s">
        <v>7</v>
      </c>
      <c r="D21">
        <v>2008</v>
      </c>
      <c r="E21">
        <v>9</v>
      </c>
      <c r="F21" t="s">
        <v>19</v>
      </c>
      <c r="G21">
        <v>5</v>
      </c>
      <c r="H21" cm="1">
        <f t="array" ref="H21">VLOOKUP(Movies[[#This Row],[movie_id]:[movie_id]],Financials[#All],3,FALSE)</f>
        <v>1006</v>
      </c>
      <c r="I21" cm="1">
        <f t="array" ref="I21">VLOOKUP(Movies[[#This Row],[movie_id]:[movie_id]],Financials[#All],2,FALSE)</f>
        <v>185</v>
      </c>
      <c r="J21" t="str" cm="1">
        <f t="array" ref="J21">VLOOKUP(Movies[[#This Row],[movie_id]:[movie_id]],Financials[#All],5,FALSE)</f>
        <v>USD</v>
      </c>
      <c r="K21" t="str" cm="1">
        <f t="array" ref="K21">VLOOKUP(Movies[[#This Row],[movie_id]:[movie_id]],Financials[#All],4,FALSE)</f>
        <v>Millions</v>
      </c>
      <c r="L21" cm="1">
        <f t="array" ref="L21">INDEX(Financials[],MATCH(Movies[[#This Row],[movie_id]:[movie_id]],Financials[movie_id]:Financials[movie_id],0),MATCH("Revenue",Financials[#Headers],0))</f>
        <v>1006</v>
      </c>
      <c r="M21" cm="1">
        <f t="array" ref="M21">INDEX(Financials[],MATCH(Movies[[#This Row],[movie_id]:[movie_id]],Financials[[movie_id]:[movie_id]],0),MATCH("budget",Financials[#Headers],0))</f>
        <v>185</v>
      </c>
      <c r="N21" t="str" cm="1">
        <f t="array" ref="N21">_xlfn.IFNA(INDEX(Financials[],MATCH(Movies[[#This Row],[movie_id]:[movie_id]],Financials[[movie_id]:[movie_id]],0),MATCH(Movies[[#Headers],[Currency]],Financials[#Headers],0)),"Not Aavialable")</f>
        <v>USD</v>
      </c>
      <c r="O21" t="str" cm="1">
        <f t="array" ref="O21">INDEX(Financials[],MATCH(Movies[[#This Row],[movie_id]:[movie_id]],Financials[[movie_id]:[movie_id]],0),MATCH(Movies[[#Headers],[Unit]],Financials[#Headers],0))</f>
        <v>Millions</v>
      </c>
      <c r="Q21" s="18" t="s">
        <v>210</v>
      </c>
    </row>
    <row r="22" spans="1:17" x14ac:dyDescent="0.3">
      <c r="A22">
        <v>122</v>
      </c>
      <c r="B22" t="s">
        <v>140</v>
      </c>
      <c r="C22" t="s">
        <v>7</v>
      </c>
      <c r="D22">
        <v>1993</v>
      </c>
      <c r="E22">
        <v>9</v>
      </c>
      <c r="F22" t="s">
        <v>20</v>
      </c>
      <c r="G22">
        <v>5</v>
      </c>
      <c r="H22" cm="1">
        <f t="array" ref="H22">VLOOKUP(Movies[[#This Row],[movie_id]:[movie_id]],Financials[#All],3,FALSE)</f>
        <v>322.2</v>
      </c>
      <c r="I22" cm="1">
        <f t="array" ref="I22">VLOOKUP(Movies[[#This Row],[movie_id]:[movie_id]],Financials[#All],2,FALSE)</f>
        <v>22</v>
      </c>
      <c r="J22" t="str" cm="1">
        <f t="array" ref="J22">VLOOKUP(Movies[[#This Row],[movie_id]:[movie_id]],Financials[#All],5,FALSE)</f>
        <v>USD</v>
      </c>
      <c r="K22" t="str" cm="1">
        <f t="array" ref="K22">VLOOKUP(Movies[[#This Row],[movie_id]:[movie_id]],Financials[#All],4,FALSE)</f>
        <v>Millions</v>
      </c>
      <c r="L22" cm="1">
        <f t="array" ref="L22">INDEX(Financials[],MATCH(Movies[[#This Row],[movie_id]:[movie_id]],Financials[movie_id]:Financials[movie_id],0),MATCH("Revenue",Financials[#Headers],0))</f>
        <v>322.2</v>
      </c>
      <c r="M22" cm="1">
        <f t="array" ref="M22">INDEX(Financials[],MATCH(Movies[[#This Row],[movie_id]:[movie_id]],Financials[[movie_id]:[movie_id]],0),MATCH("budget",Financials[#Headers],0))</f>
        <v>22</v>
      </c>
      <c r="N22" t="str" cm="1">
        <f t="array" ref="N22">_xlfn.IFNA(INDEX(Financials[],MATCH(Movies[[#This Row],[movie_id]:[movie_id]],Financials[[movie_id]:[movie_id]],0),MATCH(Movies[[#Headers],[Currency]],Financials[#Headers],0)),"Not Aavialable")</f>
        <v>USD</v>
      </c>
      <c r="O22" t="str" cm="1">
        <f t="array" ref="O22">INDEX(Financials[],MATCH(Movies[[#This Row],[movie_id]:[movie_id]],Financials[[movie_id]:[movie_id]],0),MATCH(Movies[[#Headers],[Unit]],Financials[#Headers],0))</f>
        <v>Millions</v>
      </c>
      <c r="P22" s="14" t="s">
        <v>199</v>
      </c>
    </row>
    <row r="23" spans="1:17" ht="31.2" x14ac:dyDescent="0.3">
      <c r="A23">
        <v>123</v>
      </c>
      <c r="B23" t="s">
        <v>141</v>
      </c>
      <c r="C23" t="s">
        <v>7</v>
      </c>
      <c r="D23">
        <v>1993</v>
      </c>
      <c r="E23">
        <v>8.1999999999999993</v>
      </c>
      <c r="F23" t="s">
        <v>20</v>
      </c>
      <c r="G23">
        <v>5</v>
      </c>
      <c r="H23" cm="1">
        <f t="array" ref="H23">VLOOKUP(Movies[[#This Row],[movie_id]:[movie_id]],Financials[#All],3,FALSE)</f>
        <v>1046</v>
      </c>
      <c r="I23" cm="1">
        <f t="array" ref="I23">VLOOKUP(Movies[[#This Row],[movie_id]:[movie_id]],Financials[#All],2,FALSE)</f>
        <v>63</v>
      </c>
      <c r="J23" t="str" cm="1">
        <f t="array" ref="J23">VLOOKUP(Movies[[#This Row],[movie_id]:[movie_id]],Financials[#All],5,FALSE)</f>
        <v>USD</v>
      </c>
      <c r="K23" t="str" cm="1">
        <f t="array" ref="K23">VLOOKUP(Movies[[#This Row],[movie_id]:[movie_id]],Financials[#All],4,FALSE)</f>
        <v>Millions</v>
      </c>
      <c r="L23" cm="1">
        <f t="array" ref="L23">INDEX(Financials[],MATCH(Movies[[#This Row],[movie_id]:[movie_id]],Financials[movie_id]:Financials[movie_id],0),MATCH("Revenue",Financials[#Headers],0))</f>
        <v>1046</v>
      </c>
      <c r="M23" cm="1">
        <f t="array" ref="M23">INDEX(Financials[],MATCH(Movies[[#This Row],[movie_id]:[movie_id]],Financials[[movie_id]:[movie_id]],0),MATCH("budget",Financials[#Headers],0))</f>
        <v>63</v>
      </c>
      <c r="N23" t="str" cm="1">
        <f t="array" ref="N23">_xlfn.IFNA(INDEX(Financials[],MATCH(Movies[[#This Row],[movie_id]:[movie_id]],Financials[[movie_id]:[movie_id]],0),MATCH(Movies[[#Headers],[Currency]],Financials[#Headers],0)),"Not Aavialable")</f>
        <v>USD</v>
      </c>
      <c r="O23" t="str" cm="1">
        <f t="array" ref="O23">INDEX(Financials[],MATCH(Movies[[#This Row],[movie_id]:[movie_id]],Financials[[movie_id]:[movie_id]],0),MATCH(Movies[[#Headers],[Unit]],Financials[#Headers],0))</f>
        <v>Millions</v>
      </c>
      <c r="P23" s="16">
        <v>1</v>
      </c>
      <c r="Q23" s="20" t="s">
        <v>211</v>
      </c>
    </row>
    <row r="24" spans="1:17" ht="15.6" x14ac:dyDescent="0.3">
      <c r="A24">
        <v>124</v>
      </c>
      <c r="B24" t="s">
        <v>142</v>
      </c>
      <c r="C24" t="s">
        <v>7</v>
      </c>
      <c r="D24">
        <v>2019</v>
      </c>
      <c r="E24">
        <v>8.5</v>
      </c>
      <c r="F24" t="s">
        <v>114</v>
      </c>
      <c r="G24">
        <v>5</v>
      </c>
      <c r="H24" cm="1">
        <f t="array" ref="H24">VLOOKUP(Movies[[#This Row],[movie_id]:[movie_id]],Financials[#All],3,FALSE)</f>
        <v>263.10000000000002</v>
      </c>
      <c r="I24" cm="1">
        <f t="array" ref="I24">VLOOKUP(Movies[[#This Row],[movie_id]:[movie_id]],Financials[#All],2,FALSE)</f>
        <v>15.5</v>
      </c>
      <c r="J24" t="str" cm="1">
        <f t="array" ref="J24">VLOOKUP(Movies[[#This Row],[movie_id]:[movie_id]],Financials[#All],5,FALSE)</f>
        <v>USD</v>
      </c>
      <c r="K24" t="str" cm="1">
        <f t="array" ref="K24">VLOOKUP(Movies[[#This Row],[movie_id]:[movie_id]],Financials[#All],4,FALSE)</f>
        <v>Millions</v>
      </c>
      <c r="L24" cm="1">
        <f t="array" ref="L24">INDEX(Financials[],MATCH(Movies[[#This Row],[movie_id]:[movie_id]],Financials[movie_id]:Financials[movie_id],0),MATCH("Revenue",Financials[#Headers],0))</f>
        <v>263.10000000000002</v>
      </c>
      <c r="M24" cm="1">
        <f t="array" ref="M24">INDEX(Financials[],MATCH(Movies[[#This Row],[movie_id]:[movie_id]],Financials[[movie_id]:[movie_id]],0),MATCH("budget",Financials[#Headers],0))</f>
        <v>15.5</v>
      </c>
      <c r="N24" t="str" cm="1">
        <f t="array" ref="N24">_xlfn.IFNA(INDEX(Financials[],MATCH(Movies[[#This Row],[movie_id]:[movie_id]],Financials[[movie_id]:[movie_id]],0),MATCH(Movies[[#Headers],[Currency]],Financials[#Headers],0)),"Not Aavialable")</f>
        <v>USD</v>
      </c>
      <c r="O24" t="str" cm="1">
        <f t="array" ref="O24">INDEX(Financials[],MATCH(Movies[[#This Row],[movie_id]:[movie_id]],Financials[[movie_id]:[movie_id]],0),MATCH(Movies[[#Headers],[Unit]],Financials[#Headers],0))</f>
        <v>Millions</v>
      </c>
      <c r="P24" s="14">
        <v>2</v>
      </c>
      <c r="Q24" s="18" t="s">
        <v>212</v>
      </c>
    </row>
    <row r="25" spans="1:17" x14ac:dyDescent="0.3">
      <c r="A25">
        <v>125</v>
      </c>
      <c r="B25" t="s">
        <v>143</v>
      </c>
      <c r="C25" t="s">
        <v>7</v>
      </c>
      <c r="D25">
        <v>2019</v>
      </c>
      <c r="E25">
        <v>8.4</v>
      </c>
      <c r="F25" t="s">
        <v>8</v>
      </c>
      <c r="G25">
        <v>5</v>
      </c>
      <c r="H25" cm="1">
        <f t="array" ref="H25">VLOOKUP(Movies[[#This Row],[movie_id]:[movie_id]],Financials[#All],3,FALSE)</f>
        <v>2798</v>
      </c>
      <c r="I25" cm="1">
        <f t="array" ref="I25">VLOOKUP(Movies[[#This Row],[movie_id]:[movie_id]],Financials[#All],2,FALSE)</f>
        <v>400</v>
      </c>
      <c r="J25" t="str" cm="1">
        <f t="array" ref="J25">VLOOKUP(Movies[[#This Row],[movie_id]:[movie_id]],Financials[#All],5,FALSE)</f>
        <v>USD</v>
      </c>
      <c r="K25" t="str" cm="1">
        <f t="array" ref="K25">VLOOKUP(Movies[[#This Row],[movie_id]:[movie_id]],Financials[#All],4,FALSE)</f>
        <v>Millions</v>
      </c>
      <c r="L25" cm="1">
        <f t="array" ref="L25">INDEX(Financials[],MATCH(Movies[[#This Row],[movie_id]:[movie_id]],Financials[movie_id]:Financials[movie_id],0),MATCH("Revenue",Financials[#Headers],0))</f>
        <v>2798</v>
      </c>
      <c r="M25" cm="1">
        <f t="array" ref="M25">INDEX(Financials[],MATCH(Movies[[#This Row],[movie_id]:[movie_id]],Financials[[movie_id]:[movie_id]],0),MATCH("budget",Financials[#Headers],0))</f>
        <v>400</v>
      </c>
      <c r="N25" t="str" cm="1">
        <f t="array" ref="N25">_xlfn.IFNA(INDEX(Financials[],MATCH(Movies[[#This Row],[movie_id]:[movie_id]],Financials[[movie_id]:[movie_id]],0),MATCH(Movies[[#Headers],[Currency]],Financials[#Headers],0)),"Not Aavialable")</f>
        <v>USD</v>
      </c>
      <c r="O25" t="str" cm="1">
        <f t="array" ref="O25">INDEX(Financials[],MATCH(Movies[[#This Row],[movie_id]:[movie_id]],Financials[[movie_id]:[movie_id]],0),MATCH(Movies[[#Headers],[Unit]],Financials[#Headers],0))</f>
        <v>Millions</v>
      </c>
    </row>
    <row r="26" spans="1:17" x14ac:dyDescent="0.3">
      <c r="A26">
        <v>126</v>
      </c>
      <c r="B26" t="s">
        <v>144</v>
      </c>
      <c r="C26" t="s">
        <v>7</v>
      </c>
      <c r="D26">
        <v>2018</v>
      </c>
      <c r="E26">
        <v>8.4</v>
      </c>
      <c r="F26" t="s">
        <v>8</v>
      </c>
      <c r="G26">
        <v>5</v>
      </c>
      <c r="H26" cm="1">
        <f t="array" ref="H26">VLOOKUP(Movies[[#This Row],[movie_id]:[movie_id]],Financials[#All],3,FALSE)</f>
        <v>2048</v>
      </c>
      <c r="I26" cm="1">
        <f t="array" ref="I26">VLOOKUP(Movies[[#This Row],[movie_id]:[movie_id]],Financials[#All],2,FALSE)</f>
        <v>400</v>
      </c>
      <c r="J26" t="str" cm="1">
        <f t="array" ref="J26">VLOOKUP(Movies[[#This Row],[movie_id]:[movie_id]],Financials[#All],5,FALSE)</f>
        <v>USD</v>
      </c>
      <c r="K26" t="str" cm="1">
        <f t="array" ref="K26">VLOOKUP(Movies[[#This Row],[movie_id]:[movie_id]],Financials[#All],4,FALSE)</f>
        <v>Millions</v>
      </c>
      <c r="L26" cm="1">
        <f t="array" ref="L26">INDEX(Financials[],MATCH(Movies[[#This Row],[movie_id]:[movie_id]],Financials[movie_id]:Financials[movie_id],0),MATCH("Revenue",Financials[#Headers],0))</f>
        <v>2048</v>
      </c>
      <c r="M26" cm="1">
        <f t="array" ref="M26">INDEX(Financials[],MATCH(Movies[[#This Row],[movie_id]:[movie_id]],Financials[[movie_id]:[movie_id]],0),MATCH("budget",Financials[#Headers],0))</f>
        <v>400</v>
      </c>
      <c r="N26" t="str" cm="1">
        <f t="array" ref="N26">_xlfn.IFNA(INDEX(Financials[],MATCH(Movies[[#This Row],[movie_id]:[movie_id]],Financials[[movie_id]:[movie_id]],0),MATCH(Movies[[#Headers],[Currency]],Financials[#Headers],0)),"Not Aavialable")</f>
        <v>USD</v>
      </c>
      <c r="O26" t="str" cm="1">
        <f t="array" ref="O26">INDEX(Financials[],MATCH(Movies[[#This Row],[movie_id]:[movie_id]],Financials[[movie_id]:[movie_id]],0),MATCH(Movies[[#Headers],[Unit]],Financials[#Headers],0))</f>
        <v>Millions</v>
      </c>
    </row>
    <row r="27" spans="1:17" x14ac:dyDescent="0.3">
      <c r="A27">
        <v>127</v>
      </c>
      <c r="B27" t="s">
        <v>145</v>
      </c>
      <c r="C27" t="s">
        <v>6</v>
      </c>
      <c r="D27">
        <v>1955</v>
      </c>
      <c r="E27">
        <v>8.3000000000000007</v>
      </c>
      <c r="F27" t="s">
        <v>118</v>
      </c>
      <c r="G27">
        <v>7</v>
      </c>
      <c r="H27" cm="1">
        <f t="array" ref="H27">VLOOKUP(Movies[[#This Row],[movie_id]:[movie_id]],Financials[#All],3,FALSE)</f>
        <v>100</v>
      </c>
      <c r="I27" cm="1">
        <f t="array" ref="I27">VLOOKUP(Movies[[#This Row],[movie_id]:[movie_id]],Financials[#All],2,FALSE)</f>
        <v>70</v>
      </c>
      <c r="J27" t="str" cm="1">
        <f t="array" ref="J27">VLOOKUP(Movies[[#This Row],[movie_id]:[movie_id]],Financials[#All],5,FALSE)</f>
        <v>INR</v>
      </c>
      <c r="K27" t="str" cm="1">
        <f t="array" ref="K27">VLOOKUP(Movies[[#This Row],[movie_id]:[movie_id]],Financials[#All],4,FALSE)</f>
        <v>Millions</v>
      </c>
      <c r="L27" cm="1">
        <f t="array" ref="L27">INDEX(Financials[],MATCH(Movies[[#This Row],[movie_id]:[movie_id]],Financials[movie_id]:Financials[movie_id],0),MATCH("Revenue",Financials[#Headers],0))</f>
        <v>100</v>
      </c>
      <c r="M27" cm="1">
        <f t="array" ref="M27">INDEX(Financials[],MATCH(Movies[[#This Row],[movie_id]:[movie_id]],Financials[[movie_id]:[movie_id]],0),MATCH("budget",Financials[#Headers],0))</f>
        <v>70</v>
      </c>
      <c r="N27" t="str" cm="1">
        <f t="array" ref="N27">_xlfn.IFNA(INDEX(Financials[],MATCH(Movies[[#This Row],[movie_id]:[movie_id]],Financials[[movie_id]:[movie_id]],0),MATCH(Movies[[#Headers],[Currency]],Financials[#Headers],0)),"Not Aavialable")</f>
        <v>INR</v>
      </c>
      <c r="O27" t="str" cm="1">
        <f t="array" ref="O27">INDEX(Financials[],MATCH(Movies[[#This Row],[movie_id]:[movie_id]],Financials[[movie_id]:[movie_id]],0),MATCH(Movies[[#Headers],[Unit]],Financials[#Headers],0))</f>
        <v>Millions</v>
      </c>
      <c r="Q27" s="23" t="s">
        <v>213</v>
      </c>
    </row>
    <row r="28" spans="1:17" ht="28.8" x14ac:dyDescent="0.3">
      <c r="A28">
        <v>128</v>
      </c>
      <c r="B28" t="s">
        <v>146</v>
      </c>
      <c r="C28" t="s">
        <v>6</v>
      </c>
      <c r="D28">
        <v>2007</v>
      </c>
      <c r="E28">
        <v>8.3000000000000007</v>
      </c>
      <c r="F28" t="s">
        <v>114</v>
      </c>
      <c r="G28">
        <v>1</v>
      </c>
      <c r="H28" cm="1">
        <f t="array" ref="H28">VLOOKUP(Movies[[#This Row],[movie_id]:[movie_id]],Financials[#All],3,FALSE)</f>
        <v>1350</v>
      </c>
      <c r="I28" cm="1">
        <f t="array" ref="I28">VLOOKUP(Movies[[#This Row],[movie_id]:[movie_id]],Financials[#All],2,FALSE)</f>
        <v>120</v>
      </c>
      <c r="J28" t="str" cm="1">
        <f t="array" ref="J28">VLOOKUP(Movies[[#This Row],[movie_id]:[movie_id]],Financials[#All],5,FALSE)</f>
        <v>INR</v>
      </c>
      <c r="K28" t="str" cm="1">
        <f t="array" ref="K28">VLOOKUP(Movies[[#This Row],[movie_id]:[movie_id]],Financials[#All],4,FALSE)</f>
        <v>Millions</v>
      </c>
      <c r="L28" cm="1">
        <f t="array" ref="L28">INDEX(Financials[],MATCH(Movies[[#This Row],[movie_id]:[movie_id]],Financials[movie_id]:Financials[movie_id],0),MATCH("Revenue",Financials[#Headers],0))</f>
        <v>1350</v>
      </c>
      <c r="M28" cm="1">
        <f t="array" ref="M28">INDEX(Financials[],MATCH(Movies[[#This Row],[movie_id]:[movie_id]],Financials[[movie_id]:[movie_id]],0),MATCH("budget",Financials[#Headers],0))</f>
        <v>120</v>
      </c>
      <c r="N28" t="str" cm="1">
        <f t="array" ref="N28">_xlfn.IFNA(INDEX(Financials[],MATCH(Movies[[#This Row],[movie_id]:[movie_id]],Financials[[movie_id]:[movie_id]],0),MATCH(Movies[[#Headers],[Currency]],Financials[#Headers],0)),"Not Aavialable")</f>
        <v>INR</v>
      </c>
      <c r="O28" t="str" cm="1">
        <f t="array" ref="O28">INDEX(Financials[],MATCH(Movies[[#This Row],[movie_id]:[movie_id]],Financials[[movie_id]:[movie_id]],0),MATCH(Movies[[#Headers],[Unit]],Financials[#Headers],0))</f>
        <v>Millions</v>
      </c>
      <c r="Q28" s="26" t="s">
        <v>229</v>
      </c>
    </row>
    <row r="29" spans="1:17" x14ac:dyDescent="0.3">
      <c r="A29">
        <v>129</v>
      </c>
      <c r="B29" t="s">
        <v>147</v>
      </c>
      <c r="C29" t="s">
        <v>6</v>
      </c>
      <c r="D29">
        <v>2003</v>
      </c>
      <c r="E29">
        <v>8.1</v>
      </c>
      <c r="F29" t="s">
        <v>21</v>
      </c>
      <c r="G29">
        <v>1</v>
      </c>
      <c r="H29" cm="1">
        <f t="array" ref="H29">VLOOKUP(Movies[[#This Row],[movie_id]:[movie_id]],Financials[#All],3,FALSE)</f>
        <v>410</v>
      </c>
      <c r="I29" cm="1">
        <f t="array" ref="I29">VLOOKUP(Movies[[#This Row],[movie_id]:[movie_id]],Financials[#All],2,FALSE)</f>
        <v>100</v>
      </c>
      <c r="J29" t="str" cm="1">
        <f t="array" ref="J29">VLOOKUP(Movies[[#This Row],[movie_id]:[movie_id]],Financials[#All],5,FALSE)</f>
        <v>INR</v>
      </c>
      <c r="K29" t="str" cm="1">
        <f t="array" ref="K29">VLOOKUP(Movies[[#This Row],[movie_id]:[movie_id]],Financials[#All],4,FALSE)</f>
        <v>Millions</v>
      </c>
      <c r="L29" cm="1">
        <f t="array" ref="L29">INDEX(Financials[],MATCH(Movies[[#This Row],[movie_id]:[movie_id]],Financials[movie_id]:Financials[movie_id],0),MATCH("Revenue",Financials[#Headers],0))</f>
        <v>410</v>
      </c>
      <c r="M29" cm="1">
        <f t="array" ref="M29">INDEX(Financials[],MATCH(Movies[[#This Row],[movie_id]:[movie_id]],Financials[[movie_id]:[movie_id]],0),MATCH("budget",Financials[#Headers],0))</f>
        <v>100</v>
      </c>
      <c r="N29" t="str" cm="1">
        <f t="array" ref="N29">_xlfn.IFNA(INDEX(Financials[],MATCH(Movies[[#This Row],[movie_id]:[movie_id]],Financials[[movie_id]:[movie_id]],0),MATCH(Movies[[#Headers],[Currency]],Financials[#Headers],0)),"Not Aavialable")</f>
        <v>INR</v>
      </c>
      <c r="O29" t="str" cm="1">
        <f t="array" ref="O29">INDEX(Financials[],MATCH(Movies[[#This Row],[movie_id]:[movie_id]],Financials[[movie_id]:[movie_id]],0),MATCH(Movies[[#Headers],[Unit]],Financials[#Headers],0))</f>
        <v>Millions</v>
      </c>
      <c r="Q29" s="18" t="str">
        <f>Movies[[#Headers],[Unit]]</f>
        <v>Unit</v>
      </c>
    </row>
    <row r="30" spans="1:17" x14ac:dyDescent="0.3">
      <c r="A30">
        <v>130</v>
      </c>
      <c r="B30" t="s">
        <v>148</v>
      </c>
      <c r="C30" t="s">
        <v>6</v>
      </c>
      <c r="D30">
        <v>2014</v>
      </c>
      <c r="E30">
        <v>8.1</v>
      </c>
      <c r="F30" t="s">
        <v>11</v>
      </c>
      <c r="G30">
        <v>1</v>
      </c>
      <c r="H30" cm="1">
        <f t="array" ref="H30">VLOOKUP(Movies[[#This Row],[movie_id]:[movie_id]],Financials[#All],3,FALSE)</f>
        <v>8540</v>
      </c>
      <c r="I30" cm="1">
        <f t="array" ref="I30">VLOOKUP(Movies[[#This Row],[movie_id]:[movie_id]],Financials[#All],2,FALSE)</f>
        <v>850</v>
      </c>
      <c r="J30" t="str" cm="1">
        <f t="array" ref="J30">VLOOKUP(Movies[[#This Row],[movie_id]:[movie_id]],Financials[#All],5,FALSE)</f>
        <v>INR</v>
      </c>
      <c r="K30" t="str" cm="1">
        <f t="array" ref="K30">VLOOKUP(Movies[[#This Row],[movie_id]:[movie_id]],Financials[#All],4,FALSE)</f>
        <v>Millions</v>
      </c>
      <c r="L30" cm="1">
        <f t="array" ref="L30">INDEX(Financials[],MATCH(Movies[[#This Row],[movie_id]:[movie_id]],Financials[movie_id]:Financials[movie_id],0),MATCH("Revenue",Financials[#Headers],0))</f>
        <v>8540</v>
      </c>
      <c r="M30" cm="1">
        <f t="array" ref="M30">INDEX(Financials[],MATCH(Movies[[#This Row],[movie_id]:[movie_id]],Financials[[movie_id]:[movie_id]],0),MATCH("budget",Financials[#Headers],0))</f>
        <v>850</v>
      </c>
      <c r="N30" t="str" cm="1">
        <f t="array" ref="N30">_xlfn.IFNA(INDEX(Financials[],MATCH(Movies[[#This Row],[movie_id]:[movie_id]],Financials[[movie_id]:[movie_id]],0),MATCH(Movies[[#Headers],[Currency]],Financials[#Headers],0)),"Not Aavialable")</f>
        <v>INR</v>
      </c>
      <c r="O30" t="str" cm="1">
        <f t="array" ref="O30">INDEX(Financials[],MATCH(Movies[[#This Row],[movie_id]:[movie_id]],Financials[[movie_id]:[movie_id]],0),MATCH(Movies[[#Headers],[Unit]],Financials[#Headers],0))</f>
        <v>Millions</v>
      </c>
      <c r="Q30" s="18" t="str">
        <f>Movies[[#Headers],[Unit]]</f>
        <v>Unit</v>
      </c>
    </row>
    <row r="31" spans="1:17" x14ac:dyDescent="0.3">
      <c r="A31">
        <v>131</v>
      </c>
      <c r="B31" t="s">
        <v>149</v>
      </c>
      <c r="C31" t="s">
        <v>6</v>
      </c>
      <c r="D31">
        <v>2018</v>
      </c>
      <c r="E31" t="s">
        <v>409</v>
      </c>
      <c r="F31" t="s">
        <v>11</v>
      </c>
      <c r="G31">
        <v>1</v>
      </c>
      <c r="H31" cm="1">
        <f t="array" ref="H31">VLOOKUP(Movies[[#This Row],[movie_id]:[movie_id]],Financials[#All],3,FALSE)</f>
        <v>5.9</v>
      </c>
      <c r="I31" cm="1">
        <f t="array" ref="I31">VLOOKUP(Movies[[#This Row],[movie_id]:[movie_id]],Financials[#All],2,FALSE)</f>
        <v>1</v>
      </c>
      <c r="J31" t="str" cm="1">
        <f t="array" ref="J31">VLOOKUP(Movies[[#This Row],[movie_id]:[movie_id]],Financials[#All],5,FALSE)</f>
        <v>INR</v>
      </c>
      <c r="K31" t="str" cm="1">
        <f t="array" ref="K31">VLOOKUP(Movies[[#This Row],[movie_id]:[movie_id]],Financials[#All],4,FALSE)</f>
        <v>Billions</v>
      </c>
      <c r="L31" cm="1">
        <f t="array" ref="L31">INDEX(Financials[],MATCH(Movies[[#This Row],[movie_id]:[movie_id]],Financials[movie_id]:Financials[movie_id],0),MATCH("Revenue",Financials[#Headers],0))</f>
        <v>5.9</v>
      </c>
      <c r="M31" cm="1">
        <f t="array" ref="M31">INDEX(Financials[],MATCH(Movies[[#This Row],[movie_id]:[movie_id]],Financials[[movie_id]:[movie_id]],0),MATCH("budget",Financials[#Headers],0))</f>
        <v>1</v>
      </c>
      <c r="N31" t="str" cm="1">
        <f t="array" ref="N31">_xlfn.IFNA(INDEX(Financials[],MATCH(Movies[[#This Row],[movie_id]:[movie_id]],Financials[[movie_id]:[movie_id]],0),MATCH(Movies[[#Headers],[Currency]],Financials[#Headers],0)),"Not Aavialable")</f>
        <v>INR</v>
      </c>
      <c r="O31" t="str" cm="1">
        <f t="array" ref="O31">INDEX(Financials[],MATCH(Movies[[#This Row],[movie_id]:[movie_id]],Financials[[movie_id]:[movie_id]],0),MATCH(Movies[[#Headers],[Unit]],Financials[#Headers],0))</f>
        <v>Billions</v>
      </c>
      <c r="Q31" s="18" t="str">
        <f>Movies[[#Headers],[Unit]]</f>
        <v>Unit</v>
      </c>
    </row>
    <row r="32" spans="1:17" x14ac:dyDescent="0.3">
      <c r="A32">
        <v>132</v>
      </c>
      <c r="B32" t="s">
        <v>150</v>
      </c>
      <c r="C32" t="s">
        <v>6</v>
      </c>
      <c r="D32">
        <v>2021</v>
      </c>
      <c r="E32">
        <v>7.6</v>
      </c>
      <c r="F32" t="s">
        <v>22</v>
      </c>
      <c r="G32">
        <v>2</v>
      </c>
      <c r="H32" cm="1">
        <f t="array" ref="H32">VLOOKUP(Movies[[#This Row],[movie_id]:[movie_id]],Financials[#All],3,FALSE)</f>
        <v>3.6</v>
      </c>
      <c r="I32" cm="1">
        <f t="array" ref="I32">VLOOKUP(Movies[[#This Row],[movie_id]:[movie_id]],Financials[#All],2,FALSE)</f>
        <v>2</v>
      </c>
      <c r="J32" t="str" cm="1">
        <f t="array" ref="J32">VLOOKUP(Movies[[#This Row],[movie_id]:[movie_id]],Financials[#All],5,FALSE)</f>
        <v>INR</v>
      </c>
      <c r="K32" t="str" cm="1">
        <f t="array" ref="K32">VLOOKUP(Movies[[#This Row],[movie_id]:[movie_id]],Financials[#All],4,FALSE)</f>
        <v>Billions</v>
      </c>
      <c r="L32" cm="1">
        <f t="array" ref="L32">INDEX(Financials[],MATCH(Movies[[#This Row],[movie_id]:[movie_id]],Financials[movie_id]:Financials[movie_id],0),MATCH("Revenue",Financials[#Headers],0))</f>
        <v>3.6</v>
      </c>
      <c r="M32" cm="1">
        <f t="array" ref="M32">INDEX(Financials[],MATCH(Movies[[#This Row],[movie_id]:[movie_id]],Financials[[movie_id]:[movie_id]],0),MATCH("budget",Financials[#Headers],0))</f>
        <v>2</v>
      </c>
      <c r="N32" t="str" cm="1">
        <f t="array" ref="N32">_xlfn.IFNA(INDEX(Financials[],MATCH(Movies[[#This Row],[movie_id]:[movie_id]],Financials[[movie_id]:[movie_id]],0),MATCH(Movies[[#Headers],[Currency]],Financials[#Headers],0)),"Not Aavialable")</f>
        <v>INR</v>
      </c>
      <c r="O32" t="str" cm="1">
        <f t="array" ref="O32">INDEX(Financials[],MATCH(Movies[[#This Row],[movie_id]:[movie_id]],Financials[[movie_id]:[movie_id]],0),MATCH(Movies[[#Headers],[Unit]],Financials[#Headers],0))</f>
        <v>Billions</v>
      </c>
      <c r="Q32" s="18" t="str">
        <f>Movies[[#Headers],[Unit]]</f>
        <v>Unit</v>
      </c>
    </row>
    <row r="33" spans="1:17" x14ac:dyDescent="0.3">
      <c r="A33">
        <v>133</v>
      </c>
      <c r="B33" t="s">
        <v>151</v>
      </c>
      <c r="C33" t="s">
        <v>6</v>
      </c>
      <c r="D33">
        <v>2022</v>
      </c>
      <c r="E33">
        <v>8</v>
      </c>
      <c r="F33" t="s">
        <v>23</v>
      </c>
      <c r="G33">
        <v>2</v>
      </c>
      <c r="H33" cm="1">
        <f t="array" ref="H33">VLOOKUP(Movies[[#This Row],[movie_id]:[movie_id]],Financials[#All],3,FALSE)</f>
        <v>12</v>
      </c>
      <c r="I33" cm="1">
        <f t="array" ref="I33">VLOOKUP(Movies[[#This Row],[movie_id]:[movie_id]],Financials[#All],2,FALSE)</f>
        <v>5.5</v>
      </c>
      <c r="J33" t="str" cm="1">
        <f t="array" ref="J33">VLOOKUP(Movies[[#This Row],[movie_id]:[movie_id]],Financials[#All],5,FALSE)</f>
        <v>INR</v>
      </c>
      <c r="K33" t="str" cm="1">
        <f t="array" ref="K33">VLOOKUP(Movies[[#This Row],[movie_id]:[movie_id]],Financials[#All],4,FALSE)</f>
        <v>Billions</v>
      </c>
      <c r="L33" cm="1">
        <f t="array" ref="L33">INDEX(Financials[],MATCH(Movies[[#This Row],[movie_id]:[movie_id]],Financials[movie_id]:Financials[movie_id],0),MATCH("Revenue",Financials[#Headers],0))</f>
        <v>12</v>
      </c>
      <c r="M33" cm="1">
        <f t="array" ref="M33">INDEX(Financials[],MATCH(Movies[[#This Row],[movie_id]:[movie_id]],Financials[[movie_id]:[movie_id]],0),MATCH("budget",Financials[#Headers],0))</f>
        <v>5.5</v>
      </c>
      <c r="N33" t="str" cm="1">
        <f t="array" ref="N33">_xlfn.IFNA(INDEX(Financials[],MATCH(Movies[[#This Row],[movie_id]:[movie_id]],Financials[[movie_id]:[movie_id]],0),MATCH(Movies[[#Headers],[Currency]],Financials[#Headers],0)),"Not Aavialable")</f>
        <v>INR</v>
      </c>
      <c r="O33" t="str" cm="1">
        <f t="array" ref="O33">INDEX(Financials[],MATCH(Movies[[#This Row],[movie_id]:[movie_id]],Financials[[movie_id]:[movie_id]],0),MATCH(Movies[[#Headers],[Unit]],Financials[#Headers],0))</f>
        <v>Billions</v>
      </c>
      <c r="Q33" s="18" t="str">
        <f>Movies[[#Headers],[Unit]]</f>
        <v>Unit</v>
      </c>
    </row>
    <row r="34" spans="1:17" x14ac:dyDescent="0.3">
      <c r="A34">
        <v>134</v>
      </c>
      <c r="B34" t="s">
        <v>152</v>
      </c>
      <c r="C34" t="s">
        <v>6</v>
      </c>
      <c r="D34">
        <v>2015</v>
      </c>
      <c r="E34">
        <v>8</v>
      </c>
      <c r="F34" t="s">
        <v>24</v>
      </c>
      <c r="G34">
        <v>2</v>
      </c>
      <c r="H34" cm="1">
        <f t="array" ref="H34">VLOOKUP(Movies[[#This Row],[movie_id]:[movie_id]],Financials[#All],3,FALSE)</f>
        <v>6.5</v>
      </c>
      <c r="I34" cm="1">
        <f t="array" ref="I34">VLOOKUP(Movies[[#This Row],[movie_id]:[movie_id]],Financials[#All],2,FALSE)</f>
        <v>1.8</v>
      </c>
      <c r="J34" t="str" cm="1">
        <f t="array" ref="J34">VLOOKUP(Movies[[#This Row],[movie_id]:[movie_id]],Financials[#All],5,FALSE)</f>
        <v>INR</v>
      </c>
      <c r="K34" t="str" cm="1">
        <f t="array" ref="K34">VLOOKUP(Movies[[#This Row],[movie_id]:[movie_id]],Financials[#All],4,FALSE)</f>
        <v>Billions</v>
      </c>
      <c r="L34" cm="1">
        <f t="array" ref="L34">INDEX(Financials[],MATCH(Movies[[#This Row],[movie_id]:[movie_id]],Financials[movie_id]:Financials[movie_id],0),MATCH("Revenue",Financials[#Headers],0))</f>
        <v>6.5</v>
      </c>
      <c r="M34" cm="1">
        <f t="array" ref="M34">INDEX(Financials[],MATCH(Movies[[#This Row],[movie_id]:[movie_id]],Financials[[movie_id]:[movie_id]],0),MATCH("budget",Financials[#Headers],0))</f>
        <v>1.8</v>
      </c>
      <c r="N34" t="str" cm="1">
        <f t="array" ref="N34">_xlfn.IFNA(INDEX(Financials[],MATCH(Movies[[#This Row],[movie_id]:[movie_id]],Financials[[movie_id]:[movie_id]],0),MATCH(Movies[[#Headers],[Currency]],Financials[#Headers],0)),"Not Aavialable")</f>
        <v>INR</v>
      </c>
      <c r="O34" t="str" cm="1">
        <f t="array" ref="O34">INDEX(Financials[],MATCH(Movies[[#This Row],[movie_id]:[movie_id]],Financials[[movie_id]:[movie_id]],0),MATCH(Movies[[#Headers],[Unit]],Financials[#Headers],0))</f>
        <v>Billions</v>
      </c>
      <c r="Q34" s="18" t="str">
        <f>Movies[[#Headers],[Unit]]</f>
        <v>Unit</v>
      </c>
    </row>
    <row r="35" spans="1:17" x14ac:dyDescent="0.3">
      <c r="A35">
        <v>135</v>
      </c>
      <c r="B35" t="s">
        <v>153</v>
      </c>
      <c r="C35" t="s">
        <v>6</v>
      </c>
      <c r="D35">
        <v>2022</v>
      </c>
      <c r="E35">
        <v>8.3000000000000007</v>
      </c>
      <c r="F35" t="s">
        <v>25</v>
      </c>
      <c r="G35">
        <v>1</v>
      </c>
      <c r="H35" cm="1">
        <f t="array" ref="H35">VLOOKUP(Movies[[#This Row],[movie_id]:[movie_id]],Financials[#All],3,FALSE)</f>
        <v>3409</v>
      </c>
      <c r="I35" cm="1">
        <f t="array" ref="I35">VLOOKUP(Movies[[#This Row],[movie_id]:[movie_id]],Financials[#All],2,FALSE)</f>
        <v>250</v>
      </c>
      <c r="J35" t="str" cm="1">
        <f t="array" ref="J35">VLOOKUP(Movies[[#This Row],[movie_id]:[movie_id]],Financials[#All],5,FALSE)</f>
        <v>INR</v>
      </c>
      <c r="K35" t="str" cm="1">
        <f t="array" ref="K35">VLOOKUP(Movies[[#This Row],[movie_id]:[movie_id]],Financials[#All],4,FALSE)</f>
        <v>Millions</v>
      </c>
      <c r="L35" cm="1">
        <f t="array" ref="L35">INDEX(Financials[],MATCH(Movies[[#This Row],[movie_id]:[movie_id]],Financials[movie_id]:Financials[movie_id],0),MATCH("Revenue",Financials[#Headers],0))</f>
        <v>3409</v>
      </c>
      <c r="M35" cm="1">
        <f t="array" ref="M35">INDEX(Financials[],MATCH(Movies[[#This Row],[movie_id]:[movie_id]],Financials[[movie_id]:[movie_id]],0),MATCH("budget",Financials[#Headers],0))</f>
        <v>250</v>
      </c>
      <c r="N35" t="str" cm="1">
        <f t="array" ref="N35">_xlfn.IFNA(INDEX(Financials[],MATCH(Movies[[#This Row],[movie_id]:[movie_id]],Financials[[movie_id]:[movie_id]],0),MATCH(Movies[[#Headers],[Currency]],Financials[#Headers],0)),"Not Aavialable")</f>
        <v>INR</v>
      </c>
      <c r="O35" t="str" cm="1">
        <f t="array" ref="O35">INDEX(Financials[],MATCH(Movies[[#This Row],[movie_id]:[movie_id]],Financials[[movie_id]:[movie_id]],0),MATCH(Movies[[#Headers],[Unit]],Financials[#Headers],0))</f>
        <v>Millions</v>
      </c>
    </row>
    <row r="36" spans="1:17" x14ac:dyDescent="0.3">
      <c r="A36">
        <v>136</v>
      </c>
      <c r="B36" t="s">
        <v>154</v>
      </c>
      <c r="C36" t="s">
        <v>6</v>
      </c>
      <c r="D36">
        <v>2015</v>
      </c>
      <c r="E36">
        <v>8.1</v>
      </c>
      <c r="F36" t="s">
        <v>26</v>
      </c>
      <c r="G36">
        <v>1</v>
      </c>
      <c r="H36" cm="1">
        <f t="array" ref="H36">VLOOKUP(Movies[[#This Row],[movie_id]:[movie_id]],Financials[#All],3,FALSE)</f>
        <v>11690</v>
      </c>
      <c r="I36" cm="1">
        <f t="array" ref="I36">VLOOKUP(Movies[[#This Row],[movie_id]:[movie_id]],Financials[#All],2,FALSE)</f>
        <v>900</v>
      </c>
      <c r="J36" t="str" cm="1">
        <f t="array" ref="J36">VLOOKUP(Movies[[#This Row],[movie_id]:[movie_id]],Financials[#All],5,FALSE)</f>
        <v>INR</v>
      </c>
      <c r="K36" t="str" cm="1">
        <f t="array" ref="K36">VLOOKUP(Movies[[#This Row],[movie_id]:[movie_id]],Financials[#All],4,FALSE)</f>
        <v>Millions</v>
      </c>
      <c r="L36" cm="1">
        <f t="array" ref="L36">INDEX(Financials[],MATCH(Movies[[#This Row],[movie_id]:[movie_id]],Financials[movie_id]:Financials[movie_id],0),MATCH("Revenue",Financials[#Headers],0))</f>
        <v>11690</v>
      </c>
      <c r="M36" cm="1">
        <f t="array" ref="M36">INDEX(Financials[],MATCH(Movies[[#This Row],[movie_id]:[movie_id]],Financials[[movie_id]:[movie_id]],0),MATCH("budget",Financials[#Headers],0))</f>
        <v>900</v>
      </c>
      <c r="N36" t="str" cm="1">
        <f t="array" ref="N36">_xlfn.IFNA(INDEX(Financials[],MATCH(Movies[[#This Row],[movie_id]:[movie_id]],Financials[[movie_id]:[movie_id]],0),MATCH(Movies[[#Headers],[Currency]],Financials[#Headers],0)),"Not Aavialable")</f>
        <v>INR</v>
      </c>
      <c r="O36" t="str" cm="1">
        <f t="array" ref="O36">INDEX(Financials[],MATCH(Movies[[#This Row],[movie_id]:[movie_id]],Financials[[movie_id]:[movie_id]],0),MATCH(Movies[[#Headers],[Unit]],Financials[#Headers],0))</f>
        <v>Millions</v>
      </c>
    </row>
    <row r="37" spans="1:17" x14ac:dyDescent="0.3">
      <c r="A37">
        <v>137</v>
      </c>
      <c r="B37" t="s">
        <v>155</v>
      </c>
      <c r="C37" t="s">
        <v>7</v>
      </c>
      <c r="D37">
        <v>2011</v>
      </c>
      <c r="E37">
        <v>6.9</v>
      </c>
      <c r="F37" t="s">
        <v>8</v>
      </c>
      <c r="G37">
        <v>5</v>
      </c>
      <c r="H37" cm="1">
        <f t="array" ref="H37">VLOOKUP(Movies[[#This Row],[movie_id]:[movie_id]],Financials[#All],3,FALSE)</f>
        <v>370.6</v>
      </c>
      <c r="I37" cm="1">
        <f t="array" ref="I37">VLOOKUP(Movies[[#This Row],[movie_id]:[movie_id]],Financials[#All],2,FALSE)</f>
        <v>216.7</v>
      </c>
      <c r="J37" t="str" cm="1">
        <f t="array" ref="J37">VLOOKUP(Movies[[#This Row],[movie_id]:[movie_id]],Financials[#All],5,FALSE)</f>
        <v>USD</v>
      </c>
      <c r="K37" t="str" cm="1">
        <f t="array" ref="K37">VLOOKUP(Movies[[#This Row],[movie_id]:[movie_id]],Financials[#All],4,FALSE)</f>
        <v>Millions</v>
      </c>
      <c r="L37" cm="1">
        <f t="array" ref="L37">INDEX(Financials[],MATCH(Movies[[#This Row],[movie_id]:[movie_id]],Financials[movie_id]:Financials[movie_id],0),MATCH("Revenue",Financials[#Headers],0))</f>
        <v>370.6</v>
      </c>
      <c r="M37" cm="1">
        <f t="array" ref="M37">INDEX(Financials[],MATCH(Movies[[#This Row],[movie_id]:[movie_id]],Financials[[movie_id]:[movie_id]],0),MATCH("budget",Financials[#Headers],0))</f>
        <v>216.7</v>
      </c>
      <c r="N37" t="str" cm="1">
        <f t="array" ref="N37">_xlfn.IFNA(INDEX(Financials[],MATCH(Movies[[#This Row],[movie_id]:[movie_id]],Financials[[movie_id]:[movie_id]],0),MATCH(Movies[[#Headers],[Currency]],Financials[#Headers],0)),"Not Aavialable")</f>
        <v>USD</v>
      </c>
      <c r="O37" t="str" cm="1">
        <f t="array" ref="O37">INDEX(Financials[],MATCH(Movies[[#This Row],[movie_id]:[movie_id]],Financials[[movie_id]:[movie_id]],0),MATCH(Movies[[#Headers],[Unit]],Financials[#Headers],0))</f>
        <v>Millions</v>
      </c>
      <c r="Q37" s="21" t="s">
        <v>214</v>
      </c>
    </row>
    <row r="38" spans="1:17" x14ac:dyDescent="0.3">
      <c r="A38">
        <v>138</v>
      </c>
      <c r="B38" t="s">
        <v>156</v>
      </c>
      <c r="C38" t="s">
        <v>7</v>
      </c>
      <c r="D38">
        <v>2014</v>
      </c>
      <c r="E38">
        <v>7.8</v>
      </c>
      <c r="F38" t="s">
        <v>8</v>
      </c>
      <c r="G38">
        <v>5</v>
      </c>
      <c r="H38" cm="1">
        <f t="array" ref="H38">VLOOKUP(Movies[[#This Row],[movie_id]:[movie_id]],Financials[#All],3,FALSE)</f>
        <v>714.4</v>
      </c>
      <c r="I38" cm="1">
        <f t="array" ref="I38">VLOOKUP(Movies[[#This Row],[movie_id]:[movie_id]],Financials[#All],2,FALSE)</f>
        <v>177</v>
      </c>
      <c r="J38" t="str" cm="1">
        <f t="array" ref="J38">VLOOKUP(Movies[[#This Row],[movie_id]:[movie_id]],Financials[#All],5,FALSE)</f>
        <v>USD</v>
      </c>
      <c r="K38" t="str" cm="1">
        <f t="array" ref="K38">VLOOKUP(Movies[[#This Row],[movie_id]:[movie_id]],Financials[#All],4,FALSE)</f>
        <v>Millions</v>
      </c>
      <c r="L38" cm="1">
        <f t="array" ref="L38">INDEX(Financials[],MATCH(Movies[[#This Row],[movie_id]:[movie_id]],Financials[movie_id]:Financials[movie_id],0),MATCH("Revenue",Financials[#Headers],0))</f>
        <v>714.4</v>
      </c>
      <c r="M38" cm="1">
        <f t="array" ref="M38">INDEX(Financials[],MATCH(Movies[[#This Row],[movie_id]:[movie_id]],Financials[[movie_id]:[movie_id]],0),MATCH("budget",Financials[#Headers],0))</f>
        <v>177</v>
      </c>
      <c r="N38" t="str" cm="1">
        <f t="array" ref="N38">_xlfn.IFNA(INDEX(Financials[],MATCH(Movies[[#This Row],[movie_id]:[movie_id]],Financials[[movie_id]:[movie_id]],0),MATCH(Movies[[#Headers],[Currency]],Financials[#Headers],0)),"Not Aavialable")</f>
        <v>USD</v>
      </c>
      <c r="O38" t="str" cm="1">
        <f t="array" ref="O38">INDEX(Financials[],MATCH(Movies[[#This Row],[movie_id]:[movie_id]],Financials[[movie_id]:[movie_id]],0),MATCH(Movies[[#Headers],[Unit]],Financials[#Headers],0))</f>
        <v>Millions</v>
      </c>
      <c r="P38" s="18">
        <v>1</v>
      </c>
      <c r="Q38" s="18" t="s">
        <v>215</v>
      </c>
    </row>
    <row r="39" spans="1:17" x14ac:dyDescent="0.3">
      <c r="A39">
        <v>139</v>
      </c>
      <c r="B39" t="s">
        <v>157</v>
      </c>
      <c r="C39" t="s">
        <v>6</v>
      </c>
      <c r="D39">
        <v>2018</v>
      </c>
      <c r="E39">
        <v>1.9</v>
      </c>
      <c r="F39" t="s">
        <v>26</v>
      </c>
      <c r="G39">
        <v>1</v>
      </c>
      <c r="H39" cm="1">
        <f t="array" ref="H39">VLOOKUP(Movies[[#This Row],[movie_id]:[movie_id]],Financials[#All],3,FALSE)</f>
        <v>3.1</v>
      </c>
      <c r="I39" cm="1">
        <f t="array" ref="I39">VLOOKUP(Movies[[#This Row],[movie_id]:[movie_id]],Financials[#All],2,FALSE)</f>
        <v>1.8</v>
      </c>
      <c r="J39" t="str" cm="1">
        <f t="array" ref="J39">VLOOKUP(Movies[[#This Row],[movie_id]:[movie_id]],Financials[#All],5,FALSE)</f>
        <v>INR</v>
      </c>
      <c r="K39" t="str" cm="1">
        <f t="array" ref="K39">VLOOKUP(Movies[[#This Row],[movie_id]:[movie_id]],Financials[#All],4,FALSE)</f>
        <v>Billions</v>
      </c>
      <c r="L39" cm="1">
        <f t="array" ref="L39">INDEX(Financials[],MATCH(Movies[[#This Row],[movie_id]:[movie_id]],Financials[movie_id]:Financials[movie_id],0),MATCH("Revenue",Financials[#Headers],0))</f>
        <v>3.1</v>
      </c>
      <c r="M39" cm="1">
        <f t="array" ref="M39">INDEX(Financials[],MATCH(Movies[[#This Row],[movie_id]:[movie_id]],Financials[[movie_id]:[movie_id]],0),MATCH("budget",Financials[#Headers],0))</f>
        <v>1.8</v>
      </c>
      <c r="N39" t="str" cm="1">
        <f t="array" ref="N39">_xlfn.IFNA(INDEX(Financials[],MATCH(Movies[[#This Row],[movie_id]:[movie_id]],Financials[[movie_id]:[movie_id]],0),MATCH(Movies[[#Headers],[Currency]],Financials[#Headers],0)),"Not Aavialable")</f>
        <v>INR</v>
      </c>
      <c r="O39" t="str" cm="1">
        <f t="array" ref="O39">INDEX(Financials[],MATCH(Movies[[#This Row],[movie_id]:[movie_id]],Financials[[movie_id]:[movie_id]],0),MATCH(Movies[[#Headers],[Unit]],Financials[#Headers],0))</f>
        <v>Billions</v>
      </c>
      <c r="P39" s="18">
        <v>2</v>
      </c>
      <c r="Q39" s="18" t="s">
        <v>216</v>
      </c>
    </row>
    <row r="40" spans="1:17" ht="15.6" x14ac:dyDescent="0.3">
      <c r="A40">
        <v>140</v>
      </c>
      <c r="B40" t="s">
        <v>158</v>
      </c>
      <c r="C40" t="s">
        <v>6</v>
      </c>
      <c r="D40">
        <v>2021</v>
      </c>
      <c r="E40">
        <v>8.4</v>
      </c>
      <c r="F40" t="s">
        <v>12</v>
      </c>
      <c r="G40">
        <v>1</v>
      </c>
      <c r="H40" cm="1">
        <f t="array" ref="H40">VLOOKUP(Movies[[#This Row],[movie_id]:[movie_id]],Financials[#All],3,FALSE)</f>
        <v>950</v>
      </c>
      <c r="I40" cm="1">
        <f t="array" ref="I40">VLOOKUP(Movies[[#This Row],[movie_id]:[movie_id]],Financials[#All],2,FALSE)</f>
        <v>500</v>
      </c>
      <c r="J40" t="str" cm="1">
        <f t="array" ref="J40">VLOOKUP(Movies[[#This Row],[movie_id]:[movie_id]],Financials[#All],5,FALSE)</f>
        <v>INR</v>
      </c>
      <c r="K40" t="str" cm="1">
        <f t="array" ref="K40">VLOOKUP(Movies[[#This Row],[movie_id]:[movie_id]],Financials[#All],4,FALSE)</f>
        <v>Millions</v>
      </c>
      <c r="L40" cm="1">
        <f t="array" ref="L40">INDEX(Financials[],MATCH(Movies[[#This Row],[movie_id]:[movie_id]],Financials[movie_id]:Financials[movie_id],0),MATCH("Revenue",Financials[#Headers],0))</f>
        <v>950</v>
      </c>
      <c r="M40" cm="1">
        <f t="array" ref="M40">INDEX(Financials[],MATCH(Movies[[#This Row],[movie_id]:[movie_id]],Financials[[movie_id]:[movie_id]],0),MATCH("budget",Financials[#Headers],0))</f>
        <v>500</v>
      </c>
      <c r="N40" t="str" cm="1">
        <f t="array" ref="N40">_xlfn.IFNA(INDEX(Financials[],MATCH(Movies[[#This Row],[movie_id]:[movie_id]],Financials[[movie_id]:[movie_id]],0),MATCH(Movies[[#Headers],[Currency]],Financials[#Headers],0)),"Not Aavialable")</f>
        <v>INR</v>
      </c>
      <c r="O40" t="str" cm="1">
        <f t="array" ref="O40">INDEX(Financials[],MATCH(Movies[[#This Row],[movie_id]:[movie_id]],Financials[[movie_id]:[movie_id]],0),MATCH(Movies[[#Headers],[Unit]],Financials[#Headers],0))</f>
        <v>Millions</v>
      </c>
      <c r="Q40" s="18" t="s">
        <v>224</v>
      </c>
    </row>
    <row r="42" spans="1:17" ht="18.600000000000001" x14ac:dyDescent="0.45">
      <c r="P42" s="135" t="s">
        <v>220</v>
      </c>
      <c r="Q42" s="135"/>
    </row>
    <row r="44" spans="1:17" x14ac:dyDescent="0.3">
      <c r="Q44" s="12" t="s">
        <v>205</v>
      </c>
    </row>
    <row r="45" spans="1:17" x14ac:dyDescent="0.3">
      <c r="Q45" s="12" t="s">
        <v>169</v>
      </c>
    </row>
    <row r="46" spans="1:17" x14ac:dyDescent="0.3">
      <c r="Q46" s="12" t="s">
        <v>170</v>
      </c>
    </row>
    <row r="47" spans="1:17" x14ac:dyDescent="0.3">
      <c r="Q47" s="12" t="s">
        <v>171</v>
      </c>
    </row>
    <row r="48" spans="1:17" x14ac:dyDescent="0.3">
      <c r="Q48" s="12" t="s">
        <v>173</v>
      </c>
    </row>
    <row r="49" spans="16:17" x14ac:dyDescent="0.3">
      <c r="Q49" s="12" t="s">
        <v>174</v>
      </c>
    </row>
    <row r="52" spans="16:17" ht="18.600000000000001" x14ac:dyDescent="0.45">
      <c r="P52" s="131" t="s">
        <v>221</v>
      </c>
      <c r="Q52" s="131"/>
    </row>
    <row r="54" spans="16:17" x14ac:dyDescent="0.3">
      <c r="Q54" s="12" t="s">
        <v>115</v>
      </c>
    </row>
    <row r="55" spans="16:17" x14ac:dyDescent="0.3">
      <c r="Q55" s="12" t="s">
        <v>116</v>
      </c>
    </row>
    <row r="57" spans="16:17" x14ac:dyDescent="0.3">
      <c r="Q57" s="12" t="s">
        <v>119</v>
      </c>
    </row>
    <row r="58" spans="16:17" x14ac:dyDescent="0.3">
      <c r="Q58" s="12" t="s">
        <v>160</v>
      </c>
    </row>
    <row r="59" spans="16:17" x14ac:dyDescent="0.3">
      <c r="Q59" s="12" t="s">
        <v>161</v>
      </c>
    </row>
    <row r="60" spans="16:17" x14ac:dyDescent="0.3">
      <c r="Q60" s="12" t="s">
        <v>162</v>
      </c>
    </row>
    <row r="61" spans="16:17" x14ac:dyDescent="0.3">
      <c r="Q61" s="12" t="s">
        <v>163</v>
      </c>
    </row>
    <row r="63" spans="16:17" ht="18.600000000000001" x14ac:dyDescent="0.45">
      <c r="P63" s="131" t="s">
        <v>223</v>
      </c>
      <c r="Q63" s="131"/>
    </row>
    <row r="65" spans="17:17" x14ac:dyDescent="0.3">
      <c r="Q65" s="12" t="s">
        <v>225</v>
      </c>
    </row>
    <row r="66" spans="17:17" x14ac:dyDescent="0.3">
      <c r="Q66" s="12" t="s">
        <v>227</v>
      </c>
    </row>
    <row r="67" spans="17:17" x14ac:dyDescent="0.3">
      <c r="Q67" s="12" t="s">
        <v>226</v>
      </c>
    </row>
  </sheetData>
  <mergeCells count="6">
    <mergeCell ref="P63:Q63"/>
    <mergeCell ref="P2:Q2"/>
    <mergeCell ref="P3:Q3"/>
    <mergeCell ref="P1:Q1"/>
    <mergeCell ref="P42:Q42"/>
    <mergeCell ref="P52:Q52"/>
  </mergeCells>
  <phoneticPr fontId="4" type="noConversion"/>
  <conditionalFormatting sqref="A1:A1048576">
    <cfRule type="duplicateValues" dxfId="10" priority="1"/>
  </conditionalFormatting>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2741B-84F4-4921-9FA9-9AE558492A66}">
  <dimension ref="A2:I20"/>
  <sheetViews>
    <sheetView topLeftCell="B1" workbookViewId="0">
      <selection activeCell="D4" sqref="D4"/>
    </sheetView>
  </sheetViews>
  <sheetFormatPr defaultRowHeight="14.4" x14ac:dyDescent="0.3"/>
  <cols>
    <col min="1" max="1" width="10.6640625" bestFit="1" customWidth="1"/>
    <col min="4" max="4" width="28.109375" bestFit="1" customWidth="1"/>
    <col min="6" max="6" width="27.5546875" bestFit="1" customWidth="1"/>
  </cols>
  <sheetData>
    <row r="2" spans="1:9" ht="18" x14ac:dyDescent="0.35">
      <c r="A2" s="7" t="s">
        <v>179</v>
      </c>
      <c r="B2" s="7" t="s">
        <v>180</v>
      </c>
      <c r="D2" s="8" t="s">
        <v>185</v>
      </c>
      <c r="F2" s="8" t="s">
        <v>186</v>
      </c>
    </row>
    <row r="3" spans="1:9" ht="15.6" x14ac:dyDescent="0.3">
      <c r="A3" s="6" t="s">
        <v>181</v>
      </c>
      <c r="B3" s="6">
        <v>70</v>
      </c>
      <c r="D3" s="9" t="str">
        <f>INDEX(Food[],3,1)</f>
        <v>chowmein</v>
      </c>
      <c r="F3" s="9">
        <f>MATCH("samosa",Food[Item],0)</f>
        <v>2</v>
      </c>
      <c r="G3" s="13" t="s">
        <v>200</v>
      </c>
    </row>
    <row r="4" spans="1:9" ht="15.6" x14ac:dyDescent="0.3">
      <c r="A4" s="6" t="s">
        <v>182</v>
      </c>
      <c r="B4" s="6">
        <v>15</v>
      </c>
      <c r="D4" s="12" t="s">
        <v>189</v>
      </c>
      <c r="F4" s="9">
        <f>MATCH("item",Food[#Headers])</f>
        <v>1</v>
      </c>
      <c r="G4" s="13" t="s">
        <v>201</v>
      </c>
    </row>
    <row r="5" spans="1:9" ht="15.6" x14ac:dyDescent="0.3">
      <c r="A5" s="6" t="s">
        <v>183</v>
      </c>
      <c r="B5" s="6">
        <v>50</v>
      </c>
      <c r="D5" s="12" t="s">
        <v>190</v>
      </c>
    </row>
    <row r="6" spans="1:9" ht="15.6" x14ac:dyDescent="0.3">
      <c r="A6" s="6" t="s">
        <v>184</v>
      </c>
      <c r="B6" s="6">
        <v>40</v>
      </c>
      <c r="D6" s="12" t="s">
        <v>191</v>
      </c>
    </row>
    <row r="7" spans="1:9" ht="15.6" x14ac:dyDescent="0.3">
      <c r="D7" s="12" t="s">
        <v>192</v>
      </c>
      <c r="F7" s="9" t="str" cm="1">
        <f t="array" ref="F7:G7">Food[#Headers]</f>
        <v>Item</v>
      </c>
      <c r="G7" s="9" t="str">
        <v>Price</v>
      </c>
      <c r="H7" s="13" t="s">
        <v>187</v>
      </c>
      <c r="I7" s="15"/>
    </row>
    <row r="8" spans="1:9" ht="15.6" x14ac:dyDescent="0.3">
      <c r="D8" s="12" t="s">
        <v>193</v>
      </c>
      <c r="H8" s="15"/>
      <c r="I8" s="15"/>
    </row>
    <row r="9" spans="1:9" ht="15.6" x14ac:dyDescent="0.3">
      <c r="H9" s="15"/>
      <c r="I9" s="15"/>
    </row>
    <row r="10" spans="1:9" ht="15.6" x14ac:dyDescent="0.3">
      <c r="F10" s="9" t="str" cm="1">
        <f t="array" ref="F10:G13">Food[#Data]</f>
        <v>Dosa</v>
      </c>
      <c r="G10">
        <v>70</v>
      </c>
      <c r="H10" s="13" t="s">
        <v>188</v>
      </c>
      <c r="I10" s="15"/>
    </row>
    <row r="11" spans="1:9" ht="15.6" x14ac:dyDescent="0.3">
      <c r="F11" t="str">
        <v>samosa</v>
      </c>
      <c r="G11">
        <v>15</v>
      </c>
      <c r="H11" s="15"/>
      <c r="I11" s="15"/>
    </row>
    <row r="12" spans="1:9" ht="15.6" x14ac:dyDescent="0.3">
      <c r="D12" t="s">
        <v>194</v>
      </c>
      <c r="F12" t="str">
        <v>chowmein</v>
      </c>
      <c r="G12">
        <v>50</v>
      </c>
      <c r="H12" s="15"/>
      <c r="I12" s="15"/>
    </row>
    <row r="13" spans="1:9" ht="15.6" x14ac:dyDescent="0.3">
      <c r="F13" t="str">
        <v>burger</v>
      </c>
      <c r="G13">
        <v>40</v>
      </c>
      <c r="H13" s="15"/>
      <c r="I13" s="15"/>
    </row>
    <row r="14" spans="1:9" ht="15.6" x14ac:dyDescent="0.3">
      <c r="H14" s="15"/>
      <c r="I14" s="15"/>
    </row>
    <row r="15" spans="1:9" ht="15.6" x14ac:dyDescent="0.3">
      <c r="H15" s="15"/>
      <c r="I15" s="15"/>
    </row>
    <row r="16" spans="1:9" ht="15.6" x14ac:dyDescent="0.3">
      <c r="F16" s="9" t="str" cm="1">
        <f t="array" ref="F16:G20">Food[#All]</f>
        <v>Item</v>
      </c>
      <c r="G16" s="9" t="str">
        <v>Price</v>
      </c>
      <c r="H16" s="13" t="s">
        <v>195</v>
      </c>
      <c r="I16" s="15"/>
    </row>
    <row r="17" spans="6:7" x14ac:dyDescent="0.3">
      <c r="F17" t="str">
        <v>Dosa</v>
      </c>
      <c r="G17">
        <v>70</v>
      </c>
    </row>
    <row r="18" spans="6:7" x14ac:dyDescent="0.3">
      <c r="F18" t="str">
        <v>samosa</v>
      </c>
      <c r="G18">
        <v>15</v>
      </c>
    </row>
    <row r="19" spans="6:7" x14ac:dyDescent="0.3">
      <c r="F19" t="str">
        <v>chowmein</v>
      </c>
      <c r="G19">
        <v>50</v>
      </c>
    </row>
    <row r="20" spans="6:7" x14ac:dyDescent="0.3">
      <c r="F20" t="str">
        <v>burger</v>
      </c>
      <c r="G20">
        <v>40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951C0-D968-407B-BACE-9EC26BF67B79}">
  <dimension ref="A1:M41"/>
  <sheetViews>
    <sheetView tabSelected="1" zoomScale="79" zoomScaleNormal="160" workbookViewId="0">
      <selection activeCell="M13" sqref="M13"/>
    </sheetView>
  </sheetViews>
  <sheetFormatPr defaultRowHeight="14.4" x14ac:dyDescent="0.3"/>
  <cols>
    <col min="1" max="1" width="9.88671875" customWidth="1"/>
    <col min="5" max="5" width="9.44140625" customWidth="1"/>
    <col min="6" max="6" width="24.21875" bestFit="1" customWidth="1"/>
    <col min="7" max="7" width="13.44140625" bestFit="1" customWidth="1"/>
    <col min="8" max="8" width="13.77734375" bestFit="1" customWidth="1"/>
    <col min="9" max="9" width="13.44140625" bestFit="1" customWidth="1"/>
  </cols>
  <sheetData>
    <row r="1" spans="1:13" x14ac:dyDescent="0.3">
      <c r="A1" s="1" t="s">
        <v>0</v>
      </c>
      <c r="B1" s="1" t="s">
        <v>27</v>
      </c>
      <c r="C1" s="1" t="s">
        <v>28</v>
      </c>
      <c r="D1" s="1" t="s">
        <v>29</v>
      </c>
      <c r="E1" s="1" t="s">
        <v>30</v>
      </c>
      <c r="F1" s="1" t="s">
        <v>4</v>
      </c>
      <c r="G1" s="1" t="s">
        <v>3</v>
      </c>
      <c r="H1" s="1" t="s">
        <v>2</v>
      </c>
      <c r="I1" s="1" t="s">
        <v>5</v>
      </c>
    </row>
    <row r="2" spans="1:13" x14ac:dyDescent="0.3">
      <c r="A2">
        <v>101</v>
      </c>
      <c r="B2">
        <v>1</v>
      </c>
      <c r="C2">
        <v>12.5</v>
      </c>
      <c r="D2" t="s">
        <v>31</v>
      </c>
      <c r="E2" t="s">
        <v>32</v>
      </c>
      <c r="F2" t="str" cm="1">
        <f t="array" ref="F2">_xlfn.IFNA(INDEX(Movies[],MATCH(Financials[[#This Row],[movie_id]:[movie_id]],Movies[[movie_id]:[movie_id]],0),MATCH(Financials[[#Headers],[studio]],Movies[#Headers],0)),"Not Avilable")</f>
        <v>Hombale Films</v>
      </c>
      <c r="G2" cm="1">
        <f t="array" ref="G2">IFERROR(INDEX(Movies[],MATCH(Financials[[#This Row],[movie_id]:[movie_id]],Movies[[movie_id]:[movie_id]],0),MATCH(Financials[[#Headers],[imdb_rating]],Movies[#Headers],0)),"Not Available")</f>
        <v>8.4</v>
      </c>
      <c r="H2" cm="1">
        <f t="array" ref="H2">IFERROR(INDEX(Movies[],MATCH(Financials[[#This Row],[movie_id]:[movie_id]],Movies[[movie_id]:[movie_id]],0),MATCH(Financials[[#Headers],[release_year]],Movies[#Headers],0)),"Not Available")</f>
        <v>2022</v>
      </c>
      <c r="I2" cm="1">
        <f t="array" ref="I2">IFERROR(INDEX(Movies[],MATCH(Financials[[#This Row],[movie_id]:[movie_id]],Movies[[movie_id]:[movie_id]],0),MATCH(Financials[[#Headers],[language_id]],Movies[#Headers],0)),"Not Available")</f>
        <v>3</v>
      </c>
      <c r="J2" s="160" t="s">
        <v>228</v>
      </c>
      <c r="K2" s="160"/>
      <c r="L2" s="160"/>
      <c r="M2" s="160"/>
    </row>
    <row r="3" spans="1:13" x14ac:dyDescent="0.3">
      <c r="A3">
        <v>102</v>
      </c>
      <c r="B3">
        <v>200</v>
      </c>
      <c r="C3">
        <v>954.8</v>
      </c>
      <c r="D3" t="s">
        <v>33</v>
      </c>
      <c r="E3" t="s">
        <v>34</v>
      </c>
      <c r="F3" t="str" cm="1">
        <f t="array" ref="F3">_xlfn.IFNA(INDEX(Movies[],MATCH(Financials[[#This Row],[movie_id]:[movie_id]],Movies[[movie_id]:[movie_id]],0),MATCH(Financials[[#Headers],[studio]],Movies[#Headers],0)),"Not Avilable")</f>
        <v>Marvel Studios</v>
      </c>
      <c r="G3" cm="1">
        <f t="array" ref="G3">IFERROR(INDEX(Movies[],MATCH(Financials[[#This Row],[movie_id]:[movie_id]],Movies[[movie_id]:[movie_id]],0),MATCH(Financials[[#Headers],[imdb_rating]],Movies[#Headers],0)),"Not Available")</f>
        <v>7</v>
      </c>
      <c r="H3" cm="1">
        <f t="array" ref="H3">IFERROR(INDEX(Movies[],MATCH(Financials[[#This Row],[movie_id]:[movie_id]],Movies[[movie_id]:[movie_id]],0),MATCH(Financials[[#Headers],[release_year]],Movies[#Headers],0)),"Not Available")</f>
        <v>2022</v>
      </c>
      <c r="I3" cm="1">
        <f t="array" ref="I3">IFERROR(INDEX(Movies[],MATCH(Financials[[#This Row],[movie_id]:[movie_id]],Movies[[movie_id]:[movie_id]],0),MATCH(Financials[[#Headers],[language_id]],Movies[#Headers],0)),"Not Available")</f>
        <v>5</v>
      </c>
    </row>
    <row r="4" spans="1:13" x14ac:dyDescent="0.3">
      <c r="A4">
        <v>103</v>
      </c>
      <c r="B4">
        <v>165</v>
      </c>
      <c r="C4">
        <v>644.79999999999995</v>
      </c>
      <c r="D4" t="s">
        <v>33</v>
      </c>
      <c r="E4" t="s">
        <v>34</v>
      </c>
      <c r="F4" t="str" cm="1">
        <f t="array" ref="F4">_xlfn.IFNA(INDEX(Movies[],MATCH(Financials[[#This Row],[movie_id]:[movie_id]],Movies[[movie_id]:[movie_id]],0),MATCH(Financials[[#Headers],[studio]],Movies[#Headers],0)),"Not Avilable")</f>
        <v>Marvel Studios</v>
      </c>
      <c r="G4" cm="1">
        <f t="array" ref="G4">IFERROR(INDEX(Movies[],MATCH(Financials[[#This Row],[movie_id]:[movie_id]],Movies[[movie_id]:[movie_id]],0),MATCH(Financials[[#Headers],[imdb_rating]],Movies[#Headers],0)),"Not Available")</f>
        <v>6.8</v>
      </c>
      <c r="H4" cm="1">
        <f t="array" ref="H4">IFERROR(INDEX(Movies[],MATCH(Financials[[#This Row],[movie_id]:[movie_id]],Movies[[movie_id]:[movie_id]],0),MATCH(Financials[[#Headers],[release_year]],Movies[#Headers],0)),"Not Available")</f>
        <v>2013</v>
      </c>
      <c r="I4" cm="1">
        <f t="array" ref="I4">IFERROR(INDEX(Movies[],MATCH(Financials[[#This Row],[movie_id]:[movie_id]],Movies[[movie_id]:[movie_id]],0),MATCH(Financials[[#Headers],[language_id]],Movies[#Headers],0)),"Not Available")</f>
        <v>5</v>
      </c>
    </row>
    <row r="5" spans="1:13" x14ac:dyDescent="0.3">
      <c r="A5">
        <v>104</v>
      </c>
      <c r="B5">
        <v>180</v>
      </c>
      <c r="C5">
        <v>854</v>
      </c>
      <c r="D5" t="s">
        <v>33</v>
      </c>
      <c r="E5" t="s">
        <v>34</v>
      </c>
      <c r="F5" t="str" cm="1">
        <f t="array" ref="F5">_xlfn.IFNA(INDEX(Movies[],MATCH(Financials[[#This Row],[movie_id]:[movie_id]],Movies[[movie_id]:[movie_id]],0),MATCH(Financials[[#Headers],[studio]],Movies[#Headers],0)),"Not Avilable")</f>
        <v>Marvel Studios</v>
      </c>
      <c r="G5" cm="1">
        <f t="array" ref="G5">IFERROR(INDEX(Movies[],MATCH(Financials[[#This Row],[movie_id]:[movie_id]],Movies[[movie_id]:[movie_id]],0),MATCH(Financials[[#Headers],[imdb_rating]],Movies[#Headers],0)),"Not Available")</f>
        <v>7.9</v>
      </c>
      <c r="H5" cm="1">
        <f t="array" ref="H5">IFERROR(INDEX(Movies[],MATCH(Financials[[#This Row],[movie_id]:[movie_id]],Movies[[movie_id]:[movie_id]],0),MATCH(Financials[[#Headers],[release_year]],Movies[#Headers],0)),"Not Available")</f>
        <v>2017</v>
      </c>
      <c r="I5" cm="1">
        <f t="array" ref="I5">IFERROR(INDEX(Movies[],MATCH(Financials[[#This Row],[movie_id]:[movie_id]],Movies[[movie_id]:[movie_id]],0),MATCH(Financials[[#Headers],[language_id]],Movies[#Headers],0)),"Not Available")</f>
        <v>5</v>
      </c>
    </row>
    <row r="6" spans="1:13" x14ac:dyDescent="0.3">
      <c r="A6">
        <v>105</v>
      </c>
      <c r="B6">
        <v>250</v>
      </c>
      <c r="C6">
        <v>670</v>
      </c>
      <c r="D6" t="s">
        <v>33</v>
      </c>
      <c r="E6" t="s">
        <v>34</v>
      </c>
      <c r="F6" t="str" cm="1">
        <f t="array" ref="F6">_xlfn.IFNA(INDEX(Movies[],MATCH(Financials[[#This Row],[movie_id]:[movie_id]],Movies[[movie_id]:[movie_id]],0),MATCH(Financials[[#Headers],[studio]],Movies[#Headers],0)),"Not Avilable")</f>
        <v>Marvel Studios</v>
      </c>
      <c r="G6" cm="1">
        <f t="array" ref="G6">IFERROR(INDEX(Movies[],MATCH(Financials[[#This Row],[movie_id]:[movie_id]],Movies[[movie_id]:[movie_id]],0),MATCH(Financials[[#Headers],[imdb_rating]],Movies[#Headers],0)),"Not Available")</f>
        <v>6.8</v>
      </c>
      <c r="H6" cm="1">
        <f t="array" ref="H6">IFERROR(INDEX(Movies[],MATCH(Financials[[#This Row],[movie_id]:[movie_id]],Movies[[movie_id]:[movie_id]],0),MATCH(Financials[[#Headers],[release_year]],Movies[#Headers],0)),"Not Available")</f>
        <v>2022</v>
      </c>
      <c r="I6" cm="1">
        <f t="array" ref="I6">IFERROR(INDEX(Movies[],MATCH(Financials[[#This Row],[movie_id]:[movie_id]],Movies[[movie_id]:[movie_id]],0),MATCH(Financials[[#Headers],[language_id]],Movies[#Headers],0)),"Not Available")</f>
        <v>5</v>
      </c>
    </row>
    <row r="7" spans="1:13" x14ac:dyDescent="0.3">
      <c r="A7">
        <v>107</v>
      </c>
      <c r="B7">
        <v>400</v>
      </c>
      <c r="C7">
        <v>2000</v>
      </c>
      <c r="D7" t="s">
        <v>33</v>
      </c>
      <c r="E7" t="s">
        <v>32</v>
      </c>
      <c r="F7" t="str" cm="1">
        <f t="array" ref="F7">_xlfn.IFNA(INDEX(Movies[],MATCH(Financials[[#This Row],[movie_id]:[movie_id]],Movies[[movie_id]:[movie_id]],0),MATCH(Financials[[#Headers],[studio]],Movies[#Headers],0)),"Not Avilable")</f>
        <v>Yash Raj Films</v>
      </c>
      <c r="G7" cm="1">
        <f t="array" ref="G7">IFERROR(INDEX(Movies[],MATCH(Financials[[#This Row],[movie_id]:[movie_id]],Movies[[movie_id]:[movie_id]],0),MATCH(Financials[[#Headers],[imdb_rating]],Movies[#Headers],0)),"Not Available")</f>
        <v>8</v>
      </c>
      <c r="H7" cm="1">
        <f t="array" ref="H7">IFERROR(INDEX(Movies[],MATCH(Financials[[#This Row],[movie_id]:[movie_id]],Movies[[movie_id]:[movie_id]],0),MATCH(Financials[[#Headers],[release_year]],Movies[#Headers],0)),"Not Available")</f>
        <v>1995</v>
      </c>
      <c r="I7" cm="1">
        <f t="array" ref="I7">IFERROR(INDEX(Movies[],MATCH(Financials[[#This Row],[movie_id]:[movie_id]],Movies[[movie_id]:[movie_id]],0),MATCH(Financials[[#Headers],[language_id]],Movies[#Headers],0)),"Not Available")</f>
        <v>1</v>
      </c>
    </row>
    <row r="8" spans="1:13" x14ac:dyDescent="0.3">
      <c r="A8">
        <v>108</v>
      </c>
      <c r="B8">
        <v>550</v>
      </c>
      <c r="C8">
        <v>4000</v>
      </c>
      <c r="D8" t="s">
        <v>33</v>
      </c>
      <c r="E8" t="s">
        <v>32</v>
      </c>
      <c r="F8" t="str" cm="1">
        <f t="array" ref="F8">_xlfn.IFNA(INDEX(Movies[],MATCH(Financials[[#This Row],[movie_id]:[movie_id]],Movies[[movie_id]:[movie_id]],0),MATCH(Financials[[#Headers],[studio]],Movies[#Headers],0)),"Not Avilable")</f>
        <v>Vinod Chopra Films</v>
      </c>
      <c r="G8" cm="1">
        <f t="array" ref="G8">IFERROR(INDEX(Movies[],MATCH(Financials[[#This Row],[movie_id]:[movie_id]],Movies[[movie_id]:[movie_id]],0),MATCH(Financials[[#Headers],[imdb_rating]],Movies[#Headers],0)),"Not Available")</f>
        <v>8.4</v>
      </c>
      <c r="H8" cm="1">
        <f t="array" ref="H8">IFERROR(INDEX(Movies[],MATCH(Financials[[#This Row],[movie_id]:[movie_id]],Movies[[movie_id]:[movie_id]],0),MATCH(Financials[[#Headers],[release_year]],Movies[#Headers],0)),"Not Available")</f>
        <v>2009</v>
      </c>
      <c r="I8" cm="1">
        <f t="array" ref="I8">IFERROR(INDEX(Movies[],MATCH(Financials[[#This Row],[movie_id]:[movie_id]],Movies[[movie_id]:[movie_id]],0),MATCH(Financials[[#Headers],[language_id]],Movies[#Headers],0)),"Not Available")</f>
        <v>1</v>
      </c>
    </row>
    <row r="9" spans="1:13" x14ac:dyDescent="0.3">
      <c r="A9">
        <v>109</v>
      </c>
      <c r="B9">
        <v>390</v>
      </c>
      <c r="C9">
        <v>1360</v>
      </c>
      <c r="D9" t="s">
        <v>33</v>
      </c>
      <c r="E9" t="s">
        <v>32</v>
      </c>
      <c r="F9" t="str" cm="1">
        <f t="array" ref="F9">_xlfn.IFNA(INDEX(Movies[],MATCH(Financials[[#This Row],[movie_id]:[movie_id]],Movies[[movie_id]:[movie_id]],0),MATCH(Financials[[#Headers],[studio]],Movies[#Headers],0)),"Not Avilable")</f>
        <v>Dharma Productions</v>
      </c>
      <c r="G9" cm="1">
        <f t="array" ref="G9">IFERROR(INDEX(Movies[],MATCH(Financials[[#This Row],[movie_id]:[movie_id]],Movies[[movie_id]:[movie_id]],0),MATCH(Financials[[#Headers],[imdb_rating]],Movies[#Headers],0)),"Not Available")</f>
        <v>7.4</v>
      </c>
      <c r="H9" cm="1">
        <f t="array" ref="H9">IFERROR(INDEX(Movies[],MATCH(Financials[[#This Row],[movie_id]:[movie_id]],Movies[[movie_id]:[movie_id]],0),MATCH(Financials[[#Headers],[release_year]],Movies[#Headers],0)),"Not Available")</f>
        <v>2001</v>
      </c>
      <c r="I9" cm="1">
        <f t="array" ref="I9">IFERROR(INDEX(Movies[],MATCH(Financials[[#This Row],[movie_id]:[movie_id]],Movies[[movie_id]:[movie_id]],0),MATCH(Financials[[#Headers],[language_id]],Movies[#Headers],0)),"Not Available")</f>
        <v>1</v>
      </c>
    </row>
    <row r="10" spans="1:13" x14ac:dyDescent="0.3">
      <c r="A10">
        <v>110</v>
      </c>
      <c r="B10">
        <v>1.4</v>
      </c>
      <c r="C10">
        <v>3.5</v>
      </c>
      <c r="D10" t="s">
        <v>31</v>
      </c>
      <c r="E10" t="s">
        <v>32</v>
      </c>
      <c r="F10" t="str" cm="1">
        <f t="array" ref="F10">_xlfn.IFNA(INDEX(Movies[],MATCH(Financials[[#This Row],[movie_id]:[movie_id]],Movies[[movie_id]:[movie_id]],0),MATCH(Financials[[#Headers],[studio]],Movies[#Headers],0)),"Not Avilable")</f>
        <v>Unavailable</v>
      </c>
      <c r="G10" cm="1">
        <f t="array" ref="G10">IFERROR(INDEX(Movies[],MATCH(Financials[[#This Row],[movie_id]:[movie_id]],Movies[[movie_id]:[movie_id]],0),MATCH(Financials[[#Headers],[imdb_rating]],Movies[#Headers],0)),"Not Available")</f>
        <v>7.2</v>
      </c>
      <c r="H10" cm="1">
        <f t="array" ref="H10">IFERROR(INDEX(Movies[],MATCH(Financials[[#This Row],[movie_id]:[movie_id]],Movies[[movie_id]:[movie_id]],0),MATCH(Financials[[#Headers],[release_year]],Movies[#Headers],0)),"Not Available")</f>
        <v>2015</v>
      </c>
      <c r="I10" cm="1">
        <f t="array" ref="I10">IFERROR(INDEX(Movies[],MATCH(Financials[[#This Row],[movie_id]:[movie_id]],Movies[[movie_id]:[movie_id]],0),MATCH(Financials[[#Headers],[language_id]],Movies[#Headers],0)),"Not Available")</f>
        <v>1</v>
      </c>
    </row>
    <row r="11" spans="1:13" x14ac:dyDescent="0.3">
      <c r="A11">
        <v>111</v>
      </c>
      <c r="B11">
        <v>25</v>
      </c>
      <c r="C11">
        <v>73.3</v>
      </c>
      <c r="D11" t="s">
        <v>33</v>
      </c>
      <c r="E11" t="s">
        <v>34</v>
      </c>
      <c r="F11" t="str" cm="1">
        <f t="array" ref="F11">_xlfn.IFNA(INDEX(Movies[],MATCH(Financials[[#This Row],[movie_id]:[movie_id]],Movies[[movie_id]:[movie_id]],0),MATCH(Financials[[#Headers],[studio]],Movies[#Headers],0)),"Not Avilable")</f>
        <v>Castle Rock Entertainment</v>
      </c>
      <c r="G11" cm="1">
        <f t="array" ref="G11">IFERROR(INDEX(Movies[],MATCH(Financials[[#This Row],[movie_id]:[movie_id]],Movies[[movie_id]:[movie_id]],0),MATCH(Financials[[#Headers],[imdb_rating]],Movies[#Headers],0)),"Not Available")</f>
        <v>9.3000000000000007</v>
      </c>
      <c r="H11" cm="1">
        <f t="array" ref="H11">IFERROR(INDEX(Movies[],MATCH(Financials[[#This Row],[movie_id]:[movie_id]],Movies[[movie_id]:[movie_id]],0),MATCH(Financials[[#Headers],[release_year]],Movies[#Headers],0)),"Not Available")</f>
        <v>1994</v>
      </c>
      <c r="I11" cm="1">
        <f t="array" ref="I11">IFERROR(INDEX(Movies[],MATCH(Financials[[#This Row],[movie_id]:[movie_id]],Movies[[movie_id]:[movie_id]],0),MATCH(Financials[[#Headers],[language_id]],Movies[#Headers],0)),"Not Available")</f>
        <v>5</v>
      </c>
    </row>
    <row r="12" spans="1:13" x14ac:dyDescent="0.3">
      <c r="A12">
        <v>113</v>
      </c>
      <c r="B12">
        <v>165</v>
      </c>
      <c r="C12">
        <v>701.8</v>
      </c>
      <c r="D12" t="s">
        <v>33</v>
      </c>
      <c r="E12" t="s">
        <v>34</v>
      </c>
      <c r="F12" t="str" cm="1">
        <f t="array" ref="F12">_xlfn.IFNA(INDEX(Movies[],MATCH(Financials[[#This Row],[movie_id]:[movie_id]],Movies[[movie_id]:[movie_id]],0),MATCH(Financials[[#Headers],[studio]],Movies[#Headers],0)),"Not Avilable")</f>
        <v>Warner Bros. Pictures</v>
      </c>
      <c r="G12" cm="1">
        <f t="array" ref="G12">IFERROR(INDEX(Movies[],MATCH(Financials[[#This Row],[movie_id]:[movie_id]],Movies[[movie_id]:[movie_id]],0),MATCH(Financials[[#Headers],[imdb_rating]],Movies[#Headers],0)),"Not Available")</f>
        <v>8.6</v>
      </c>
      <c r="H12" cm="1">
        <f t="array" ref="H12">IFERROR(INDEX(Movies[],MATCH(Financials[[#This Row],[movie_id]:[movie_id]],Movies[[movie_id]:[movie_id]],0),MATCH(Financials[[#Headers],[release_year]],Movies[#Headers],0)),"Not Available")</f>
        <v>2014</v>
      </c>
      <c r="I12" cm="1">
        <f t="array" ref="I12">IFERROR(INDEX(Movies[],MATCH(Financials[[#This Row],[movie_id]:[movie_id]],Movies[[movie_id]:[movie_id]],0),MATCH(Financials[[#Headers],[language_id]],Movies[#Headers],0)),"Not Available")</f>
        <v>5</v>
      </c>
    </row>
    <row r="13" spans="1:13" x14ac:dyDescent="0.3">
      <c r="A13">
        <v>114</v>
      </c>
      <c r="B13">
        <v>205</v>
      </c>
      <c r="C13">
        <v>365.3</v>
      </c>
      <c r="D13" t="s">
        <v>33</v>
      </c>
      <c r="E13" t="s">
        <v>34</v>
      </c>
      <c r="F13" t="str" cm="1">
        <f t="array" ref="F13">_xlfn.IFNA(INDEX(Movies[],MATCH(Financials[[#This Row],[movie_id]:[movie_id]],Movies[[movie_id]:[movie_id]],0),MATCH(Financials[[#Headers],[studio]],Movies[#Headers],0)),"Not Avilable")</f>
        <v>Not Avilable</v>
      </c>
      <c r="G13" t="str" cm="1">
        <f t="array" ref="G13">IFERROR(INDEX(Movies[],MATCH(Financials[[#This Row],[movie_id]:[movie_id]],Movies[[movie_id]:[movie_id]],0),MATCH(Financials[[#Headers],[imdb_rating]],Movies[#Headers],0)),"Not Available")</f>
        <v>Not Available</v>
      </c>
      <c r="H13" t="str" cm="1">
        <f t="array" ref="H13">IFERROR(INDEX(Movies[],MATCH(Financials[[#This Row],[movie_id]:[movie_id]],Movies[[movie_id]:[movie_id]],0),MATCH(Financials[[#Headers],[release_year]],Movies[#Headers],0)),"Not Available")</f>
        <v>Not Available</v>
      </c>
      <c r="I13" t="str" cm="1">
        <f t="array" ref="I13">IFERROR(INDEX(Movies[],MATCH(Financials[[#This Row],[movie_id]:[movie_id]],Movies[[movie_id]:[movie_id]],0),MATCH(Financials[[#Headers],[language_id]],Movies[#Headers],0)),"Not Available")</f>
        <v>Not Available</v>
      </c>
    </row>
    <row r="14" spans="1:13" x14ac:dyDescent="0.3">
      <c r="A14">
        <v>115</v>
      </c>
      <c r="B14">
        <v>55</v>
      </c>
      <c r="C14">
        <v>307.10000000000002</v>
      </c>
      <c r="D14" t="s">
        <v>33</v>
      </c>
      <c r="E14" t="s">
        <v>34</v>
      </c>
      <c r="F14" t="str" cm="1">
        <f t="array" ref="F14">_xlfn.IFNA(INDEX(Movies[],MATCH(Financials[[#This Row],[movie_id]:[movie_id]],Movies[[movie_id]:[movie_id]],0),MATCH(Financials[[#Headers],[studio]],Movies[#Headers],0)),"Not Avilable")</f>
        <v>Columbia Pictures</v>
      </c>
      <c r="G14" cm="1">
        <f t="array" ref="G14">IFERROR(INDEX(Movies[],MATCH(Financials[[#This Row],[movie_id]:[movie_id]],Movies[[movie_id]:[movie_id]],0),MATCH(Financials[[#Headers],[imdb_rating]],Movies[#Headers],0)),"Not Available")</f>
        <v>8</v>
      </c>
      <c r="H14" cm="1">
        <f t="array" ref="H14">IFERROR(INDEX(Movies[],MATCH(Financials[[#This Row],[movie_id]:[movie_id]],Movies[[movie_id]:[movie_id]],0),MATCH(Financials[[#Headers],[release_year]],Movies[#Headers],0)),"Not Available")</f>
        <v>2006</v>
      </c>
      <c r="I14" cm="1">
        <f t="array" ref="I14">IFERROR(INDEX(Movies[],MATCH(Financials[[#This Row],[movie_id]:[movie_id]],Movies[[movie_id]:[movie_id]],0),MATCH(Financials[[#Headers],[language_id]],Movies[#Headers],0)),"Not Available")</f>
        <v>5</v>
      </c>
    </row>
    <row r="15" spans="1:13" x14ac:dyDescent="0.3">
      <c r="A15">
        <v>116</v>
      </c>
      <c r="B15">
        <v>103</v>
      </c>
      <c r="C15">
        <v>460.5</v>
      </c>
      <c r="D15" t="s">
        <v>33</v>
      </c>
      <c r="E15" t="s">
        <v>34</v>
      </c>
      <c r="F15" t="str" cm="1">
        <f t="array" ref="F15">_xlfn.IFNA(INDEX(Movies[],MATCH(Financials[[#This Row],[movie_id]:[movie_id]],Movies[[movie_id]:[movie_id]],0),MATCH(Financials[[#Headers],[studio]],Movies[#Headers],0)),"Not Avilable")</f>
        <v>Universal Pictures</v>
      </c>
      <c r="G15" cm="1">
        <f t="array" ref="G15">IFERROR(INDEX(Movies[],MATCH(Financials[[#This Row],[movie_id]:[movie_id]],Movies[[movie_id]:[movie_id]],0),MATCH(Financials[[#Headers],[imdb_rating]],Movies[#Headers],0)),"Not Available")</f>
        <v>8.5</v>
      </c>
      <c r="H15" cm="1">
        <f t="array" ref="H15">IFERROR(INDEX(Movies[],MATCH(Financials[[#This Row],[movie_id]:[movie_id]],Movies[[movie_id]:[movie_id]],0),MATCH(Financials[[#Headers],[release_year]],Movies[#Headers],0)),"Not Available")</f>
        <v>2000</v>
      </c>
      <c r="I15" cm="1">
        <f t="array" ref="I15">IFERROR(INDEX(Movies[],MATCH(Financials[[#This Row],[movie_id]:[movie_id]],Movies[[movie_id]:[movie_id]],0),MATCH(Financials[[#Headers],[language_id]],Movies[#Headers],0)),"Not Available")</f>
        <v>5</v>
      </c>
    </row>
    <row r="16" spans="1:13" x14ac:dyDescent="0.3">
      <c r="A16">
        <v>117</v>
      </c>
      <c r="B16">
        <v>200</v>
      </c>
      <c r="C16">
        <v>2202</v>
      </c>
      <c r="D16" t="s">
        <v>33</v>
      </c>
      <c r="E16" t="s">
        <v>34</v>
      </c>
      <c r="F16" t="str" cm="1">
        <f t="array" ref="F16">_xlfn.IFNA(INDEX(Movies[],MATCH(Financials[[#This Row],[movie_id]:[movie_id]],Movies[[movie_id]:[movie_id]],0),MATCH(Financials[[#Headers],[studio]],Movies[#Headers],0)),"Not Avilable")</f>
        <v>Paramount Pictures</v>
      </c>
      <c r="G16" cm="1">
        <f t="array" ref="G16">IFERROR(INDEX(Movies[],MATCH(Financials[[#This Row],[movie_id]:[movie_id]],Movies[[movie_id]:[movie_id]],0),MATCH(Financials[[#Headers],[imdb_rating]],Movies[#Headers],0)),"Not Available")</f>
        <v>7.9</v>
      </c>
      <c r="H16" cm="1">
        <f t="array" ref="H16">IFERROR(INDEX(Movies[],MATCH(Financials[[#This Row],[movie_id]:[movie_id]],Movies[[movie_id]:[movie_id]],0),MATCH(Financials[[#Headers],[release_year]],Movies[#Headers],0)),"Not Available")</f>
        <v>1997</v>
      </c>
      <c r="I16" cm="1">
        <f t="array" ref="I16">IFERROR(INDEX(Movies[],MATCH(Financials[[#This Row],[movie_id]:[movie_id]],Movies[[movie_id]:[movie_id]],0),MATCH(Financials[[#Headers],[language_id]],Movies[#Headers],0)),"Not Available")</f>
        <v>5</v>
      </c>
    </row>
    <row r="17" spans="1:9" x14ac:dyDescent="0.3">
      <c r="A17">
        <v>118</v>
      </c>
      <c r="B17">
        <v>3.18</v>
      </c>
      <c r="C17">
        <v>3.3</v>
      </c>
      <c r="D17" t="s">
        <v>33</v>
      </c>
      <c r="E17" t="s">
        <v>34</v>
      </c>
      <c r="F17" t="str" cm="1">
        <f t="array" ref="F17">_xlfn.IFNA(INDEX(Movies[],MATCH(Financials[[#This Row],[movie_id]:[movie_id]],Movies[[movie_id]:[movie_id]],0),MATCH(Financials[[#Headers],[studio]],Movies[#Headers],0)),"Not Avilable")</f>
        <v>Liberty Films</v>
      </c>
      <c r="G17" cm="1">
        <f t="array" ref="G17">IFERROR(INDEX(Movies[],MATCH(Financials[[#This Row],[movie_id]:[movie_id]],Movies[[movie_id]:[movie_id]],0),MATCH(Financials[[#Headers],[imdb_rating]],Movies[#Headers],0)),"Not Available")</f>
        <v>8.6</v>
      </c>
      <c r="H17" cm="1">
        <f t="array" ref="H17">IFERROR(INDEX(Movies[],MATCH(Financials[[#This Row],[movie_id]:[movie_id]],Movies[[movie_id]:[movie_id]],0),MATCH(Financials[[#Headers],[release_year]],Movies[#Headers],0)),"Not Available")</f>
        <v>1946</v>
      </c>
      <c r="I17" cm="1">
        <f t="array" ref="I17">IFERROR(INDEX(Movies[],MATCH(Financials[[#This Row],[movie_id]:[movie_id]],Movies[[movie_id]:[movie_id]],0),MATCH(Financials[[#Headers],[language_id]],Movies[#Headers],0)),"Not Available")</f>
        <v>5</v>
      </c>
    </row>
    <row r="18" spans="1:9" x14ac:dyDescent="0.3">
      <c r="A18">
        <v>119</v>
      </c>
      <c r="B18">
        <v>237</v>
      </c>
      <c r="C18">
        <v>2847</v>
      </c>
      <c r="D18" t="s">
        <v>33</v>
      </c>
      <c r="E18" t="s">
        <v>34</v>
      </c>
      <c r="F18" t="str" cm="1">
        <f t="array" ref="F18">_xlfn.IFNA(INDEX(Movies[],MATCH(Financials[[#This Row],[movie_id]:[movie_id]],Movies[[movie_id]:[movie_id]],0),MATCH(Financials[[#Headers],[studio]],Movies[#Headers],0)),"Not Avilable")</f>
        <v>20th Century Fox</v>
      </c>
      <c r="G18" cm="1">
        <f t="array" ref="G18">IFERROR(INDEX(Movies[],MATCH(Financials[[#This Row],[movie_id]:[movie_id]],Movies[[movie_id]:[movie_id]],0),MATCH(Financials[[#Headers],[imdb_rating]],Movies[#Headers],0)),"Not Available")</f>
        <v>7.8</v>
      </c>
      <c r="H18" cm="1">
        <f t="array" ref="H18">IFERROR(INDEX(Movies[],MATCH(Financials[[#This Row],[movie_id]:[movie_id]],Movies[[movie_id]:[movie_id]],0),MATCH(Financials[[#Headers],[release_year]],Movies[#Headers],0)),"Not Available")</f>
        <v>2009</v>
      </c>
      <c r="I18" cm="1">
        <f t="array" ref="I18">IFERROR(INDEX(Movies[],MATCH(Financials[[#This Row],[movie_id]:[movie_id]],Movies[[movie_id]:[movie_id]],0),MATCH(Financials[[#Headers],[language_id]],Movies[#Headers],0)),"Not Available")</f>
        <v>5</v>
      </c>
    </row>
    <row r="19" spans="1:9" x14ac:dyDescent="0.3">
      <c r="A19">
        <v>120</v>
      </c>
      <c r="B19">
        <v>7.2</v>
      </c>
      <c r="C19">
        <v>291</v>
      </c>
      <c r="D19" t="s">
        <v>33</v>
      </c>
      <c r="E19" t="s">
        <v>34</v>
      </c>
      <c r="F19" t="str" cm="1">
        <f t="array" ref="F19">_xlfn.IFNA(INDEX(Movies[],MATCH(Financials[[#This Row],[movie_id]:[movie_id]],Movies[[movie_id]:[movie_id]],0),MATCH(Financials[[#Headers],[studio]],Movies[#Headers],0)),"Not Avilable")</f>
        <v>Paramount Pictures</v>
      </c>
      <c r="G19" cm="1">
        <f t="array" ref="G19">IFERROR(INDEX(Movies[],MATCH(Financials[[#This Row],[movie_id]:[movie_id]],Movies[[movie_id]:[movie_id]],0),MATCH(Financials[[#Headers],[imdb_rating]],Movies[#Headers],0)),"Not Available")</f>
        <v>9.1999999999999993</v>
      </c>
      <c r="H19" cm="1">
        <f t="array" ref="H19">IFERROR(INDEX(Movies[],MATCH(Financials[[#This Row],[movie_id]:[movie_id]],Movies[[movie_id]:[movie_id]],0),MATCH(Financials[[#Headers],[release_year]],Movies[#Headers],0)),"Not Available")</f>
        <v>1972</v>
      </c>
      <c r="I19" cm="1">
        <f t="array" ref="I19">IFERROR(INDEX(Movies[],MATCH(Financials[[#This Row],[movie_id]:[movie_id]],Movies[[movie_id]:[movie_id]],0),MATCH(Financials[[#Headers],[language_id]],Movies[#Headers],0)),"Not Available")</f>
        <v>5</v>
      </c>
    </row>
    <row r="20" spans="1:9" x14ac:dyDescent="0.3">
      <c r="A20">
        <v>121</v>
      </c>
      <c r="B20">
        <v>185</v>
      </c>
      <c r="C20">
        <v>1006</v>
      </c>
      <c r="D20" t="s">
        <v>33</v>
      </c>
      <c r="E20" t="s">
        <v>34</v>
      </c>
      <c r="F20" t="str" cm="1">
        <f t="array" ref="F20">_xlfn.IFNA(INDEX(Movies[],MATCH(Financials[[#This Row],[movie_id]:[movie_id]],Movies[[movie_id]:[movie_id]],0),MATCH(Financials[[#Headers],[studio]],Movies[#Headers],0)),"Not Avilable")</f>
        <v>Syncopy</v>
      </c>
      <c r="G20" cm="1">
        <f t="array" ref="G20">IFERROR(INDEX(Movies[],MATCH(Financials[[#This Row],[movie_id]:[movie_id]],Movies[[movie_id]:[movie_id]],0),MATCH(Financials[[#Headers],[imdb_rating]],Movies[#Headers],0)),"Not Available")</f>
        <v>9</v>
      </c>
      <c r="H20" cm="1">
        <f t="array" ref="H20">IFERROR(INDEX(Movies[],MATCH(Financials[[#This Row],[movie_id]:[movie_id]],Movies[[movie_id]:[movie_id]],0),MATCH(Financials[[#Headers],[release_year]],Movies[#Headers],0)),"Not Available")</f>
        <v>2008</v>
      </c>
      <c r="I20" cm="1">
        <f t="array" ref="I20">IFERROR(INDEX(Movies[],MATCH(Financials[[#This Row],[movie_id]:[movie_id]],Movies[[movie_id]:[movie_id]],0),MATCH(Financials[[#Headers],[language_id]],Movies[#Headers],0)),"Not Available")</f>
        <v>5</v>
      </c>
    </row>
    <row r="21" spans="1:9" x14ac:dyDescent="0.3">
      <c r="A21">
        <v>122</v>
      </c>
      <c r="B21">
        <v>22</v>
      </c>
      <c r="C21">
        <v>322.2</v>
      </c>
      <c r="D21" t="s">
        <v>33</v>
      </c>
      <c r="E21" t="s">
        <v>34</v>
      </c>
      <c r="F21" t="str" cm="1">
        <f t="array" ref="F21">_xlfn.IFNA(INDEX(Movies[],MATCH(Financials[[#This Row],[movie_id]:[movie_id]],Movies[[movie_id]:[movie_id]],0),MATCH(Financials[[#Headers],[studio]],Movies[#Headers],0)),"Not Avilable")</f>
        <v>Universal Pictures</v>
      </c>
      <c r="G21" cm="1">
        <f t="array" ref="G21">IFERROR(INDEX(Movies[],MATCH(Financials[[#This Row],[movie_id]:[movie_id]],Movies[[movie_id]:[movie_id]],0),MATCH(Financials[[#Headers],[imdb_rating]],Movies[#Headers],0)),"Not Available")</f>
        <v>9</v>
      </c>
      <c r="H21" cm="1">
        <f t="array" ref="H21">IFERROR(INDEX(Movies[],MATCH(Financials[[#This Row],[movie_id]:[movie_id]],Movies[[movie_id]:[movie_id]],0),MATCH(Financials[[#Headers],[release_year]],Movies[#Headers],0)),"Not Available")</f>
        <v>1993</v>
      </c>
      <c r="I21" cm="1">
        <f t="array" ref="I21">IFERROR(INDEX(Movies[],MATCH(Financials[[#This Row],[movie_id]:[movie_id]],Movies[[movie_id]:[movie_id]],0),MATCH(Financials[[#Headers],[language_id]],Movies[#Headers],0)),"Not Available")</f>
        <v>5</v>
      </c>
    </row>
    <row r="22" spans="1:9" x14ac:dyDescent="0.3">
      <c r="A22">
        <v>123</v>
      </c>
      <c r="B22">
        <v>63</v>
      </c>
      <c r="C22">
        <v>1046</v>
      </c>
      <c r="D22" t="s">
        <v>33</v>
      </c>
      <c r="E22" t="s">
        <v>34</v>
      </c>
      <c r="F22" t="str" cm="1">
        <f t="array" ref="F22">_xlfn.IFNA(INDEX(Movies[],MATCH(Financials[[#This Row],[movie_id]:[movie_id]],Movies[[movie_id]:[movie_id]],0),MATCH(Financials[[#Headers],[studio]],Movies[#Headers],0)),"Not Avilable")</f>
        <v>Universal Pictures</v>
      </c>
      <c r="G22" cm="1">
        <f t="array" ref="G22">IFERROR(INDEX(Movies[],MATCH(Financials[[#This Row],[movie_id]:[movie_id]],Movies[[movie_id]:[movie_id]],0),MATCH(Financials[[#Headers],[imdb_rating]],Movies[#Headers],0)),"Not Available")</f>
        <v>8.1999999999999993</v>
      </c>
      <c r="H22" cm="1">
        <f t="array" ref="H22">IFERROR(INDEX(Movies[],MATCH(Financials[[#This Row],[movie_id]:[movie_id]],Movies[[movie_id]:[movie_id]],0),MATCH(Financials[[#Headers],[release_year]],Movies[#Headers],0)),"Not Available")</f>
        <v>1993</v>
      </c>
      <c r="I22" cm="1">
        <f t="array" ref="I22">IFERROR(INDEX(Movies[],MATCH(Financials[[#This Row],[movie_id]:[movie_id]],Movies[[movie_id]:[movie_id]],0),MATCH(Financials[[#Headers],[language_id]],Movies[#Headers],0)),"Not Available")</f>
        <v>5</v>
      </c>
    </row>
    <row r="23" spans="1:9" x14ac:dyDescent="0.3">
      <c r="A23">
        <v>124</v>
      </c>
      <c r="B23">
        <v>15.5</v>
      </c>
      <c r="C23">
        <v>263.10000000000002</v>
      </c>
      <c r="D23" t="s">
        <v>33</v>
      </c>
      <c r="E23" t="s">
        <v>34</v>
      </c>
      <c r="F23" t="str" cm="1">
        <f t="array" ref="F23">_xlfn.IFNA(INDEX(Movies[],MATCH(Financials[[#This Row],[movie_id]:[movie_id]],Movies[[movie_id]:[movie_id]],0),MATCH(Financials[[#Headers],[studio]],Movies[#Headers],0)),"Not Avilable")</f>
        <v>Unavailable</v>
      </c>
      <c r="G23" cm="1">
        <f t="array" ref="G23">IFERROR(INDEX(Movies[],MATCH(Financials[[#This Row],[movie_id]:[movie_id]],Movies[[movie_id]:[movie_id]],0),MATCH(Financials[[#Headers],[imdb_rating]],Movies[#Headers],0)),"Not Available")</f>
        <v>8.5</v>
      </c>
      <c r="H23" cm="1">
        <f t="array" ref="H23">IFERROR(INDEX(Movies[],MATCH(Financials[[#This Row],[movie_id]:[movie_id]],Movies[[movie_id]:[movie_id]],0),MATCH(Financials[[#Headers],[release_year]],Movies[#Headers],0)),"Not Available")</f>
        <v>2019</v>
      </c>
      <c r="I23" cm="1">
        <f t="array" ref="I23">IFERROR(INDEX(Movies[],MATCH(Financials[[#This Row],[movie_id]:[movie_id]],Movies[[movie_id]:[movie_id]],0),MATCH(Financials[[#Headers],[language_id]],Movies[#Headers],0)),"Not Available")</f>
        <v>5</v>
      </c>
    </row>
    <row r="24" spans="1:9" x14ac:dyDescent="0.3">
      <c r="A24">
        <v>125</v>
      </c>
      <c r="B24">
        <v>400</v>
      </c>
      <c r="C24">
        <v>2798</v>
      </c>
      <c r="D24" t="s">
        <v>33</v>
      </c>
      <c r="E24" t="s">
        <v>34</v>
      </c>
      <c r="F24" t="str" cm="1">
        <f t="array" ref="F24">_xlfn.IFNA(INDEX(Movies[],MATCH(Financials[[#This Row],[movie_id]:[movie_id]],Movies[[movie_id]:[movie_id]],0),MATCH(Financials[[#Headers],[studio]],Movies[#Headers],0)),"Not Avilable")</f>
        <v>Marvel Studios</v>
      </c>
      <c r="G24" cm="1">
        <f t="array" ref="G24">IFERROR(INDEX(Movies[],MATCH(Financials[[#This Row],[movie_id]:[movie_id]],Movies[[movie_id]:[movie_id]],0),MATCH(Financials[[#Headers],[imdb_rating]],Movies[#Headers],0)),"Not Available")</f>
        <v>8.4</v>
      </c>
      <c r="H24" cm="1">
        <f t="array" ref="H24">IFERROR(INDEX(Movies[],MATCH(Financials[[#This Row],[movie_id]:[movie_id]],Movies[[movie_id]:[movie_id]],0),MATCH(Financials[[#Headers],[release_year]],Movies[#Headers],0)),"Not Available")</f>
        <v>2019</v>
      </c>
      <c r="I24" cm="1">
        <f t="array" ref="I24">IFERROR(INDEX(Movies[],MATCH(Financials[[#This Row],[movie_id]:[movie_id]],Movies[[movie_id]:[movie_id]],0),MATCH(Financials[[#Headers],[language_id]],Movies[#Headers],0)),"Not Available")</f>
        <v>5</v>
      </c>
    </row>
    <row r="25" spans="1:9" x14ac:dyDescent="0.3">
      <c r="A25">
        <v>126</v>
      </c>
      <c r="B25">
        <v>400</v>
      </c>
      <c r="C25">
        <v>2048</v>
      </c>
      <c r="D25" t="s">
        <v>33</v>
      </c>
      <c r="E25" t="s">
        <v>34</v>
      </c>
      <c r="F25" t="str" cm="1">
        <f t="array" ref="F25">_xlfn.IFNA(INDEX(Movies[],MATCH(Financials[[#This Row],[movie_id]:[movie_id]],Movies[[movie_id]:[movie_id]],0),MATCH(Financials[[#Headers],[studio]],Movies[#Headers],0)),"Not Avilable")</f>
        <v>Marvel Studios</v>
      </c>
      <c r="G25" cm="1">
        <f t="array" ref="G25">IFERROR(INDEX(Movies[],MATCH(Financials[[#This Row],[movie_id]:[movie_id]],Movies[[movie_id]:[movie_id]],0),MATCH(Financials[[#Headers],[imdb_rating]],Movies[#Headers],0)),"Not Available")</f>
        <v>8.4</v>
      </c>
      <c r="H25" cm="1">
        <f t="array" ref="H25">IFERROR(INDEX(Movies[],MATCH(Financials[[#This Row],[movie_id]:[movie_id]],Movies[[movie_id]:[movie_id]],0),MATCH(Financials[[#Headers],[release_year]],Movies[#Headers],0)),"Not Available")</f>
        <v>2018</v>
      </c>
      <c r="I25" cm="1">
        <f t="array" ref="I25">IFERROR(INDEX(Movies[],MATCH(Financials[[#This Row],[movie_id]:[movie_id]],Movies[[movie_id]:[movie_id]],0),MATCH(Financials[[#Headers],[language_id]],Movies[#Headers],0)),"Not Available")</f>
        <v>5</v>
      </c>
    </row>
    <row r="26" spans="1:9" x14ac:dyDescent="0.3">
      <c r="A26">
        <v>127</v>
      </c>
      <c r="B26">
        <v>70</v>
      </c>
      <c r="C26">
        <v>100</v>
      </c>
      <c r="D26" t="s">
        <v>33</v>
      </c>
      <c r="E26" t="s">
        <v>32</v>
      </c>
      <c r="F26" t="str" cm="1">
        <f t="array" ref="F26">_xlfn.IFNA(INDEX(Movies[],MATCH(Financials[[#This Row],[movie_id]:[movie_id]],Movies[[movie_id]:[movie_id]],0),MATCH(Financials[[#Headers],[studio]],Movies[#Headers],0)),"Not Avilable")</f>
        <v>Government of West Bengal</v>
      </c>
      <c r="G26" cm="1">
        <f t="array" ref="G26">IFERROR(INDEX(Movies[],MATCH(Financials[[#This Row],[movie_id]:[movie_id]],Movies[[movie_id]:[movie_id]],0),MATCH(Financials[[#Headers],[imdb_rating]],Movies[#Headers],0)),"Not Available")</f>
        <v>8.3000000000000007</v>
      </c>
      <c r="H26" cm="1">
        <f t="array" ref="H26">IFERROR(INDEX(Movies[],MATCH(Financials[[#This Row],[movie_id]:[movie_id]],Movies[[movie_id]:[movie_id]],0),MATCH(Financials[[#Headers],[release_year]],Movies[#Headers],0)),"Not Available")</f>
        <v>1955</v>
      </c>
      <c r="I26" cm="1">
        <f t="array" ref="I26">IFERROR(INDEX(Movies[],MATCH(Financials[[#This Row],[movie_id]:[movie_id]],Movies[[movie_id]:[movie_id]],0),MATCH(Financials[[#Headers],[language_id]],Movies[#Headers],0)),"Not Available")</f>
        <v>7</v>
      </c>
    </row>
    <row r="27" spans="1:9" x14ac:dyDescent="0.3">
      <c r="A27">
        <v>128</v>
      </c>
      <c r="B27">
        <v>120</v>
      </c>
      <c r="C27">
        <v>1350</v>
      </c>
      <c r="D27" t="s">
        <v>33</v>
      </c>
      <c r="E27" t="s">
        <v>32</v>
      </c>
      <c r="F27" t="str" cm="1">
        <f t="array" ref="F27">_xlfn.IFNA(INDEX(Movies[],MATCH(Financials[[#This Row],[movie_id]:[movie_id]],Movies[[movie_id]:[movie_id]],0),MATCH(Financials[[#Headers],[studio]],Movies[#Headers],0)),"Not Avilable")</f>
        <v>Unavailable</v>
      </c>
      <c r="G27" cm="1">
        <f t="array" ref="G27">IFERROR(INDEX(Movies[],MATCH(Financials[[#This Row],[movie_id]:[movie_id]],Movies[[movie_id]:[movie_id]],0),MATCH(Financials[[#Headers],[imdb_rating]],Movies[#Headers],0)),"Not Available")</f>
        <v>8.3000000000000007</v>
      </c>
      <c r="H27" cm="1">
        <f t="array" ref="H27">IFERROR(INDEX(Movies[],MATCH(Financials[[#This Row],[movie_id]:[movie_id]],Movies[[movie_id]:[movie_id]],0),MATCH(Financials[[#Headers],[release_year]],Movies[#Headers],0)),"Not Available")</f>
        <v>2007</v>
      </c>
      <c r="I27" cm="1">
        <f t="array" ref="I27">IFERROR(INDEX(Movies[],MATCH(Financials[[#This Row],[movie_id]:[movie_id]],Movies[[movie_id]:[movie_id]],0),MATCH(Financials[[#Headers],[language_id]],Movies[#Headers],0)),"Not Available")</f>
        <v>1</v>
      </c>
    </row>
    <row r="28" spans="1:9" x14ac:dyDescent="0.3">
      <c r="A28">
        <v>129</v>
      </c>
      <c r="B28">
        <v>100</v>
      </c>
      <c r="C28">
        <v>410</v>
      </c>
      <c r="D28" t="s">
        <v>33</v>
      </c>
      <c r="E28" t="s">
        <v>32</v>
      </c>
      <c r="F28" t="str" cm="1">
        <f t="array" ref="F28">_xlfn.IFNA(INDEX(Movies[],MATCH(Financials[[#This Row],[movie_id]:[movie_id]],Movies[[movie_id]:[movie_id]],0),MATCH(Financials[[#Headers],[studio]],Movies[#Headers],0)),"Not Avilable")</f>
        <v>Vinod Chopra Productions</v>
      </c>
      <c r="G28" cm="1">
        <f t="array" ref="G28">IFERROR(INDEX(Movies[],MATCH(Financials[[#This Row],[movie_id]:[movie_id]],Movies[[movie_id]:[movie_id]],0),MATCH(Financials[[#Headers],[imdb_rating]],Movies[#Headers],0)),"Not Available")</f>
        <v>8.1</v>
      </c>
      <c r="H28" cm="1">
        <f t="array" ref="H28">IFERROR(INDEX(Movies[],MATCH(Financials[[#This Row],[movie_id]:[movie_id]],Movies[[movie_id]:[movie_id]],0),MATCH(Financials[[#Headers],[release_year]],Movies[#Headers],0)),"Not Available")</f>
        <v>2003</v>
      </c>
      <c r="I28" cm="1">
        <f t="array" ref="I28">IFERROR(INDEX(Movies[],MATCH(Financials[[#This Row],[movie_id]:[movie_id]],Movies[[movie_id]:[movie_id]],0),MATCH(Financials[[#Headers],[language_id]],Movies[#Headers],0)),"Not Available")</f>
        <v>1</v>
      </c>
    </row>
    <row r="29" spans="1:9" x14ac:dyDescent="0.3">
      <c r="A29">
        <v>130</v>
      </c>
      <c r="B29">
        <v>850</v>
      </c>
      <c r="C29">
        <v>8540</v>
      </c>
      <c r="D29" t="s">
        <v>33</v>
      </c>
      <c r="E29" t="s">
        <v>32</v>
      </c>
      <c r="F29" t="str" cm="1">
        <f t="array" ref="F29">_xlfn.IFNA(INDEX(Movies[],MATCH(Financials[[#This Row],[movie_id]:[movie_id]],Movies[[movie_id]:[movie_id]],0),MATCH(Financials[[#Headers],[studio]],Movies[#Headers],0)),"Not Avilable")</f>
        <v>Vinod Chopra Films</v>
      </c>
      <c r="G29" cm="1">
        <f t="array" ref="G29">IFERROR(INDEX(Movies[],MATCH(Financials[[#This Row],[movie_id]:[movie_id]],Movies[[movie_id]:[movie_id]],0),MATCH(Financials[[#Headers],[imdb_rating]],Movies[#Headers],0)),"Not Available")</f>
        <v>8.1</v>
      </c>
      <c r="H29" cm="1">
        <f t="array" ref="H29">IFERROR(INDEX(Movies[],MATCH(Financials[[#This Row],[movie_id]:[movie_id]],Movies[[movie_id]:[movie_id]],0),MATCH(Financials[[#Headers],[release_year]],Movies[#Headers],0)),"Not Available")</f>
        <v>2014</v>
      </c>
      <c r="I29" cm="1">
        <f t="array" ref="I29">IFERROR(INDEX(Movies[],MATCH(Financials[[#This Row],[movie_id]:[movie_id]],Movies[[movie_id]:[movie_id]],0),MATCH(Financials[[#Headers],[language_id]],Movies[#Headers],0)),"Not Available")</f>
        <v>1</v>
      </c>
    </row>
    <row r="30" spans="1:9" x14ac:dyDescent="0.3">
      <c r="A30">
        <v>131</v>
      </c>
      <c r="B30">
        <v>1</v>
      </c>
      <c r="C30">
        <v>5.9</v>
      </c>
      <c r="D30" t="s">
        <v>31</v>
      </c>
      <c r="E30" t="s">
        <v>32</v>
      </c>
      <c r="F30" t="str" cm="1">
        <f t="array" ref="F30">_xlfn.IFNA(INDEX(Movies[],MATCH(Financials[[#This Row],[movie_id]:[movie_id]],Movies[[movie_id]:[movie_id]],0),MATCH(Financials[[#Headers],[studio]],Movies[#Headers],0)),"Not Avilable")</f>
        <v>Vinod Chopra Films</v>
      </c>
      <c r="G30" t="str" cm="1">
        <f t="array" ref="G30">IFERROR(INDEX(Movies[],MATCH(Financials[[#This Row],[movie_id]:[movie_id]],Movies[[movie_id]:[movie_id]],0),MATCH(Financials[[#Headers],[imdb_rating]],Movies[#Headers],0)),"Not Available")</f>
        <v>Not Avaulable</v>
      </c>
      <c r="H30" cm="1">
        <f t="array" ref="H30">IFERROR(INDEX(Movies[],MATCH(Financials[[#This Row],[movie_id]:[movie_id]],Movies[[movie_id]:[movie_id]],0),MATCH(Financials[[#Headers],[release_year]],Movies[#Headers],0)),"Not Available")</f>
        <v>2018</v>
      </c>
      <c r="I30" cm="1">
        <f t="array" ref="I30">IFERROR(INDEX(Movies[],MATCH(Financials[[#This Row],[movie_id]:[movie_id]],Movies[[movie_id]:[movie_id]],0),MATCH(Financials[[#Headers],[language_id]],Movies[#Headers],0)),"Not Available")</f>
        <v>1</v>
      </c>
    </row>
    <row r="31" spans="1:9" x14ac:dyDescent="0.3">
      <c r="A31">
        <v>132</v>
      </c>
      <c r="B31">
        <v>2</v>
      </c>
      <c r="C31">
        <v>3.6</v>
      </c>
      <c r="D31" t="s">
        <v>31</v>
      </c>
      <c r="E31" t="s">
        <v>32</v>
      </c>
      <c r="F31" t="str" cm="1">
        <f t="array" ref="F31">_xlfn.IFNA(INDEX(Movies[],MATCH(Financials[[#This Row],[movie_id]:[movie_id]],Movies[[movie_id]:[movie_id]],0),MATCH(Financials[[#Headers],[studio]],Movies[#Headers],0)),"Not Avilable")</f>
        <v>Mythri Movie Makers</v>
      </c>
      <c r="G31" cm="1">
        <f t="array" ref="G31">IFERROR(INDEX(Movies[],MATCH(Financials[[#This Row],[movie_id]:[movie_id]],Movies[[movie_id]:[movie_id]],0),MATCH(Financials[[#Headers],[imdb_rating]],Movies[#Headers],0)),"Not Available")</f>
        <v>7.6</v>
      </c>
      <c r="H31" cm="1">
        <f t="array" ref="H31">IFERROR(INDEX(Movies[],MATCH(Financials[[#This Row],[movie_id]:[movie_id]],Movies[[movie_id]:[movie_id]],0),MATCH(Financials[[#Headers],[release_year]],Movies[#Headers],0)),"Not Available")</f>
        <v>2021</v>
      </c>
      <c r="I31" cm="1">
        <f t="array" ref="I31">IFERROR(INDEX(Movies[],MATCH(Financials[[#This Row],[movie_id]:[movie_id]],Movies[[movie_id]:[movie_id]],0),MATCH(Financials[[#Headers],[language_id]],Movies[#Headers],0)),"Not Available")</f>
        <v>2</v>
      </c>
    </row>
    <row r="32" spans="1:9" x14ac:dyDescent="0.3">
      <c r="A32">
        <v>133</v>
      </c>
      <c r="B32">
        <v>5.5</v>
      </c>
      <c r="C32">
        <v>12</v>
      </c>
      <c r="D32" t="s">
        <v>31</v>
      </c>
      <c r="E32" t="s">
        <v>32</v>
      </c>
      <c r="F32" t="str" cm="1">
        <f t="array" ref="F32">_xlfn.IFNA(INDEX(Movies[],MATCH(Financials[[#This Row],[movie_id]:[movie_id]],Movies[[movie_id]:[movie_id]],0),MATCH(Financials[[#Headers],[studio]],Movies[#Headers],0)),"Not Avilable")</f>
        <v>DVV Entertainment</v>
      </c>
      <c r="G32" cm="1">
        <f t="array" ref="G32">IFERROR(INDEX(Movies[],MATCH(Financials[[#This Row],[movie_id]:[movie_id]],Movies[[movie_id]:[movie_id]],0),MATCH(Financials[[#Headers],[imdb_rating]],Movies[#Headers],0)),"Not Available")</f>
        <v>8</v>
      </c>
      <c r="H32" cm="1">
        <f t="array" ref="H32">IFERROR(INDEX(Movies[],MATCH(Financials[[#This Row],[movie_id]:[movie_id]],Movies[[movie_id]:[movie_id]],0),MATCH(Financials[[#Headers],[release_year]],Movies[#Headers],0)),"Not Available")</f>
        <v>2022</v>
      </c>
      <c r="I32" cm="1">
        <f t="array" ref="I32">IFERROR(INDEX(Movies[],MATCH(Financials[[#This Row],[movie_id]:[movie_id]],Movies[[movie_id]:[movie_id]],0),MATCH(Financials[[#Headers],[language_id]],Movies[#Headers],0)),"Not Available")</f>
        <v>2</v>
      </c>
    </row>
    <row r="33" spans="1:9" x14ac:dyDescent="0.3">
      <c r="A33">
        <v>134</v>
      </c>
      <c r="B33">
        <v>1.8</v>
      </c>
      <c r="C33">
        <v>6.5</v>
      </c>
      <c r="D33" t="s">
        <v>31</v>
      </c>
      <c r="E33" t="s">
        <v>32</v>
      </c>
      <c r="F33" t="str" cm="1">
        <f t="array" ref="F33">_xlfn.IFNA(INDEX(Movies[],MATCH(Financials[[#This Row],[movie_id]:[movie_id]],Movies[[movie_id]:[movie_id]],0),MATCH(Financials[[#Headers],[studio]],Movies[#Headers],0)),"Not Avilable")</f>
        <v>Arka Media Works</v>
      </c>
      <c r="G33" cm="1">
        <f t="array" ref="G33">IFERROR(INDEX(Movies[],MATCH(Financials[[#This Row],[movie_id]:[movie_id]],Movies[[movie_id]:[movie_id]],0),MATCH(Financials[[#Headers],[imdb_rating]],Movies[#Headers],0)),"Not Available")</f>
        <v>8</v>
      </c>
      <c r="H33" cm="1">
        <f t="array" ref="H33">IFERROR(INDEX(Movies[],MATCH(Financials[[#This Row],[movie_id]:[movie_id]],Movies[[movie_id]:[movie_id]],0),MATCH(Financials[[#Headers],[release_year]],Movies[#Headers],0)),"Not Available")</f>
        <v>2015</v>
      </c>
      <c r="I33" cm="1">
        <f t="array" ref="I33">IFERROR(INDEX(Movies[],MATCH(Financials[[#This Row],[movie_id]:[movie_id]],Movies[[movie_id]:[movie_id]],0),MATCH(Financials[[#Headers],[language_id]],Movies[#Headers],0)),"Not Available")</f>
        <v>2</v>
      </c>
    </row>
    <row r="34" spans="1:9" x14ac:dyDescent="0.3">
      <c r="A34">
        <v>135</v>
      </c>
      <c r="B34">
        <v>250</v>
      </c>
      <c r="C34">
        <v>3409</v>
      </c>
      <c r="D34" t="s">
        <v>33</v>
      </c>
      <c r="E34" t="s">
        <v>32</v>
      </c>
      <c r="F34" t="str" cm="1">
        <f t="array" ref="F34">_xlfn.IFNA(INDEX(Movies[],MATCH(Financials[[#This Row],[movie_id]:[movie_id]],Movies[[movie_id]:[movie_id]],0),MATCH(Financials[[#Headers],[studio]],Movies[#Headers],0)),"Not Avilable")</f>
        <v>Zee Studios</v>
      </c>
      <c r="G34" cm="1">
        <f t="array" ref="G34">IFERROR(INDEX(Movies[],MATCH(Financials[[#This Row],[movie_id]:[movie_id]],Movies[[movie_id]:[movie_id]],0),MATCH(Financials[[#Headers],[imdb_rating]],Movies[#Headers],0)),"Not Available")</f>
        <v>8.3000000000000007</v>
      </c>
      <c r="H34" cm="1">
        <f t="array" ref="H34">IFERROR(INDEX(Movies[],MATCH(Financials[[#This Row],[movie_id]:[movie_id]],Movies[[movie_id]:[movie_id]],0),MATCH(Financials[[#Headers],[release_year]],Movies[#Headers],0)),"Not Available")</f>
        <v>2022</v>
      </c>
      <c r="I34" cm="1">
        <f t="array" ref="I34">IFERROR(INDEX(Movies[],MATCH(Financials[[#This Row],[movie_id]:[movie_id]],Movies[[movie_id]:[movie_id]],0),MATCH(Financials[[#Headers],[language_id]],Movies[#Headers],0)),"Not Available")</f>
        <v>1</v>
      </c>
    </row>
    <row r="35" spans="1:9" x14ac:dyDescent="0.3">
      <c r="A35">
        <v>136</v>
      </c>
      <c r="B35">
        <v>900</v>
      </c>
      <c r="C35">
        <v>11690</v>
      </c>
      <c r="D35" t="s">
        <v>33</v>
      </c>
      <c r="E35" t="s">
        <v>32</v>
      </c>
      <c r="F35" t="str" cm="1">
        <f t="array" ref="F35">_xlfn.IFNA(INDEX(Movies[],MATCH(Financials[[#This Row],[movie_id]:[movie_id]],Movies[[movie_id]:[movie_id]],0),MATCH(Financials[[#Headers],[studio]],Movies[#Headers],0)),"Not Avilable")</f>
        <v>Salman Khan Films</v>
      </c>
      <c r="G35" cm="1">
        <f t="array" ref="G35">IFERROR(INDEX(Movies[],MATCH(Financials[[#This Row],[movie_id]:[movie_id]],Movies[[movie_id]:[movie_id]],0),MATCH(Financials[[#Headers],[imdb_rating]],Movies[#Headers],0)),"Not Available")</f>
        <v>8.1</v>
      </c>
      <c r="H35" cm="1">
        <f t="array" ref="H35">IFERROR(INDEX(Movies[],MATCH(Financials[[#This Row],[movie_id]:[movie_id]],Movies[[movie_id]:[movie_id]],0),MATCH(Financials[[#Headers],[release_year]],Movies[#Headers],0)),"Not Available")</f>
        <v>2015</v>
      </c>
      <c r="I35" cm="1">
        <f t="array" ref="I35">IFERROR(INDEX(Movies[],MATCH(Financials[[#This Row],[movie_id]:[movie_id]],Movies[[movie_id]:[movie_id]],0),MATCH(Financials[[#Headers],[language_id]],Movies[#Headers],0)),"Not Available")</f>
        <v>1</v>
      </c>
    </row>
    <row r="36" spans="1:9" x14ac:dyDescent="0.3">
      <c r="A36">
        <v>137</v>
      </c>
      <c r="B36">
        <v>216.7</v>
      </c>
      <c r="C36">
        <v>370.6</v>
      </c>
      <c r="D36" t="s">
        <v>33</v>
      </c>
      <c r="E36" t="s">
        <v>34</v>
      </c>
      <c r="F36" t="str" cm="1">
        <f t="array" ref="F36">_xlfn.IFNA(INDEX(Movies[],MATCH(Financials[[#This Row],[movie_id]:[movie_id]],Movies[[movie_id]:[movie_id]],0),MATCH(Financials[[#Headers],[studio]],Movies[#Headers],0)),"Not Avilable")</f>
        <v>Marvel Studios</v>
      </c>
      <c r="G36" cm="1">
        <f t="array" ref="G36">IFERROR(INDEX(Movies[],MATCH(Financials[[#This Row],[movie_id]:[movie_id]],Movies[[movie_id]:[movie_id]],0),MATCH(Financials[[#Headers],[imdb_rating]],Movies[#Headers],0)),"Not Available")</f>
        <v>6.9</v>
      </c>
      <c r="H36" cm="1">
        <f t="array" ref="H36">IFERROR(INDEX(Movies[],MATCH(Financials[[#This Row],[movie_id]:[movie_id]],Movies[[movie_id]:[movie_id]],0),MATCH(Financials[[#Headers],[release_year]],Movies[#Headers],0)),"Not Available")</f>
        <v>2011</v>
      </c>
      <c r="I36" cm="1">
        <f t="array" ref="I36">IFERROR(INDEX(Movies[],MATCH(Financials[[#This Row],[movie_id]:[movie_id]],Movies[[movie_id]:[movie_id]],0),MATCH(Financials[[#Headers],[language_id]],Movies[#Headers],0)),"Not Available")</f>
        <v>5</v>
      </c>
    </row>
    <row r="37" spans="1:9" x14ac:dyDescent="0.3">
      <c r="A37">
        <v>138</v>
      </c>
      <c r="B37">
        <v>177</v>
      </c>
      <c r="C37">
        <v>714.4</v>
      </c>
      <c r="D37" t="s">
        <v>33</v>
      </c>
      <c r="E37" t="s">
        <v>34</v>
      </c>
      <c r="F37" t="str" cm="1">
        <f t="array" ref="F37">_xlfn.IFNA(INDEX(Movies[],MATCH(Financials[[#This Row],[movie_id]:[movie_id]],Movies[[movie_id]:[movie_id]],0),MATCH(Financials[[#Headers],[studio]],Movies[#Headers],0)),"Not Avilable")</f>
        <v>Marvel Studios</v>
      </c>
      <c r="G37" cm="1">
        <f t="array" ref="G37">IFERROR(INDEX(Movies[],MATCH(Financials[[#This Row],[movie_id]:[movie_id]],Movies[[movie_id]:[movie_id]],0),MATCH(Financials[[#Headers],[imdb_rating]],Movies[#Headers],0)),"Not Available")</f>
        <v>7.8</v>
      </c>
      <c r="H37" cm="1">
        <f t="array" ref="H37">IFERROR(INDEX(Movies[],MATCH(Financials[[#This Row],[movie_id]:[movie_id]],Movies[[movie_id]:[movie_id]],0),MATCH(Financials[[#Headers],[release_year]],Movies[#Headers],0)),"Not Available")</f>
        <v>2014</v>
      </c>
      <c r="I37" cm="1">
        <f t="array" ref="I37">IFERROR(INDEX(Movies[],MATCH(Financials[[#This Row],[movie_id]:[movie_id]],Movies[[movie_id]:[movie_id]],0),MATCH(Financials[[#Headers],[language_id]],Movies[#Headers],0)),"Not Available")</f>
        <v>5</v>
      </c>
    </row>
    <row r="38" spans="1:9" x14ac:dyDescent="0.3">
      <c r="A38">
        <v>139</v>
      </c>
      <c r="B38">
        <v>1.8</v>
      </c>
      <c r="C38">
        <v>3.1</v>
      </c>
      <c r="D38" t="s">
        <v>31</v>
      </c>
      <c r="E38" t="s">
        <v>32</v>
      </c>
      <c r="F38" t="str" cm="1">
        <f t="array" ref="F38">_xlfn.IFNA(INDEX(Movies[],MATCH(Financials[[#This Row],[movie_id]:[movie_id]],Movies[[movie_id]:[movie_id]],0),MATCH(Financials[[#Headers],[studio]],Movies[#Headers],0)),"Not Avilable")</f>
        <v>Salman Khan Films</v>
      </c>
      <c r="G38" cm="1">
        <f t="array" ref="G38">IFERROR(INDEX(Movies[],MATCH(Financials[[#This Row],[movie_id]:[movie_id]],Movies[[movie_id]:[movie_id]],0),MATCH(Financials[[#Headers],[imdb_rating]],Movies[#Headers],0)),"Not Available")</f>
        <v>1.9</v>
      </c>
      <c r="H38" cm="1">
        <f t="array" ref="H38">IFERROR(INDEX(Movies[],MATCH(Financials[[#This Row],[movie_id]:[movie_id]],Movies[[movie_id]:[movie_id]],0),MATCH(Financials[[#Headers],[release_year]],Movies[#Headers],0)),"Not Available")</f>
        <v>2018</v>
      </c>
      <c r="I38" cm="1">
        <f t="array" ref="I38">IFERROR(INDEX(Movies[],MATCH(Financials[[#This Row],[movie_id]:[movie_id]],Movies[[movie_id]:[movie_id]],0),MATCH(Financials[[#Headers],[language_id]],Movies[#Headers],0)),"Not Available")</f>
        <v>1</v>
      </c>
    </row>
    <row r="39" spans="1:9" x14ac:dyDescent="0.3">
      <c r="A39">
        <v>140</v>
      </c>
      <c r="B39">
        <v>500</v>
      </c>
      <c r="C39">
        <v>950</v>
      </c>
      <c r="D39" t="s">
        <v>33</v>
      </c>
      <c r="E39" t="s">
        <v>32</v>
      </c>
      <c r="F39" t="str" cm="1">
        <f t="array" ref="F39">_xlfn.IFNA(INDEX(Movies[],MATCH(Financials[[#This Row],[movie_id]:[movie_id]],Movies[[movie_id]:[movie_id]],0),MATCH(Financials[[#Headers],[studio]],Movies[#Headers],0)),"Not Avilable")</f>
        <v>Dharma Productions</v>
      </c>
      <c r="G39" cm="1">
        <f t="array" ref="G39">IFERROR(INDEX(Movies[],MATCH(Financials[[#This Row],[movie_id]:[movie_id]],Movies[[movie_id]:[movie_id]],0),MATCH(Financials[[#Headers],[imdb_rating]],Movies[#Headers],0)),"Not Available")</f>
        <v>8.4</v>
      </c>
      <c r="H39" cm="1">
        <f t="array" ref="H39">IFERROR(INDEX(Movies[],MATCH(Financials[[#This Row],[movie_id]:[movie_id]],Movies[[movie_id]:[movie_id]],0),MATCH(Financials[[#Headers],[release_year]],Movies[#Headers],0)),"Not Available")</f>
        <v>2021</v>
      </c>
      <c r="I39" cm="1">
        <f t="array" ref="I39">IFERROR(INDEX(Movies[],MATCH(Financials[[#This Row],[movie_id]:[movie_id]],Movies[[movie_id]:[movie_id]],0),MATCH(Financials[[#Headers],[language_id]],Movies[#Headers],0)),"Not Available")</f>
        <v>1</v>
      </c>
    </row>
    <row r="40" spans="1:9" x14ac:dyDescent="0.3">
      <c r="A40">
        <v>406</v>
      </c>
      <c r="B40">
        <v>30</v>
      </c>
      <c r="C40">
        <v>350</v>
      </c>
      <c r="D40" t="s">
        <v>33</v>
      </c>
      <c r="E40" t="s">
        <v>32</v>
      </c>
      <c r="F40" t="str" cm="1">
        <f t="array" ref="F40">_xlfn.IFNA(INDEX(Movies[],MATCH(Financials[[#This Row],[movie_id]:[movie_id]],Movies[[movie_id]:[movie_id]],0),MATCH(Financials[[#Headers],[studio]],Movies[#Headers],0)),"Not Avilable")</f>
        <v>Not Avilable</v>
      </c>
      <c r="G40" t="str" cm="1">
        <f t="array" ref="G40">IFERROR(INDEX(Movies[],MATCH(Financials[[#This Row],[movie_id]:[movie_id]],Movies[[movie_id]:[movie_id]],0),MATCH(Financials[[#Headers],[imdb_rating]],Movies[#Headers],0)),"Not Available")</f>
        <v>Not Available</v>
      </c>
      <c r="H40" t="str" cm="1">
        <f t="array" ref="H40">IFERROR(INDEX(Movies[],MATCH(Financials[[#This Row],[movie_id]:[movie_id]],Movies[[movie_id]:[movie_id]],0),MATCH(Financials[[#Headers],[release_year]],Movies[#Headers],0)),"Not Available")</f>
        <v>Not Available</v>
      </c>
      <c r="I40" t="str" cm="1">
        <f t="array" ref="I40">IFERROR(INDEX(Movies[],MATCH(Financials[[#This Row],[movie_id]:[movie_id]],Movies[[movie_id]:[movie_id]],0),MATCH(Financials[[#Headers],[language_id]],Movies[#Headers],0)),"Not Available")</f>
        <v>Not Available</v>
      </c>
    </row>
    <row r="41" spans="1:9" x14ac:dyDescent="0.3">
      <c r="A41">
        <v>412</v>
      </c>
      <c r="B41">
        <v>160</v>
      </c>
      <c r="C41">
        <v>836.8</v>
      </c>
      <c r="D41" t="s">
        <v>33</v>
      </c>
      <c r="E41" t="s">
        <v>34</v>
      </c>
      <c r="F41" t="str" cm="1">
        <f t="array" ref="F41">_xlfn.IFNA(INDEX(Movies[],MATCH(Financials[[#This Row],[movie_id]:[movie_id]],Movies[[movie_id]:[movie_id]],0),MATCH(Financials[[#Headers],[studio]],Movies[#Headers],0)),"Not Avilable")</f>
        <v>Not Avilable</v>
      </c>
      <c r="G41" t="str" cm="1">
        <f t="array" ref="G41">IFERROR(INDEX(Movies[],MATCH(Financials[[#This Row],[movie_id]:[movie_id]],Movies[[movie_id]:[movie_id]],0),MATCH(Financials[[#Headers],[imdb_rating]],Movies[#Headers],0)),"Not Available")</f>
        <v>Not Available</v>
      </c>
      <c r="H41" t="str" cm="1">
        <f t="array" ref="H41">IFERROR(INDEX(Movies[],MATCH(Financials[[#This Row],[movie_id]:[movie_id]],Movies[[movie_id]:[movie_id]],0),MATCH(Financials[[#Headers],[release_year]],Movies[#Headers],0)),"Not Available")</f>
        <v>Not Available</v>
      </c>
      <c r="I41" t="str" cm="1">
        <f t="array" ref="I41">IFERROR(INDEX(Movies[],MATCH(Financials[[#This Row],[movie_id]:[movie_id]],Movies[[movie_id]:[movie_id]],0),MATCH(Financials[[#Headers],[language_id]],Movies[#Headers],0)),"Not Available")</f>
        <v>Not Available</v>
      </c>
    </row>
  </sheetData>
  <mergeCells count="1">
    <mergeCell ref="J2:M2"/>
  </mergeCells>
  <phoneticPr fontId="4"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7459A-84A9-49A3-B823-10691E90877F}">
  <dimension ref="A1:AD40"/>
  <sheetViews>
    <sheetView topLeftCell="E1" workbookViewId="0">
      <selection activeCell="M8" sqref="M8"/>
    </sheetView>
  </sheetViews>
  <sheetFormatPr defaultColWidth="9" defaultRowHeight="14.4" x14ac:dyDescent="0.3"/>
  <cols>
    <col min="1" max="1" width="10.6640625" customWidth="1"/>
    <col min="2" max="2" width="37.88671875" bestFit="1" customWidth="1"/>
    <col min="3" max="3" width="9.77734375" bestFit="1" customWidth="1"/>
    <col min="4" max="4" width="13.44140625" customWidth="1"/>
    <col min="5" max="5" width="13.109375" customWidth="1"/>
    <col min="6" max="6" width="24.21875" bestFit="1" customWidth="1"/>
    <col min="7" max="7" width="13.109375" customWidth="1"/>
    <col min="8" max="11" width="11.88671875" bestFit="1" customWidth="1"/>
    <col min="12" max="12" width="20.44140625" style="163" bestFit="1" customWidth="1"/>
  </cols>
  <sheetData>
    <row r="1" spans="1:30" x14ac:dyDescent="0.3">
      <c r="A1" s="27" t="s">
        <v>0</v>
      </c>
      <c r="B1" s="27" t="s">
        <v>159</v>
      </c>
      <c r="C1" s="27" t="s">
        <v>1</v>
      </c>
      <c r="D1" s="27" t="s">
        <v>2</v>
      </c>
      <c r="E1" s="27" t="s">
        <v>3</v>
      </c>
      <c r="F1" s="27" t="s">
        <v>4</v>
      </c>
      <c r="G1" s="27" t="s">
        <v>5</v>
      </c>
      <c r="H1" s="28" t="s">
        <v>165</v>
      </c>
      <c r="I1" s="28" t="s">
        <v>168</v>
      </c>
      <c r="J1" s="28" t="s">
        <v>167</v>
      </c>
      <c r="K1" s="28" t="s">
        <v>27</v>
      </c>
      <c r="L1" s="162" t="s">
        <v>476</v>
      </c>
    </row>
    <row r="2" spans="1:30" ht="18.600000000000001" x14ac:dyDescent="0.45">
      <c r="A2" s="24">
        <v>101</v>
      </c>
      <c r="B2" s="24" t="s">
        <v>120</v>
      </c>
      <c r="C2" s="24" t="s">
        <v>6</v>
      </c>
      <c r="D2" s="24">
        <v>2022</v>
      </c>
      <c r="E2" s="24">
        <v>8.4</v>
      </c>
      <c r="F2" s="24" t="s">
        <v>117</v>
      </c>
      <c r="G2" s="24">
        <v>3</v>
      </c>
      <c r="H2" cm="1">
        <f t="array" ref="H2">_xlfn.XLOOKUP(XMovies[[#This Row],[movie_id]:[movie_id]],Financials[[#All],[movie_id]:[movie_id]],Financials[[#All],[revenue]],"Not Available",0)</f>
        <v>12.5</v>
      </c>
      <c r="I2" t="str" cm="1">
        <f t="array" ref="I2">_xlfn.XLOOKUP(XMovies[[#This Row],[movie_id]:[movie_id]],Financials[[#All],[movie_id]:[movie_id]],Financials[[#All],[unit]],"Not Available",0)</f>
        <v>Billions</v>
      </c>
      <c r="J2" t="str" cm="1">
        <f t="array" ref="J2">_xlfn.XLOOKUP(XMovies[[#This Row],[movie_id]:[movie_id]],Financials[[#All],[movie_id]:[movie_id]],Financials[[#All],[currency]],"Not Available",0)</f>
        <v>INR</v>
      </c>
      <c r="K2" cm="1">
        <f t="array" ref="K2">_xlfn.XLOOKUP(XMovies[[#This Row],[movie_id]:[movie_id]],Financials[[#All],[movie_id]:[movie_id]],Financials[[#All],[budget]],"Not Available",0)</f>
        <v>1</v>
      </c>
      <c r="L2" s="164">
        <f>_xlfn.XLOOKUP(XMovies[[#This Row],[movie_id]],moviesKPIS[movie_id],moviesKPIS[Profit (USD,millions)],"Not Available",0)</f>
        <v>156.23750000000001</v>
      </c>
      <c r="M2" s="131" t="s">
        <v>223</v>
      </c>
      <c r="N2" s="131"/>
      <c r="O2" s="131"/>
      <c r="P2" s="131"/>
      <c r="Q2" s="131"/>
      <c r="R2" s="131"/>
      <c r="S2" s="131"/>
      <c r="T2" s="131"/>
      <c r="U2" s="131"/>
      <c r="V2" s="131"/>
      <c r="W2" s="131"/>
    </row>
    <row r="3" spans="1:30" x14ac:dyDescent="0.3">
      <c r="A3" s="25">
        <v>102</v>
      </c>
      <c r="B3" s="25" t="s">
        <v>121</v>
      </c>
      <c r="C3" s="25" t="s">
        <v>7</v>
      </c>
      <c r="D3" s="25">
        <v>2022</v>
      </c>
      <c r="E3" s="25">
        <v>7</v>
      </c>
      <c r="F3" s="25" t="s">
        <v>8</v>
      </c>
      <c r="G3" s="25">
        <v>5</v>
      </c>
      <c r="H3" cm="1">
        <f t="array" ref="H3">_xlfn.XLOOKUP(XMovies[[#This Row],[movie_id]:[movie_id]],Financials[[#All],[movie_id]:[movie_id]],Financials[[#All],[revenue]],"Not Available",0)</f>
        <v>954.8</v>
      </c>
      <c r="I3" t="str" cm="1">
        <f t="array" ref="I3">_xlfn.XLOOKUP(XMovies[[#This Row],[movie_id]:[movie_id]],Financials[[#All],[movie_id]:[movie_id]],Financials[[#All],[unit]],"Not Available",0)</f>
        <v>Millions</v>
      </c>
      <c r="J3" t="str" cm="1">
        <f t="array" ref="J3">_xlfn.XLOOKUP(XMovies[[#This Row],[movie_id]:[movie_id]],Financials[[#All],[movie_id]:[movie_id]],Financials[[#All],[currency]],"Not Available",0)</f>
        <v>USD</v>
      </c>
      <c r="K3" cm="1">
        <f t="array" ref="K3">_xlfn.XLOOKUP(XMovies[[#This Row],[movie_id]:[movie_id]],Financials[[#All],[movie_id]:[movie_id]],Financials[[#All],[budget]],"Not Available",0)</f>
        <v>200</v>
      </c>
      <c r="L3" s="163">
        <f>_xlfn.XLOOKUP(XMovies[[#This Row],[movie_id]],moviesKPIS[movie_id],moviesKPIS[Profit (USD,millions)],"Not Available",0)</f>
        <v>754.8</v>
      </c>
      <c r="M3" s="12" t="s">
        <v>230</v>
      </c>
    </row>
    <row r="4" spans="1:30" x14ac:dyDescent="0.3">
      <c r="A4" s="24">
        <v>103</v>
      </c>
      <c r="B4" s="24" t="s">
        <v>122</v>
      </c>
      <c r="C4" s="24" t="s">
        <v>7</v>
      </c>
      <c r="D4" s="24">
        <v>2013</v>
      </c>
      <c r="E4" s="24">
        <v>6.8</v>
      </c>
      <c r="F4" s="24" t="s">
        <v>8</v>
      </c>
      <c r="G4" s="24">
        <v>5</v>
      </c>
      <c r="H4" cm="1">
        <f t="array" ref="H4">_xlfn.XLOOKUP(XMovies[[#This Row],[movie_id]:[movie_id]],Financials[[#All],[movie_id]:[movie_id]],Financials[[#All],[revenue]],"Not Available",0)</f>
        <v>644.79999999999995</v>
      </c>
      <c r="I4" t="str" cm="1">
        <f t="array" ref="I4">_xlfn.XLOOKUP(XMovies[[#This Row],[movie_id]:[movie_id]],Financials[[#All],[movie_id]:[movie_id]],Financials[[#All],[unit]],"Not Available",0)</f>
        <v>Millions</v>
      </c>
      <c r="J4" t="str" cm="1">
        <f t="array" ref="J4">_xlfn.XLOOKUP(XMovies[[#This Row],[movie_id]:[movie_id]],Financials[[#All],[movie_id]:[movie_id]],Financials[[#All],[currency]],"Not Available",0)</f>
        <v>USD</v>
      </c>
      <c r="K4" cm="1">
        <f t="array" ref="K4">_xlfn.XLOOKUP(XMovies[[#This Row],[movie_id]:[movie_id]],Financials[[#All],[movie_id]:[movie_id]],Financials[[#All],[budget]],"Not Available",0)</f>
        <v>165</v>
      </c>
      <c r="L4" s="163">
        <f>_xlfn.XLOOKUP(XMovies[[#This Row],[movie_id]],moviesKPIS[movie_id],moviesKPIS[Profit (USD,millions)],"Not Available",0)</f>
        <v>479.79999999999995</v>
      </c>
      <c r="M4" s="12" t="s">
        <v>231</v>
      </c>
    </row>
    <row r="5" spans="1:30" x14ac:dyDescent="0.3">
      <c r="A5" s="25">
        <v>104</v>
      </c>
      <c r="B5" s="25" t="s">
        <v>123</v>
      </c>
      <c r="C5" s="25" t="s">
        <v>7</v>
      </c>
      <c r="D5" s="25">
        <v>2017</v>
      </c>
      <c r="E5" s="25">
        <v>7.9</v>
      </c>
      <c r="F5" s="25" t="s">
        <v>8</v>
      </c>
      <c r="G5" s="25">
        <v>5</v>
      </c>
      <c r="H5" cm="1">
        <f t="array" ref="H5">_xlfn.XLOOKUP(XMovies[[#This Row],[movie_id]:[movie_id]],Financials[[#All],[movie_id]:[movie_id]],Financials[[#All],[revenue]],"Not Available",0)</f>
        <v>854</v>
      </c>
      <c r="I5" t="str" cm="1">
        <f t="array" ref="I5">_xlfn.XLOOKUP(XMovies[[#This Row],[movie_id]:[movie_id]],Financials[[#All],[movie_id]:[movie_id]],Financials[[#All],[unit]],"Not Available",0)</f>
        <v>Millions</v>
      </c>
      <c r="J5" t="str" cm="1">
        <f t="array" ref="J5">_xlfn.XLOOKUP(XMovies[[#This Row],[movie_id]:[movie_id]],Financials[[#All],[movie_id]:[movie_id]],Financials[[#All],[currency]],"Not Available",0)</f>
        <v>USD</v>
      </c>
      <c r="K5" cm="1">
        <f t="array" ref="K5">_xlfn.XLOOKUP(XMovies[[#This Row],[movie_id]:[movie_id]],Financials[[#All],[movie_id]:[movie_id]],Financials[[#All],[budget]],"Not Available",0)</f>
        <v>180</v>
      </c>
      <c r="L5" s="163">
        <f>_xlfn.XLOOKUP(XMovies[[#This Row],[movie_id]],moviesKPIS[movie_id],moviesKPIS[Profit (USD,millions)],"Not Available",0)</f>
        <v>674</v>
      </c>
    </row>
    <row r="6" spans="1:30" x14ac:dyDescent="0.3">
      <c r="A6" s="24">
        <v>105</v>
      </c>
      <c r="B6" s="24" t="s">
        <v>124</v>
      </c>
      <c r="C6" s="24" t="s">
        <v>7</v>
      </c>
      <c r="D6" s="24">
        <v>2022</v>
      </c>
      <c r="E6" s="24">
        <v>6.8</v>
      </c>
      <c r="F6" s="24" t="s">
        <v>8</v>
      </c>
      <c r="G6" s="24">
        <v>5</v>
      </c>
      <c r="H6" cm="1">
        <f t="array" ref="H6">_xlfn.XLOOKUP(XMovies[[#This Row],[movie_id]:[movie_id]],Financials[[#All],[movie_id]:[movie_id]],Financials[[#All],[revenue]],"Not Available",0)</f>
        <v>670</v>
      </c>
      <c r="I6" t="str" cm="1">
        <f t="array" ref="I6">_xlfn.XLOOKUP(XMovies[[#This Row],[movie_id]:[movie_id]],Financials[[#All],[movie_id]:[movie_id]],Financials[[#All],[unit]],"Not Available",0)</f>
        <v>Millions</v>
      </c>
      <c r="J6" t="str" cm="1">
        <f t="array" ref="J6">_xlfn.XLOOKUP(XMovies[[#This Row],[movie_id]:[movie_id]],Financials[[#All],[movie_id]:[movie_id]],Financials[[#All],[currency]],"Not Available",0)</f>
        <v>USD</v>
      </c>
      <c r="K6" cm="1">
        <f t="array" ref="K6">_xlfn.XLOOKUP(XMovies[[#This Row],[movie_id]:[movie_id]],Financials[[#All],[movie_id]:[movie_id]],Financials[[#All],[budget]],"Not Available",0)</f>
        <v>250</v>
      </c>
      <c r="L6" s="163">
        <f>_xlfn.XLOOKUP(XMovies[[#This Row],[movie_id]],moviesKPIS[movie_id],moviesKPIS[Profit (USD,millions)],"Not Available",0)</f>
        <v>420</v>
      </c>
    </row>
    <row r="7" spans="1:30" x14ac:dyDescent="0.3">
      <c r="A7" s="25">
        <v>106</v>
      </c>
      <c r="B7" s="25" t="s">
        <v>125</v>
      </c>
      <c r="C7" s="25" t="s">
        <v>6</v>
      </c>
      <c r="D7" s="25">
        <v>1975</v>
      </c>
      <c r="E7" s="25">
        <v>8.1</v>
      </c>
      <c r="F7" s="25" t="s">
        <v>9</v>
      </c>
      <c r="G7" s="25">
        <v>1</v>
      </c>
      <c r="H7" t="str" cm="1">
        <f t="array" ref="H7">_xlfn.XLOOKUP(XMovies[[#This Row],[movie_id]:[movie_id]],Financials[[#All],[movie_id]:[movie_id]],Financials[[#All],[revenue]],"Not Available",0)</f>
        <v>Not Available</v>
      </c>
      <c r="I7" t="str" cm="1">
        <f t="array" ref="I7">_xlfn.XLOOKUP(XMovies[[#This Row],[movie_id]:[movie_id]],Financials[[#All],[movie_id]:[movie_id]],Financials[[#All],[unit]],"Not Available",0)</f>
        <v>Not Available</v>
      </c>
      <c r="J7" t="str" cm="1">
        <f t="array" ref="J7">_xlfn.XLOOKUP(XMovies[[#This Row],[movie_id]:[movie_id]],Financials[[#All],[movie_id]:[movie_id]],Financials[[#All],[currency]],"Not Available",0)</f>
        <v>Not Available</v>
      </c>
      <c r="K7" t="str" cm="1">
        <f t="array" ref="K7">_xlfn.XLOOKUP(XMovies[[#This Row],[movie_id]:[movie_id]],Financials[[#All],[movie_id]:[movie_id]],Financials[[#All],[budget]],"Not Available",0)</f>
        <v>Not Available</v>
      </c>
      <c r="L7" s="163" t="str">
        <f>_xlfn.XLOOKUP(XMovies[[#This Row],[movie_id]],moviesKPIS[movie_id],moviesKPIS[Profit (USD,millions)],"Not Available",0)</f>
        <v>Not Available</v>
      </c>
    </row>
    <row r="8" spans="1:30" x14ac:dyDescent="0.3">
      <c r="A8" s="24">
        <v>107</v>
      </c>
      <c r="B8" s="24" t="s">
        <v>126</v>
      </c>
      <c r="C8" s="24" t="s">
        <v>6</v>
      </c>
      <c r="D8" s="24">
        <v>1995</v>
      </c>
      <c r="E8" s="24">
        <v>8</v>
      </c>
      <c r="F8" s="24" t="s">
        <v>10</v>
      </c>
      <c r="G8" s="24">
        <v>1</v>
      </c>
      <c r="H8" cm="1">
        <f t="array" ref="H8">_xlfn.XLOOKUP(XMovies[[#This Row],[movie_id]:[movie_id]],Financials[[#All],[movie_id]:[movie_id]],Financials[[#All],[revenue]],"Not Available",0)</f>
        <v>2000</v>
      </c>
      <c r="I8" t="str" cm="1">
        <f t="array" ref="I8">_xlfn.XLOOKUP(XMovies[[#This Row],[movie_id]:[movie_id]],Financials[[#All],[movie_id]:[movie_id]],Financials[[#All],[unit]],"Not Available",0)</f>
        <v>Millions</v>
      </c>
      <c r="J8" t="str" cm="1">
        <f t="array" ref="J8">_xlfn.XLOOKUP(XMovies[[#This Row],[movie_id]:[movie_id]],Financials[[#All],[movie_id]:[movie_id]],Financials[[#All],[currency]],"Not Available",0)</f>
        <v>INR</v>
      </c>
      <c r="K8" cm="1">
        <f t="array" ref="K8">_xlfn.XLOOKUP(XMovies[[#This Row],[movie_id]:[movie_id]],Financials[[#All],[movie_id]:[movie_id]],Financials[[#All],[budget]],"Not Available",0)</f>
        <v>400</v>
      </c>
      <c r="L8" s="163">
        <f>_xlfn.XLOOKUP(XMovies[[#This Row],[movie_id]],moviesKPIS[movie_id],moviesKPIS[Profit (USD,millions)],"Not Available",0)</f>
        <v>20</v>
      </c>
      <c r="N8" s="12"/>
    </row>
    <row r="9" spans="1:30" x14ac:dyDescent="0.3">
      <c r="A9" s="25">
        <v>108</v>
      </c>
      <c r="B9" s="25" t="s">
        <v>127</v>
      </c>
      <c r="C9" s="25" t="s">
        <v>6</v>
      </c>
      <c r="D9" s="25">
        <v>2009</v>
      </c>
      <c r="E9" s="25">
        <v>8.4</v>
      </c>
      <c r="F9" s="25" t="s">
        <v>11</v>
      </c>
      <c r="G9" s="25">
        <v>1</v>
      </c>
      <c r="H9" cm="1">
        <f t="array" ref="H9">_xlfn.XLOOKUP(XMovies[[#This Row],[movie_id]:[movie_id]],Financials[[#All],[movie_id]:[movie_id]],Financials[[#All],[revenue]],"Not Available",0)</f>
        <v>4000</v>
      </c>
      <c r="I9" t="str" cm="1">
        <f t="array" ref="I9">_xlfn.XLOOKUP(XMovies[[#This Row],[movie_id]:[movie_id]],Financials[[#All],[movie_id]:[movie_id]],Financials[[#All],[unit]],"Not Available",0)</f>
        <v>Millions</v>
      </c>
      <c r="J9" t="str" cm="1">
        <f t="array" ref="J9">_xlfn.XLOOKUP(XMovies[[#This Row],[movie_id]:[movie_id]],Financials[[#All],[movie_id]:[movie_id]],Financials[[#All],[currency]],"Not Available",0)</f>
        <v>INR</v>
      </c>
      <c r="K9" cm="1">
        <f t="array" ref="K9">_xlfn.XLOOKUP(XMovies[[#This Row],[movie_id]:[movie_id]],Financials[[#All],[movie_id]:[movie_id]],Financials[[#All],[budget]],"Not Available",0)</f>
        <v>550</v>
      </c>
      <c r="L9" s="163">
        <f>_xlfn.XLOOKUP(XMovies[[#This Row],[movie_id]],moviesKPIS[movie_id],moviesKPIS[Profit (USD,millions)],"Not Available",0)</f>
        <v>43.125</v>
      </c>
    </row>
    <row r="10" spans="1:30" x14ac:dyDescent="0.3">
      <c r="A10" s="24">
        <v>109</v>
      </c>
      <c r="B10" s="24" t="s">
        <v>128</v>
      </c>
      <c r="C10" s="24" t="s">
        <v>6</v>
      </c>
      <c r="D10" s="24">
        <v>2001</v>
      </c>
      <c r="E10" s="24">
        <v>7.4</v>
      </c>
      <c r="F10" s="24" t="s">
        <v>12</v>
      </c>
      <c r="G10" s="24">
        <v>1</v>
      </c>
      <c r="H10" cm="1">
        <f t="array" ref="H10">_xlfn.XLOOKUP(XMovies[[#This Row],[movie_id]:[movie_id]],Financials[[#All],[movie_id]:[movie_id]],Financials[[#All],[revenue]],"Not Available",0)</f>
        <v>1360</v>
      </c>
      <c r="I10" t="str" cm="1">
        <f t="array" ref="I10">_xlfn.XLOOKUP(XMovies[[#This Row],[movie_id]:[movie_id]],Financials[[#All],[movie_id]:[movie_id]],Financials[[#All],[unit]],"Not Available",0)</f>
        <v>Millions</v>
      </c>
      <c r="J10" t="str" cm="1">
        <f t="array" ref="J10">_xlfn.XLOOKUP(XMovies[[#This Row],[movie_id]:[movie_id]],Financials[[#All],[movie_id]:[movie_id]],Financials[[#All],[currency]],"Not Available",0)</f>
        <v>INR</v>
      </c>
      <c r="K10" cm="1">
        <f t="array" ref="K10">_xlfn.XLOOKUP(XMovies[[#This Row],[movie_id]:[movie_id]],Financials[[#All],[movie_id]:[movie_id]],Financials[[#All],[budget]],"Not Available",0)</f>
        <v>390</v>
      </c>
      <c r="L10" s="163">
        <f>_xlfn.XLOOKUP(XMovies[[#This Row],[movie_id]],moviesKPIS[movie_id],moviesKPIS[Profit (USD,millions)],"Not Available",0)</f>
        <v>12.125</v>
      </c>
    </row>
    <row r="11" spans="1:30" x14ac:dyDescent="0.3">
      <c r="A11" s="25">
        <v>110</v>
      </c>
      <c r="B11" s="25" t="s">
        <v>129</v>
      </c>
      <c r="C11" s="25" t="s">
        <v>6</v>
      </c>
      <c r="D11" s="25">
        <v>2015</v>
      </c>
      <c r="E11" s="25">
        <v>7.2</v>
      </c>
      <c r="F11" s="25" t="s">
        <v>114</v>
      </c>
      <c r="G11" s="25">
        <v>1</v>
      </c>
      <c r="H11" cm="1">
        <f t="array" ref="H11">_xlfn.XLOOKUP(XMovies[[#This Row],[movie_id]:[movie_id]],Financials[[#All],[movie_id]:[movie_id]],Financials[[#All],[revenue]],"Not Available",0)</f>
        <v>3.5</v>
      </c>
      <c r="I11" t="str" cm="1">
        <f t="array" ref="I11">_xlfn.XLOOKUP(XMovies[[#This Row],[movie_id]:[movie_id]],Financials[[#All],[movie_id]:[movie_id]],Financials[[#All],[unit]],"Not Available",0)</f>
        <v>Billions</v>
      </c>
      <c r="J11" t="str" cm="1">
        <f t="array" ref="J11">_xlfn.XLOOKUP(XMovies[[#This Row],[movie_id]:[movie_id]],Financials[[#All],[movie_id]:[movie_id]],Financials[[#All],[currency]],"Not Available",0)</f>
        <v>INR</v>
      </c>
      <c r="K11" cm="1">
        <f t="array" ref="K11">_xlfn.XLOOKUP(XMovies[[#This Row],[movie_id]:[movie_id]],Financials[[#All],[movie_id]:[movie_id]],Financials[[#All],[budget]],"Not Available",0)</f>
        <v>1.4</v>
      </c>
      <c r="L11" s="163">
        <f>_xlfn.XLOOKUP(XMovies[[#This Row],[movie_id]],moviesKPIS[movie_id],moviesKPIS[Profit (USD,millions)],"Not Available",0)</f>
        <v>43.732500000000002</v>
      </c>
      <c r="AD11" t="s">
        <v>175</v>
      </c>
    </row>
    <row r="12" spans="1:30" x14ac:dyDescent="0.3">
      <c r="A12" s="24">
        <v>111</v>
      </c>
      <c r="B12" s="24" t="s">
        <v>130</v>
      </c>
      <c r="C12" s="24" t="s">
        <v>7</v>
      </c>
      <c r="D12" s="24">
        <v>1994</v>
      </c>
      <c r="E12" s="24">
        <v>9.3000000000000007</v>
      </c>
      <c r="F12" s="24" t="s">
        <v>13</v>
      </c>
      <c r="G12" s="24">
        <v>5</v>
      </c>
      <c r="H12" cm="1">
        <f t="array" ref="H12">_xlfn.XLOOKUP(XMovies[[#This Row],[movie_id]:[movie_id]],Financials[[#All],[movie_id]:[movie_id]],Financials[[#All],[revenue]],"Not Available",0)</f>
        <v>73.3</v>
      </c>
      <c r="I12" t="str" cm="1">
        <f t="array" ref="I12">_xlfn.XLOOKUP(XMovies[[#This Row],[movie_id]:[movie_id]],Financials[[#All],[movie_id]:[movie_id]],Financials[[#All],[unit]],"Not Available",0)</f>
        <v>Millions</v>
      </c>
      <c r="J12" t="str" cm="1">
        <f t="array" ref="J12">_xlfn.XLOOKUP(XMovies[[#This Row],[movie_id]:[movie_id]],Financials[[#All],[movie_id]:[movie_id]],Financials[[#All],[currency]],"Not Available",0)</f>
        <v>USD</v>
      </c>
      <c r="K12" cm="1">
        <f t="array" ref="K12">_xlfn.XLOOKUP(XMovies[[#This Row],[movie_id]:[movie_id]],Financials[[#All],[movie_id]:[movie_id]],Financials[[#All],[budget]],"Not Available",0)</f>
        <v>25</v>
      </c>
      <c r="L12" s="163">
        <f>_xlfn.XLOOKUP(XMovies[[#This Row],[movie_id]],moviesKPIS[movie_id],moviesKPIS[Profit (USD,millions)],"Not Available",0)</f>
        <v>48.3</v>
      </c>
    </row>
    <row r="13" spans="1:30" x14ac:dyDescent="0.3">
      <c r="A13" s="25">
        <v>112</v>
      </c>
      <c r="B13" s="25" t="s">
        <v>131</v>
      </c>
      <c r="C13" s="25" t="s">
        <v>7</v>
      </c>
      <c r="D13" s="25">
        <v>2010</v>
      </c>
      <c r="E13" s="25">
        <v>8.8000000000000007</v>
      </c>
      <c r="F13" s="25" t="s">
        <v>14</v>
      </c>
      <c r="G13" s="25">
        <v>5</v>
      </c>
      <c r="H13" t="str" cm="1">
        <f t="array" ref="H13">_xlfn.XLOOKUP(XMovies[[#This Row],[movie_id]:[movie_id]],Financials[[#All],[movie_id]:[movie_id]],Financials[[#All],[revenue]],"Not Available",0)</f>
        <v>Not Available</v>
      </c>
      <c r="I13" t="str" cm="1">
        <f t="array" ref="I13">_xlfn.XLOOKUP(XMovies[[#This Row],[movie_id]:[movie_id]],Financials[[#All],[movie_id]:[movie_id]],Financials[[#All],[unit]],"Not Available",0)</f>
        <v>Not Available</v>
      </c>
      <c r="J13" t="str" cm="1">
        <f t="array" ref="J13">_xlfn.XLOOKUP(XMovies[[#This Row],[movie_id]:[movie_id]],Financials[[#All],[movie_id]:[movie_id]],Financials[[#All],[currency]],"Not Available",0)</f>
        <v>Not Available</v>
      </c>
      <c r="K13" t="str" cm="1">
        <f t="array" ref="K13">_xlfn.XLOOKUP(XMovies[[#This Row],[movie_id]:[movie_id]],Financials[[#All],[movie_id]:[movie_id]],Financials[[#All],[budget]],"Not Available",0)</f>
        <v>Not Available</v>
      </c>
      <c r="L13" s="163" t="str">
        <f>_xlfn.XLOOKUP(XMovies[[#This Row],[movie_id]],moviesKPIS[movie_id],moviesKPIS[Profit (USD,millions)],"Not Available",0)</f>
        <v>Not Available</v>
      </c>
    </row>
    <row r="14" spans="1:30" x14ac:dyDescent="0.3">
      <c r="A14" s="24">
        <v>113</v>
      </c>
      <c r="B14" s="24" t="s">
        <v>132</v>
      </c>
      <c r="C14" s="24" t="s">
        <v>7</v>
      </c>
      <c r="D14" s="24">
        <v>2014</v>
      </c>
      <c r="E14" s="24">
        <v>8.6</v>
      </c>
      <c r="F14" s="24" t="s">
        <v>14</v>
      </c>
      <c r="G14" s="24">
        <v>5</v>
      </c>
      <c r="H14" cm="1">
        <f t="array" ref="H14">_xlfn.XLOOKUP(XMovies[[#This Row],[movie_id]:[movie_id]],Financials[[#All],[movie_id]:[movie_id]],Financials[[#All],[revenue]],"Not Available",0)</f>
        <v>701.8</v>
      </c>
      <c r="I14" t="str" cm="1">
        <f t="array" ref="I14">_xlfn.XLOOKUP(XMovies[[#This Row],[movie_id]:[movie_id]],Financials[[#All],[movie_id]:[movie_id]],Financials[[#All],[unit]],"Not Available",0)</f>
        <v>Millions</v>
      </c>
      <c r="J14" t="str" cm="1">
        <f t="array" ref="J14">_xlfn.XLOOKUP(XMovies[[#This Row],[movie_id]:[movie_id]],Financials[[#All],[movie_id]:[movie_id]],Financials[[#All],[currency]],"Not Available",0)</f>
        <v>USD</v>
      </c>
      <c r="K14" cm="1">
        <f t="array" ref="K14">_xlfn.XLOOKUP(XMovies[[#This Row],[movie_id]:[movie_id]],Financials[[#All],[movie_id]:[movie_id]],Financials[[#All],[budget]],"Not Available",0)</f>
        <v>165</v>
      </c>
      <c r="L14" s="163">
        <f>_xlfn.XLOOKUP(XMovies[[#This Row],[movie_id]],moviesKPIS[movie_id],moviesKPIS[Profit (USD,millions)],"Not Available",0)</f>
        <v>536.79999999999995</v>
      </c>
    </row>
    <row r="15" spans="1:30" x14ac:dyDescent="0.3">
      <c r="A15" s="25">
        <v>115</v>
      </c>
      <c r="B15" s="25" t="s">
        <v>133</v>
      </c>
      <c r="C15" s="25" t="s">
        <v>7</v>
      </c>
      <c r="D15" s="25">
        <v>2006</v>
      </c>
      <c r="E15" s="25">
        <v>8</v>
      </c>
      <c r="F15" s="25" t="s">
        <v>15</v>
      </c>
      <c r="G15" s="25">
        <v>5</v>
      </c>
      <c r="H15" cm="1">
        <f t="array" ref="H15">_xlfn.XLOOKUP(XMovies[[#This Row],[movie_id]:[movie_id]],Financials[[#All],[movie_id]:[movie_id]],Financials[[#All],[revenue]],"Not Available",0)</f>
        <v>307.10000000000002</v>
      </c>
      <c r="I15" t="str" cm="1">
        <f t="array" ref="I15">_xlfn.XLOOKUP(XMovies[[#This Row],[movie_id]:[movie_id]],Financials[[#All],[movie_id]:[movie_id]],Financials[[#All],[unit]],"Not Available",0)</f>
        <v>Millions</v>
      </c>
      <c r="J15" t="str" cm="1">
        <f t="array" ref="J15">_xlfn.XLOOKUP(XMovies[[#This Row],[movie_id]:[movie_id]],Financials[[#All],[movie_id]:[movie_id]],Financials[[#All],[currency]],"Not Available",0)</f>
        <v>USD</v>
      </c>
      <c r="K15" cm="1">
        <f t="array" ref="K15">_xlfn.XLOOKUP(XMovies[[#This Row],[movie_id]:[movie_id]],Financials[[#All],[movie_id]:[movie_id]],Financials[[#All],[budget]],"Not Available",0)</f>
        <v>55</v>
      </c>
      <c r="L15" s="163">
        <f>_xlfn.XLOOKUP(XMovies[[#This Row],[movie_id]],moviesKPIS[movie_id],moviesKPIS[Profit (USD,millions)],"Not Available",0)</f>
        <v>252.10000000000002</v>
      </c>
    </row>
    <row r="16" spans="1:30" x14ac:dyDescent="0.3">
      <c r="A16" s="24">
        <v>116</v>
      </c>
      <c r="B16" s="24" t="s">
        <v>134</v>
      </c>
      <c r="C16" s="24" t="s">
        <v>7</v>
      </c>
      <c r="D16" s="24">
        <v>2000</v>
      </c>
      <c r="E16" s="24">
        <v>8.5</v>
      </c>
      <c r="F16" s="24" t="s">
        <v>20</v>
      </c>
      <c r="G16" s="24">
        <v>5</v>
      </c>
      <c r="H16" cm="1">
        <f t="array" ref="H16">_xlfn.XLOOKUP(XMovies[[#This Row],[movie_id]:[movie_id]],Financials[[#All],[movie_id]:[movie_id]],Financials[[#All],[revenue]],"Not Available",0)</f>
        <v>460.5</v>
      </c>
      <c r="I16" t="str" cm="1">
        <f t="array" ref="I16">_xlfn.XLOOKUP(XMovies[[#This Row],[movie_id]:[movie_id]],Financials[[#All],[movie_id]:[movie_id]],Financials[[#All],[unit]],"Not Available",0)</f>
        <v>Millions</v>
      </c>
      <c r="J16" t="str" cm="1">
        <f t="array" ref="J16">_xlfn.XLOOKUP(XMovies[[#This Row],[movie_id]:[movie_id]],Financials[[#All],[movie_id]:[movie_id]],Financials[[#All],[currency]],"Not Available",0)</f>
        <v>USD</v>
      </c>
      <c r="K16" cm="1">
        <f t="array" ref="K16">_xlfn.XLOOKUP(XMovies[[#This Row],[movie_id]:[movie_id]],Financials[[#All],[movie_id]:[movie_id]],Financials[[#All],[budget]],"Not Available",0)</f>
        <v>103</v>
      </c>
      <c r="L16" s="163">
        <f>_xlfn.XLOOKUP(XMovies[[#This Row],[movie_id]],moviesKPIS[movie_id],moviesKPIS[Profit (USD,millions)],"Not Available",0)</f>
        <v>357.5</v>
      </c>
    </row>
    <row r="17" spans="1:12" x14ac:dyDescent="0.3">
      <c r="A17" s="25">
        <v>117</v>
      </c>
      <c r="B17" s="25" t="s">
        <v>135</v>
      </c>
      <c r="C17" s="25" t="s">
        <v>7</v>
      </c>
      <c r="D17" s="25">
        <v>1997</v>
      </c>
      <c r="E17" s="25">
        <v>7.9</v>
      </c>
      <c r="F17" s="25" t="s">
        <v>16</v>
      </c>
      <c r="G17" s="25">
        <v>5</v>
      </c>
      <c r="H17" cm="1">
        <f t="array" ref="H17">_xlfn.XLOOKUP(XMovies[[#This Row],[movie_id]:[movie_id]],Financials[[#All],[movie_id]:[movie_id]],Financials[[#All],[revenue]],"Not Available",0)</f>
        <v>2202</v>
      </c>
      <c r="I17" t="str" cm="1">
        <f t="array" ref="I17">_xlfn.XLOOKUP(XMovies[[#This Row],[movie_id]:[movie_id]],Financials[[#All],[movie_id]:[movie_id]],Financials[[#All],[unit]],"Not Available",0)</f>
        <v>Millions</v>
      </c>
      <c r="J17" t="str" cm="1">
        <f t="array" ref="J17">_xlfn.XLOOKUP(XMovies[[#This Row],[movie_id]:[movie_id]],Financials[[#All],[movie_id]:[movie_id]],Financials[[#All],[currency]],"Not Available",0)</f>
        <v>USD</v>
      </c>
      <c r="K17" cm="1">
        <f t="array" ref="K17">_xlfn.XLOOKUP(XMovies[[#This Row],[movie_id]:[movie_id]],Financials[[#All],[movie_id]:[movie_id]],Financials[[#All],[budget]],"Not Available",0)</f>
        <v>200</v>
      </c>
      <c r="L17" s="163">
        <f>_xlfn.XLOOKUP(XMovies[[#This Row],[movie_id]],moviesKPIS[movie_id],moviesKPIS[Profit (USD,millions)],"Not Available",0)</f>
        <v>2002</v>
      </c>
    </row>
    <row r="18" spans="1:12" x14ac:dyDescent="0.3">
      <c r="A18" s="24">
        <v>118</v>
      </c>
      <c r="B18" s="24" t="s">
        <v>136</v>
      </c>
      <c r="C18" s="24" t="s">
        <v>7</v>
      </c>
      <c r="D18" s="24">
        <v>1946</v>
      </c>
      <c r="E18" s="24">
        <v>8.6</v>
      </c>
      <c r="F18" s="24" t="s">
        <v>17</v>
      </c>
      <c r="G18" s="24">
        <v>5</v>
      </c>
      <c r="H18" cm="1">
        <f t="array" ref="H18">_xlfn.XLOOKUP(XMovies[[#This Row],[movie_id]:[movie_id]],Financials[[#All],[movie_id]:[movie_id]],Financials[[#All],[revenue]],"Not Available",0)</f>
        <v>3.3</v>
      </c>
      <c r="I18" t="str" cm="1">
        <f t="array" ref="I18">_xlfn.XLOOKUP(XMovies[[#This Row],[movie_id]:[movie_id]],Financials[[#All],[movie_id]:[movie_id]],Financials[[#All],[unit]],"Not Available",0)</f>
        <v>Millions</v>
      </c>
      <c r="J18" t="str" cm="1">
        <f t="array" ref="J18">_xlfn.XLOOKUP(XMovies[[#This Row],[movie_id]:[movie_id]],Financials[[#All],[movie_id]:[movie_id]],Financials[[#All],[currency]],"Not Available",0)</f>
        <v>USD</v>
      </c>
      <c r="K18" cm="1">
        <f t="array" ref="K18">_xlfn.XLOOKUP(XMovies[[#This Row],[movie_id]:[movie_id]],Financials[[#All],[movie_id]:[movie_id]],Financials[[#All],[budget]],"Not Available",0)</f>
        <v>3.18</v>
      </c>
      <c r="L18" s="163">
        <f>_xlfn.XLOOKUP(XMovies[[#This Row],[movie_id]],moviesKPIS[movie_id],moviesKPIS[Profit (USD,millions)],"Not Available",0)</f>
        <v>0.11999999999999966</v>
      </c>
    </row>
    <row r="19" spans="1:12" x14ac:dyDescent="0.3">
      <c r="A19" s="25">
        <v>119</v>
      </c>
      <c r="B19" s="25" t="s">
        <v>137</v>
      </c>
      <c r="C19" s="25" t="s">
        <v>7</v>
      </c>
      <c r="D19" s="25">
        <v>2009</v>
      </c>
      <c r="E19" s="25">
        <v>7.8</v>
      </c>
      <c r="F19" s="25" t="s">
        <v>18</v>
      </c>
      <c r="G19" s="25">
        <v>5</v>
      </c>
      <c r="H19" cm="1">
        <f t="array" ref="H19">_xlfn.XLOOKUP(XMovies[[#This Row],[movie_id]:[movie_id]],Financials[[#All],[movie_id]:[movie_id]],Financials[[#All],[revenue]],"Not Available",0)</f>
        <v>2847</v>
      </c>
      <c r="I19" t="str" cm="1">
        <f t="array" ref="I19">_xlfn.XLOOKUP(XMovies[[#This Row],[movie_id]:[movie_id]],Financials[[#All],[movie_id]:[movie_id]],Financials[[#All],[unit]],"Not Available",0)</f>
        <v>Millions</v>
      </c>
      <c r="J19" t="str" cm="1">
        <f t="array" ref="J19">_xlfn.XLOOKUP(XMovies[[#This Row],[movie_id]:[movie_id]],Financials[[#All],[movie_id]:[movie_id]],Financials[[#All],[currency]],"Not Available",0)</f>
        <v>USD</v>
      </c>
      <c r="K19" cm="1">
        <f t="array" ref="K19">_xlfn.XLOOKUP(XMovies[[#This Row],[movie_id]:[movie_id]],Financials[[#All],[movie_id]:[movie_id]],Financials[[#All],[budget]],"Not Available",0)</f>
        <v>237</v>
      </c>
      <c r="L19" s="163">
        <f>_xlfn.XLOOKUP(XMovies[[#This Row],[movie_id]],moviesKPIS[movie_id],moviesKPIS[Profit (USD,millions)],"Not Available",0)</f>
        <v>2610</v>
      </c>
    </row>
    <row r="20" spans="1:12" x14ac:dyDescent="0.3">
      <c r="A20" s="24">
        <v>120</v>
      </c>
      <c r="B20" s="24" t="s">
        <v>138</v>
      </c>
      <c r="C20" s="24" t="s">
        <v>7</v>
      </c>
      <c r="D20" s="24">
        <v>1972</v>
      </c>
      <c r="E20" s="24">
        <v>9.1999999999999993</v>
      </c>
      <c r="F20" s="24" t="s">
        <v>16</v>
      </c>
      <c r="G20" s="24">
        <v>5</v>
      </c>
      <c r="H20" cm="1">
        <f t="array" ref="H20">_xlfn.XLOOKUP(XMovies[[#This Row],[movie_id]:[movie_id]],Financials[[#All],[movie_id]:[movie_id]],Financials[[#All],[revenue]],"Not Available",0)</f>
        <v>291</v>
      </c>
      <c r="I20" t="str" cm="1">
        <f t="array" ref="I20">_xlfn.XLOOKUP(XMovies[[#This Row],[movie_id]:[movie_id]],Financials[[#All],[movie_id]:[movie_id]],Financials[[#All],[unit]],"Not Available",0)</f>
        <v>Millions</v>
      </c>
      <c r="J20" t="str" cm="1">
        <f t="array" ref="J20">_xlfn.XLOOKUP(XMovies[[#This Row],[movie_id]:[movie_id]],Financials[[#All],[movie_id]:[movie_id]],Financials[[#All],[currency]],"Not Available",0)</f>
        <v>USD</v>
      </c>
      <c r="K20" cm="1">
        <f t="array" ref="K20">_xlfn.XLOOKUP(XMovies[[#This Row],[movie_id]:[movie_id]],Financials[[#All],[movie_id]:[movie_id]],Financials[[#All],[budget]],"Not Available",0)</f>
        <v>7.2</v>
      </c>
      <c r="L20" s="163">
        <f>_xlfn.XLOOKUP(XMovies[[#This Row],[movie_id]],moviesKPIS[movie_id],moviesKPIS[Profit (USD,millions)],"Not Available",0)</f>
        <v>283.8</v>
      </c>
    </row>
    <row r="21" spans="1:12" x14ac:dyDescent="0.3">
      <c r="A21" s="25">
        <v>121</v>
      </c>
      <c r="B21" s="25" t="s">
        <v>139</v>
      </c>
      <c r="C21" s="25" t="s">
        <v>7</v>
      </c>
      <c r="D21" s="25">
        <v>2008</v>
      </c>
      <c r="E21" s="25">
        <v>9</v>
      </c>
      <c r="F21" s="25" t="s">
        <v>19</v>
      </c>
      <c r="G21" s="25">
        <v>5</v>
      </c>
      <c r="H21" cm="1">
        <f t="array" ref="H21">_xlfn.XLOOKUP(XMovies[[#This Row],[movie_id]:[movie_id]],Financials[[#All],[movie_id]:[movie_id]],Financials[[#All],[revenue]],"Not Available",0)</f>
        <v>1006</v>
      </c>
      <c r="I21" t="str" cm="1">
        <f t="array" ref="I21">_xlfn.XLOOKUP(XMovies[[#This Row],[movie_id]:[movie_id]],Financials[[#All],[movie_id]:[movie_id]],Financials[[#All],[unit]],"Not Available",0)</f>
        <v>Millions</v>
      </c>
      <c r="J21" t="str" cm="1">
        <f t="array" ref="J21">_xlfn.XLOOKUP(XMovies[[#This Row],[movie_id]:[movie_id]],Financials[[#All],[movie_id]:[movie_id]],Financials[[#All],[currency]],"Not Available",0)</f>
        <v>USD</v>
      </c>
      <c r="K21" cm="1">
        <f t="array" ref="K21">_xlfn.XLOOKUP(XMovies[[#This Row],[movie_id]:[movie_id]],Financials[[#All],[movie_id]:[movie_id]],Financials[[#All],[budget]],"Not Available",0)</f>
        <v>185</v>
      </c>
      <c r="L21" s="163">
        <f>_xlfn.XLOOKUP(XMovies[[#This Row],[movie_id]],moviesKPIS[movie_id],moviesKPIS[Profit (USD,millions)],"Not Available",0)</f>
        <v>821</v>
      </c>
    </row>
    <row r="22" spans="1:12" x14ac:dyDescent="0.3">
      <c r="A22" s="24">
        <v>122</v>
      </c>
      <c r="B22" s="24" t="s">
        <v>140</v>
      </c>
      <c r="C22" s="24" t="s">
        <v>7</v>
      </c>
      <c r="D22" s="24">
        <v>1993</v>
      </c>
      <c r="E22" s="24">
        <v>9</v>
      </c>
      <c r="F22" s="24" t="s">
        <v>20</v>
      </c>
      <c r="G22" s="24">
        <v>5</v>
      </c>
      <c r="H22" cm="1">
        <f t="array" ref="H22">_xlfn.XLOOKUP(XMovies[[#This Row],[movie_id]:[movie_id]],Financials[[#All],[movie_id]:[movie_id]],Financials[[#All],[revenue]],"Not Available",0)</f>
        <v>322.2</v>
      </c>
      <c r="I22" t="str" cm="1">
        <f t="array" ref="I22">_xlfn.XLOOKUP(XMovies[[#This Row],[movie_id]:[movie_id]],Financials[[#All],[movie_id]:[movie_id]],Financials[[#All],[unit]],"Not Available",0)</f>
        <v>Millions</v>
      </c>
      <c r="J22" t="str" cm="1">
        <f t="array" ref="J22">_xlfn.XLOOKUP(XMovies[[#This Row],[movie_id]:[movie_id]],Financials[[#All],[movie_id]:[movie_id]],Financials[[#All],[currency]],"Not Available",0)</f>
        <v>USD</v>
      </c>
      <c r="K22" cm="1">
        <f t="array" ref="K22">_xlfn.XLOOKUP(XMovies[[#This Row],[movie_id]:[movie_id]],Financials[[#All],[movie_id]:[movie_id]],Financials[[#All],[budget]],"Not Available",0)</f>
        <v>22</v>
      </c>
      <c r="L22" s="163">
        <f>_xlfn.XLOOKUP(XMovies[[#This Row],[movie_id]],moviesKPIS[movie_id],moviesKPIS[Profit (USD,millions)],"Not Available",0)</f>
        <v>300.2</v>
      </c>
    </row>
    <row r="23" spans="1:12" x14ac:dyDescent="0.3">
      <c r="A23" s="25">
        <v>123</v>
      </c>
      <c r="B23" s="25" t="s">
        <v>141</v>
      </c>
      <c r="C23" s="25" t="s">
        <v>7</v>
      </c>
      <c r="D23" s="25">
        <v>1993</v>
      </c>
      <c r="E23" s="25">
        <v>8.1999999999999993</v>
      </c>
      <c r="F23" s="25" t="s">
        <v>20</v>
      </c>
      <c r="G23" s="25">
        <v>5</v>
      </c>
      <c r="H23" cm="1">
        <f t="array" ref="H23">_xlfn.XLOOKUP(XMovies[[#This Row],[movie_id]:[movie_id]],Financials[[#All],[movie_id]:[movie_id]],Financials[[#All],[revenue]],"Not Available",0)</f>
        <v>1046</v>
      </c>
      <c r="I23" t="str" cm="1">
        <f t="array" ref="I23">_xlfn.XLOOKUP(XMovies[[#This Row],[movie_id]:[movie_id]],Financials[[#All],[movie_id]:[movie_id]],Financials[[#All],[unit]],"Not Available",0)</f>
        <v>Millions</v>
      </c>
      <c r="J23" t="str" cm="1">
        <f t="array" ref="J23">_xlfn.XLOOKUP(XMovies[[#This Row],[movie_id]:[movie_id]],Financials[[#All],[movie_id]:[movie_id]],Financials[[#All],[currency]],"Not Available",0)</f>
        <v>USD</v>
      </c>
      <c r="K23" cm="1">
        <f t="array" ref="K23">_xlfn.XLOOKUP(XMovies[[#This Row],[movie_id]:[movie_id]],Financials[[#All],[movie_id]:[movie_id]],Financials[[#All],[budget]],"Not Available",0)</f>
        <v>63</v>
      </c>
      <c r="L23" s="163">
        <f>_xlfn.XLOOKUP(XMovies[[#This Row],[movie_id]],moviesKPIS[movie_id],moviesKPIS[Profit (USD,millions)],"Not Available",0)</f>
        <v>983</v>
      </c>
    </row>
    <row r="24" spans="1:12" x14ac:dyDescent="0.3">
      <c r="A24" s="24">
        <v>124</v>
      </c>
      <c r="B24" s="24" t="s">
        <v>142</v>
      </c>
      <c r="C24" s="24" t="s">
        <v>7</v>
      </c>
      <c r="D24" s="24">
        <v>2019</v>
      </c>
      <c r="E24" s="24">
        <v>8.5</v>
      </c>
      <c r="F24" s="24" t="s">
        <v>114</v>
      </c>
      <c r="G24" s="24">
        <v>5</v>
      </c>
      <c r="H24" cm="1">
        <f t="array" ref="H24">_xlfn.XLOOKUP(XMovies[[#This Row],[movie_id]:[movie_id]],Financials[[#All],[movie_id]:[movie_id]],Financials[[#All],[revenue]],"Not Available",0)</f>
        <v>263.10000000000002</v>
      </c>
      <c r="I24" t="str" cm="1">
        <f t="array" ref="I24">_xlfn.XLOOKUP(XMovies[[#This Row],[movie_id]:[movie_id]],Financials[[#All],[movie_id]:[movie_id]],Financials[[#All],[unit]],"Not Available",0)</f>
        <v>Millions</v>
      </c>
      <c r="J24" t="str" cm="1">
        <f t="array" ref="J24">_xlfn.XLOOKUP(XMovies[[#This Row],[movie_id]:[movie_id]],Financials[[#All],[movie_id]:[movie_id]],Financials[[#All],[currency]],"Not Available",0)</f>
        <v>USD</v>
      </c>
      <c r="K24" cm="1">
        <f t="array" ref="K24">_xlfn.XLOOKUP(XMovies[[#This Row],[movie_id]:[movie_id]],Financials[[#All],[movie_id]:[movie_id]],Financials[[#All],[budget]],"Not Available",0)</f>
        <v>15.5</v>
      </c>
      <c r="L24" s="163">
        <f>_xlfn.XLOOKUP(XMovies[[#This Row],[movie_id]],moviesKPIS[movie_id],moviesKPIS[Profit (USD,millions)],"Not Available",0)</f>
        <v>247.60000000000002</v>
      </c>
    </row>
    <row r="25" spans="1:12" x14ac:dyDescent="0.3">
      <c r="A25" s="25">
        <v>125</v>
      </c>
      <c r="B25" s="25" t="s">
        <v>143</v>
      </c>
      <c r="C25" s="25" t="s">
        <v>7</v>
      </c>
      <c r="D25" s="25">
        <v>2019</v>
      </c>
      <c r="E25" s="25">
        <v>8.4</v>
      </c>
      <c r="F25" s="25" t="s">
        <v>8</v>
      </c>
      <c r="G25" s="25">
        <v>5</v>
      </c>
      <c r="H25" cm="1">
        <f t="array" ref="H25">_xlfn.XLOOKUP(XMovies[[#This Row],[movie_id]:[movie_id]],Financials[[#All],[movie_id]:[movie_id]],Financials[[#All],[revenue]],"Not Available",0)</f>
        <v>2798</v>
      </c>
      <c r="I25" t="str" cm="1">
        <f t="array" ref="I25">_xlfn.XLOOKUP(XMovies[[#This Row],[movie_id]:[movie_id]],Financials[[#All],[movie_id]:[movie_id]],Financials[[#All],[unit]],"Not Available",0)</f>
        <v>Millions</v>
      </c>
      <c r="J25" t="str" cm="1">
        <f t="array" ref="J25">_xlfn.XLOOKUP(XMovies[[#This Row],[movie_id]:[movie_id]],Financials[[#All],[movie_id]:[movie_id]],Financials[[#All],[currency]],"Not Available",0)</f>
        <v>USD</v>
      </c>
      <c r="K25" cm="1">
        <f t="array" ref="K25">_xlfn.XLOOKUP(XMovies[[#This Row],[movie_id]:[movie_id]],Financials[[#All],[movie_id]:[movie_id]],Financials[[#All],[budget]],"Not Available",0)</f>
        <v>400</v>
      </c>
      <c r="L25" s="163">
        <f>_xlfn.XLOOKUP(XMovies[[#This Row],[movie_id]],moviesKPIS[movie_id],moviesKPIS[Profit (USD,millions)],"Not Available",0)</f>
        <v>2398</v>
      </c>
    </row>
    <row r="26" spans="1:12" x14ac:dyDescent="0.3">
      <c r="A26" s="24">
        <v>126</v>
      </c>
      <c r="B26" s="24" t="s">
        <v>144</v>
      </c>
      <c r="C26" s="24" t="s">
        <v>7</v>
      </c>
      <c r="D26" s="24">
        <v>2018</v>
      </c>
      <c r="E26" s="24">
        <v>8.4</v>
      </c>
      <c r="F26" s="24" t="s">
        <v>8</v>
      </c>
      <c r="G26" s="24">
        <v>5</v>
      </c>
      <c r="H26" cm="1">
        <f t="array" ref="H26">_xlfn.XLOOKUP(XMovies[[#This Row],[movie_id]:[movie_id]],Financials[[#All],[movie_id]:[movie_id]],Financials[[#All],[revenue]],"Not Available",0)</f>
        <v>2048</v>
      </c>
      <c r="I26" t="str" cm="1">
        <f t="array" ref="I26">_xlfn.XLOOKUP(XMovies[[#This Row],[movie_id]:[movie_id]],Financials[[#All],[movie_id]:[movie_id]],Financials[[#All],[unit]],"Not Available",0)</f>
        <v>Millions</v>
      </c>
      <c r="J26" t="str" cm="1">
        <f t="array" ref="J26">_xlfn.XLOOKUP(XMovies[[#This Row],[movie_id]:[movie_id]],Financials[[#All],[movie_id]:[movie_id]],Financials[[#All],[currency]],"Not Available",0)</f>
        <v>USD</v>
      </c>
      <c r="K26" cm="1">
        <f t="array" ref="K26">_xlfn.XLOOKUP(XMovies[[#This Row],[movie_id]:[movie_id]],Financials[[#All],[movie_id]:[movie_id]],Financials[[#All],[budget]],"Not Available",0)</f>
        <v>400</v>
      </c>
      <c r="L26" s="163">
        <f>_xlfn.XLOOKUP(XMovies[[#This Row],[movie_id]],moviesKPIS[movie_id],moviesKPIS[Profit (USD,millions)],"Not Available",0)</f>
        <v>1648</v>
      </c>
    </row>
    <row r="27" spans="1:12" x14ac:dyDescent="0.3">
      <c r="A27" s="25">
        <v>127</v>
      </c>
      <c r="B27" s="25" t="s">
        <v>145</v>
      </c>
      <c r="C27" s="25" t="s">
        <v>6</v>
      </c>
      <c r="D27" s="25">
        <v>1955</v>
      </c>
      <c r="E27" s="25">
        <v>8.3000000000000007</v>
      </c>
      <c r="F27" s="25" t="s">
        <v>118</v>
      </c>
      <c r="G27" s="25">
        <v>7</v>
      </c>
      <c r="H27" cm="1">
        <f t="array" ref="H27">_xlfn.XLOOKUP(XMovies[[#This Row],[movie_id]:[movie_id]],Financials[[#All],[movie_id]:[movie_id]],Financials[[#All],[revenue]],"Not Available",0)</f>
        <v>100</v>
      </c>
      <c r="I27" t="str" cm="1">
        <f t="array" ref="I27">_xlfn.XLOOKUP(XMovies[[#This Row],[movie_id]:[movie_id]],Financials[[#All],[movie_id]:[movie_id]],Financials[[#All],[unit]],"Not Available",0)</f>
        <v>Millions</v>
      </c>
      <c r="J27" t="str" cm="1">
        <f t="array" ref="J27">_xlfn.XLOOKUP(XMovies[[#This Row],[movie_id]:[movie_id]],Financials[[#All],[movie_id]:[movie_id]],Financials[[#All],[currency]],"Not Available",0)</f>
        <v>INR</v>
      </c>
      <c r="K27" cm="1">
        <f t="array" ref="K27">_xlfn.XLOOKUP(XMovies[[#This Row],[movie_id]:[movie_id]],Financials[[#All],[movie_id]:[movie_id]],Financials[[#All],[budget]],"Not Available",0)</f>
        <v>70</v>
      </c>
      <c r="L27" s="163">
        <f>_xlfn.XLOOKUP(XMovies[[#This Row],[movie_id]],moviesKPIS[movie_id],moviesKPIS[Profit (USD,millions)],"Not Available",0)</f>
        <v>0.375</v>
      </c>
    </row>
    <row r="28" spans="1:12" x14ac:dyDescent="0.3">
      <c r="A28" s="24">
        <v>128</v>
      </c>
      <c r="B28" s="24" t="s">
        <v>146</v>
      </c>
      <c r="C28" s="24" t="s">
        <v>6</v>
      </c>
      <c r="D28" s="24">
        <v>2007</v>
      </c>
      <c r="E28" s="24">
        <v>8.3000000000000007</v>
      </c>
      <c r="F28" s="24" t="s">
        <v>114</v>
      </c>
      <c r="G28" s="24">
        <v>1</v>
      </c>
      <c r="H28" cm="1">
        <f t="array" ref="H28">_xlfn.XLOOKUP(XMovies[[#This Row],[movie_id]:[movie_id]],Financials[[#All],[movie_id]:[movie_id]],Financials[[#All],[revenue]],"Not Available",0)</f>
        <v>1350</v>
      </c>
      <c r="I28" t="str" cm="1">
        <f t="array" ref="I28">_xlfn.XLOOKUP(XMovies[[#This Row],[movie_id]:[movie_id]],Financials[[#All],[movie_id]:[movie_id]],Financials[[#All],[unit]],"Not Available",0)</f>
        <v>Millions</v>
      </c>
      <c r="J28" t="str" cm="1">
        <f t="array" ref="J28">_xlfn.XLOOKUP(XMovies[[#This Row],[movie_id]:[movie_id]],Financials[[#All],[movie_id]:[movie_id]],Financials[[#All],[currency]],"Not Available",0)</f>
        <v>INR</v>
      </c>
      <c r="K28" cm="1">
        <f t="array" ref="K28">_xlfn.XLOOKUP(XMovies[[#This Row],[movie_id]:[movie_id]],Financials[[#All],[movie_id]:[movie_id]],Financials[[#All],[budget]],"Not Available",0)</f>
        <v>120</v>
      </c>
      <c r="L28" s="163">
        <f>_xlfn.XLOOKUP(XMovies[[#This Row],[movie_id]],moviesKPIS[movie_id],moviesKPIS[Profit (USD,millions)],"Not Available",0)</f>
        <v>15.375</v>
      </c>
    </row>
    <row r="29" spans="1:12" x14ac:dyDescent="0.3">
      <c r="A29" s="25">
        <v>129</v>
      </c>
      <c r="B29" s="25" t="s">
        <v>147</v>
      </c>
      <c r="C29" s="25" t="s">
        <v>6</v>
      </c>
      <c r="D29" s="25">
        <v>2003</v>
      </c>
      <c r="E29" s="25">
        <v>8.1</v>
      </c>
      <c r="F29" s="25" t="s">
        <v>21</v>
      </c>
      <c r="G29" s="25">
        <v>1</v>
      </c>
      <c r="H29" cm="1">
        <f t="array" ref="H29">_xlfn.XLOOKUP(XMovies[[#This Row],[movie_id]:[movie_id]],Financials[[#All],[movie_id]:[movie_id]],Financials[[#All],[revenue]],"Not Available",0)</f>
        <v>410</v>
      </c>
      <c r="I29" t="str" cm="1">
        <f t="array" ref="I29">_xlfn.XLOOKUP(XMovies[[#This Row],[movie_id]:[movie_id]],Financials[[#All],[movie_id]:[movie_id]],Financials[[#All],[unit]],"Not Available",0)</f>
        <v>Millions</v>
      </c>
      <c r="J29" t="str" cm="1">
        <f t="array" ref="J29">_xlfn.XLOOKUP(XMovies[[#This Row],[movie_id]:[movie_id]],Financials[[#All],[movie_id]:[movie_id]],Financials[[#All],[currency]],"Not Available",0)</f>
        <v>INR</v>
      </c>
      <c r="K29" cm="1">
        <f t="array" ref="K29">_xlfn.XLOOKUP(XMovies[[#This Row],[movie_id]:[movie_id]],Financials[[#All],[movie_id]:[movie_id]],Financials[[#All],[budget]],"Not Available",0)</f>
        <v>100</v>
      </c>
      <c r="L29" s="163">
        <f>_xlfn.XLOOKUP(XMovies[[#This Row],[movie_id]],moviesKPIS[movie_id],moviesKPIS[Profit (USD,millions)],"Not Available",0)</f>
        <v>3.875</v>
      </c>
    </row>
    <row r="30" spans="1:12" x14ac:dyDescent="0.3">
      <c r="A30" s="24">
        <v>130</v>
      </c>
      <c r="B30" s="24" t="s">
        <v>148</v>
      </c>
      <c r="C30" s="24" t="s">
        <v>6</v>
      </c>
      <c r="D30" s="24">
        <v>2014</v>
      </c>
      <c r="E30" s="24">
        <v>8.1</v>
      </c>
      <c r="F30" s="24" t="s">
        <v>11</v>
      </c>
      <c r="G30" s="24">
        <v>1</v>
      </c>
      <c r="H30" cm="1">
        <f t="array" ref="H30">_xlfn.XLOOKUP(XMovies[[#This Row],[movie_id]:[movie_id]],Financials[[#All],[movie_id]:[movie_id]],Financials[[#All],[revenue]],"Not Available",0)</f>
        <v>8540</v>
      </c>
      <c r="I30" t="str" cm="1">
        <f t="array" ref="I30">_xlfn.XLOOKUP(XMovies[[#This Row],[movie_id]:[movie_id]],Financials[[#All],[movie_id]:[movie_id]],Financials[[#All],[unit]],"Not Available",0)</f>
        <v>Millions</v>
      </c>
      <c r="J30" t="str" cm="1">
        <f t="array" ref="J30">_xlfn.XLOOKUP(XMovies[[#This Row],[movie_id]:[movie_id]],Financials[[#All],[movie_id]:[movie_id]],Financials[[#All],[currency]],"Not Available",0)</f>
        <v>INR</v>
      </c>
      <c r="K30" cm="1">
        <f t="array" ref="K30">_xlfn.XLOOKUP(XMovies[[#This Row],[movie_id]:[movie_id]],Financials[[#All],[movie_id]:[movie_id]],Financials[[#All],[budget]],"Not Available",0)</f>
        <v>850</v>
      </c>
      <c r="L30" s="163">
        <f>_xlfn.XLOOKUP(XMovies[[#This Row],[movie_id]],moviesKPIS[movie_id],moviesKPIS[Profit (USD,millions)],"Not Available",0)</f>
        <v>96.125</v>
      </c>
    </row>
    <row r="31" spans="1:12" x14ac:dyDescent="0.3">
      <c r="A31" s="25">
        <v>131</v>
      </c>
      <c r="B31" s="25" t="s">
        <v>149</v>
      </c>
      <c r="C31" s="25" t="s">
        <v>6</v>
      </c>
      <c r="D31" s="25">
        <v>2018</v>
      </c>
      <c r="E31" s="25" t="s">
        <v>113</v>
      </c>
      <c r="F31" s="25" t="s">
        <v>11</v>
      </c>
      <c r="G31" s="25">
        <v>1</v>
      </c>
      <c r="H31" cm="1">
        <f t="array" ref="H31">_xlfn.XLOOKUP(XMovies[[#This Row],[movie_id]:[movie_id]],Financials[[#All],[movie_id]:[movie_id]],Financials[[#All],[revenue]],"Not Available",0)</f>
        <v>5.9</v>
      </c>
      <c r="I31" t="str" cm="1">
        <f t="array" ref="I31">_xlfn.XLOOKUP(XMovies[[#This Row],[movie_id]:[movie_id]],Financials[[#All],[movie_id]:[movie_id]],Financials[[#All],[unit]],"Not Available",0)</f>
        <v>Billions</v>
      </c>
      <c r="J31" t="str" cm="1">
        <f t="array" ref="J31">_xlfn.XLOOKUP(XMovies[[#This Row],[movie_id]:[movie_id]],Financials[[#All],[movie_id]:[movie_id]],Financials[[#All],[currency]],"Not Available",0)</f>
        <v>INR</v>
      </c>
      <c r="K31" cm="1">
        <f t="array" ref="K31">_xlfn.XLOOKUP(XMovies[[#This Row],[movie_id]:[movie_id]],Financials[[#All],[movie_id]:[movie_id]],Financials[[#All],[budget]],"Not Available",0)</f>
        <v>1</v>
      </c>
      <c r="L31" s="163">
        <f>_xlfn.XLOOKUP(XMovies[[#This Row],[movie_id]],moviesKPIS[movie_id],moviesKPIS[Profit (USD,millions)],"Not Available",0)</f>
        <v>73.737499999999997</v>
      </c>
    </row>
    <row r="32" spans="1:12" x14ac:dyDescent="0.3">
      <c r="A32" s="24">
        <v>132</v>
      </c>
      <c r="B32" s="24" t="s">
        <v>150</v>
      </c>
      <c r="C32" s="24" t="s">
        <v>6</v>
      </c>
      <c r="D32" s="24">
        <v>2021</v>
      </c>
      <c r="E32" s="24">
        <v>7.6</v>
      </c>
      <c r="F32" s="24" t="s">
        <v>22</v>
      </c>
      <c r="G32" s="24">
        <v>2</v>
      </c>
      <c r="H32" cm="1">
        <f t="array" ref="H32">_xlfn.XLOOKUP(XMovies[[#This Row],[movie_id]:[movie_id]],Financials[[#All],[movie_id]:[movie_id]],Financials[[#All],[revenue]],"Not Available",0)</f>
        <v>3.6</v>
      </c>
      <c r="I32" t="str" cm="1">
        <f t="array" ref="I32">_xlfn.XLOOKUP(XMovies[[#This Row],[movie_id]:[movie_id]],Financials[[#All],[movie_id]:[movie_id]],Financials[[#All],[unit]],"Not Available",0)</f>
        <v>Billions</v>
      </c>
      <c r="J32" t="str" cm="1">
        <f t="array" ref="J32">_xlfn.XLOOKUP(XMovies[[#This Row],[movie_id]:[movie_id]],Financials[[#All],[movie_id]:[movie_id]],Financials[[#All],[currency]],"Not Available",0)</f>
        <v>INR</v>
      </c>
      <c r="K32" cm="1">
        <f t="array" ref="K32">_xlfn.XLOOKUP(XMovies[[#This Row],[movie_id]:[movie_id]],Financials[[#All],[movie_id]:[movie_id]],Financials[[#All],[budget]],"Not Available",0)</f>
        <v>2</v>
      </c>
      <c r="L32" s="163">
        <f>_xlfn.XLOOKUP(XMovies[[#This Row],[movie_id]],moviesKPIS[movie_id],moviesKPIS[Profit (USD,millions)],"Not Available",0)</f>
        <v>44.975000000000001</v>
      </c>
    </row>
    <row r="33" spans="1:12" x14ac:dyDescent="0.3">
      <c r="A33" s="25">
        <v>133</v>
      </c>
      <c r="B33" s="25" t="s">
        <v>151</v>
      </c>
      <c r="C33" s="25" t="s">
        <v>6</v>
      </c>
      <c r="D33" s="25">
        <v>2022</v>
      </c>
      <c r="E33" s="25">
        <v>8</v>
      </c>
      <c r="F33" s="25" t="s">
        <v>23</v>
      </c>
      <c r="G33" s="25">
        <v>2</v>
      </c>
      <c r="H33" cm="1">
        <f t="array" ref="H33">_xlfn.XLOOKUP(XMovies[[#This Row],[movie_id]:[movie_id]],Financials[[#All],[movie_id]:[movie_id]],Financials[[#All],[revenue]],"Not Available",0)</f>
        <v>12</v>
      </c>
      <c r="I33" t="str" cm="1">
        <f t="array" ref="I33">_xlfn.XLOOKUP(XMovies[[#This Row],[movie_id]:[movie_id]],Financials[[#All],[movie_id]:[movie_id]],Financials[[#All],[unit]],"Not Available",0)</f>
        <v>Billions</v>
      </c>
      <c r="J33" t="str" cm="1">
        <f t="array" ref="J33">_xlfn.XLOOKUP(XMovies[[#This Row],[movie_id]:[movie_id]],Financials[[#All],[movie_id]:[movie_id]],Financials[[#All],[currency]],"Not Available",0)</f>
        <v>INR</v>
      </c>
      <c r="K33" cm="1">
        <f t="array" ref="K33">_xlfn.XLOOKUP(XMovies[[#This Row],[movie_id]:[movie_id]],Financials[[#All],[movie_id]:[movie_id]],Financials[[#All],[budget]],"Not Available",0)</f>
        <v>5.5</v>
      </c>
      <c r="L33" s="163">
        <f>_xlfn.XLOOKUP(XMovies[[#This Row],[movie_id]],moviesKPIS[movie_id],moviesKPIS[Profit (USD,millions)],"Not Available",0)</f>
        <v>149.93125000000001</v>
      </c>
    </row>
    <row r="34" spans="1:12" x14ac:dyDescent="0.3">
      <c r="A34" s="24">
        <v>134</v>
      </c>
      <c r="B34" s="24" t="s">
        <v>152</v>
      </c>
      <c r="C34" s="24" t="s">
        <v>6</v>
      </c>
      <c r="D34" s="24">
        <v>2015</v>
      </c>
      <c r="E34" s="24">
        <v>8</v>
      </c>
      <c r="F34" s="24" t="s">
        <v>24</v>
      </c>
      <c r="G34" s="24">
        <v>2</v>
      </c>
      <c r="H34" cm="1">
        <f t="array" ref="H34">_xlfn.XLOOKUP(XMovies[[#This Row],[movie_id]:[movie_id]],Financials[[#All],[movie_id]:[movie_id]],Financials[[#All],[revenue]],"Not Available",0)</f>
        <v>6.5</v>
      </c>
      <c r="I34" t="str" cm="1">
        <f t="array" ref="I34">_xlfn.XLOOKUP(XMovies[[#This Row],[movie_id]:[movie_id]],Financials[[#All],[movie_id]:[movie_id]],Financials[[#All],[unit]],"Not Available",0)</f>
        <v>Billions</v>
      </c>
      <c r="J34" t="str" cm="1">
        <f t="array" ref="J34">_xlfn.XLOOKUP(XMovies[[#This Row],[movie_id]:[movie_id]],Financials[[#All],[movie_id]:[movie_id]],Financials[[#All],[currency]],"Not Available",0)</f>
        <v>INR</v>
      </c>
      <c r="K34" cm="1">
        <f t="array" ref="K34">_xlfn.XLOOKUP(XMovies[[#This Row],[movie_id]:[movie_id]],Financials[[#All],[movie_id]:[movie_id]],Financials[[#All],[budget]],"Not Available",0)</f>
        <v>1.8</v>
      </c>
      <c r="L34" s="163">
        <f>_xlfn.XLOOKUP(XMovies[[#This Row],[movie_id]],moviesKPIS[movie_id],moviesKPIS[Profit (USD,millions)],"Not Available",0)</f>
        <v>81.227500000000006</v>
      </c>
    </row>
    <row r="35" spans="1:12" x14ac:dyDescent="0.3">
      <c r="A35" s="25">
        <v>135</v>
      </c>
      <c r="B35" s="25" t="s">
        <v>153</v>
      </c>
      <c r="C35" s="25" t="s">
        <v>6</v>
      </c>
      <c r="D35" s="25">
        <v>2022</v>
      </c>
      <c r="E35" s="25">
        <v>8.3000000000000007</v>
      </c>
      <c r="F35" s="25" t="s">
        <v>25</v>
      </c>
      <c r="G35" s="25">
        <v>1</v>
      </c>
      <c r="H35" cm="1">
        <f t="array" ref="H35">_xlfn.XLOOKUP(XMovies[[#This Row],[movie_id]:[movie_id]],Financials[[#All],[movie_id]:[movie_id]],Financials[[#All],[revenue]],"Not Available",0)</f>
        <v>3409</v>
      </c>
      <c r="I35" t="str" cm="1">
        <f t="array" ref="I35">_xlfn.XLOOKUP(XMovies[[#This Row],[movie_id]:[movie_id]],Financials[[#All],[movie_id]:[movie_id]],Financials[[#All],[unit]],"Not Available",0)</f>
        <v>Millions</v>
      </c>
      <c r="J35" t="str" cm="1">
        <f t="array" ref="J35">_xlfn.XLOOKUP(XMovies[[#This Row],[movie_id]:[movie_id]],Financials[[#All],[movie_id]:[movie_id]],Financials[[#All],[currency]],"Not Available",0)</f>
        <v>INR</v>
      </c>
      <c r="K35" cm="1">
        <f t="array" ref="K35">_xlfn.XLOOKUP(XMovies[[#This Row],[movie_id]:[movie_id]],Financials[[#All],[movie_id]:[movie_id]],Financials[[#All],[budget]],"Not Available",0)</f>
        <v>250</v>
      </c>
      <c r="L35" s="163">
        <f>_xlfn.XLOOKUP(XMovies[[#This Row],[movie_id]],moviesKPIS[movie_id],moviesKPIS[Profit (USD,millions)],"Not Available",0)</f>
        <v>39.487499999999997</v>
      </c>
    </row>
    <row r="36" spans="1:12" x14ac:dyDescent="0.3">
      <c r="A36" s="24">
        <v>136</v>
      </c>
      <c r="B36" s="24" t="s">
        <v>154</v>
      </c>
      <c r="C36" s="24" t="s">
        <v>6</v>
      </c>
      <c r="D36" s="24">
        <v>2015</v>
      </c>
      <c r="E36" s="24">
        <v>8.1</v>
      </c>
      <c r="F36" s="24" t="s">
        <v>26</v>
      </c>
      <c r="G36" s="24">
        <v>1</v>
      </c>
      <c r="H36" cm="1">
        <f t="array" ref="H36">_xlfn.XLOOKUP(XMovies[[#This Row],[movie_id]:[movie_id]],Financials[[#All],[movie_id]:[movie_id]],Financials[[#All],[revenue]],"Not Available",0)</f>
        <v>11690</v>
      </c>
      <c r="I36" t="str" cm="1">
        <f t="array" ref="I36">_xlfn.XLOOKUP(XMovies[[#This Row],[movie_id]:[movie_id]],Financials[[#All],[movie_id]:[movie_id]],Financials[[#All],[unit]],"Not Available",0)</f>
        <v>Millions</v>
      </c>
      <c r="J36" t="str" cm="1">
        <f t="array" ref="J36">_xlfn.XLOOKUP(XMovies[[#This Row],[movie_id]:[movie_id]],Financials[[#All],[movie_id]:[movie_id]],Financials[[#All],[currency]],"Not Available",0)</f>
        <v>INR</v>
      </c>
      <c r="K36" cm="1">
        <f t="array" ref="K36">_xlfn.XLOOKUP(XMovies[[#This Row],[movie_id]:[movie_id]],Financials[[#All],[movie_id]:[movie_id]],Financials[[#All],[budget]],"Not Available",0)</f>
        <v>900</v>
      </c>
      <c r="L36" s="163">
        <f>_xlfn.XLOOKUP(XMovies[[#This Row],[movie_id]],moviesKPIS[movie_id],moviesKPIS[Profit (USD,millions)],"Not Available",0)</f>
        <v>134.875</v>
      </c>
    </row>
    <row r="37" spans="1:12" x14ac:dyDescent="0.3">
      <c r="A37" s="25">
        <v>137</v>
      </c>
      <c r="B37" s="25" t="s">
        <v>155</v>
      </c>
      <c r="C37" s="25" t="s">
        <v>7</v>
      </c>
      <c r="D37" s="25">
        <v>2011</v>
      </c>
      <c r="E37" s="25">
        <v>6.9</v>
      </c>
      <c r="F37" s="25" t="s">
        <v>8</v>
      </c>
      <c r="G37" s="25">
        <v>5</v>
      </c>
      <c r="H37" cm="1">
        <f t="array" ref="H37">_xlfn.XLOOKUP(XMovies[[#This Row],[movie_id]:[movie_id]],Financials[[#All],[movie_id]:[movie_id]],Financials[[#All],[revenue]],"Not Available",0)</f>
        <v>370.6</v>
      </c>
      <c r="I37" t="str" cm="1">
        <f t="array" ref="I37">_xlfn.XLOOKUP(XMovies[[#This Row],[movie_id]:[movie_id]],Financials[[#All],[movie_id]:[movie_id]],Financials[[#All],[unit]],"Not Available",0)</f>
        <v>Millions</v>
      </c>
      <c r="J37" t="str" cm="1">
        <f t="array" ref="J37">_xlfn.XLOOKUP(XMovies[[#This Row],[movie_id]:[movie_id]],Financials[[#All],[movie_id]:[movie_id]],Financials[[#All],[currency]],"Not Available",0)</f>
        <v>USD</v>
      </c>
      <c r="K37" cm="1">
        <f t="array" ref="K37">_xlfn.XLOOKUP(XMovies[[#This Row],[movie_id]:[movie_id]],Financials[[#All],[movie_id]:[movie_id]],Financials[[#All],[budget]],"Not Available",0)</f>
        <v>216.7</v>
      </c>
      <c r="L37" s="163">
        <f>_xlfn.XLOOKUP(XMovies[[#This Row],[movie_id]],moviesKPIS[movie_id],moviesKPIS[Profit (USD,millions)],"Not Available",0)</f>
        <v>153.90000000000003</v>
      </c>
    </row>
    <row r="38" spans="1:12" x14ac:dyDescent="0.3">
      <c r="A38" s="24">
        <v>138</v>
      </c>
      <c r="B38" s="24" t="s">
        <v>156</v>
      </c>
      <c r="C38" s="24" t="s">
        <v>7</v>
      </c>
      <c r="D38" s="24">
        <v>2014</v>
      </c>
      <c r="E38" s="24">
        <v>7.8</v>
      </c>
      <c r="F38" s="24" t="s">
        <v>8</v>
      </c>
      <c r="G38" s="24">
        <v>5</v>
      </c>
      <c r="H38" cm="1">
        <f t="array" ref="H38">_xlfn.XLOOKUP(XMovies[[#This Row],[movie_id]:[movie_id]],Financials[[#All],[movie_id]:[movie_id]],Financials[[#All],[revenue]],"Not Available",0)</f>
        <v>714.4</v>
      </c>
      <c r="I38" t="str" cm="1">
        <f t="array" ref="I38">_xlfn.XLOOKUP(XMovies[[#This Row],[movie_id]:[movie_id]],Financials[[#All],[movie_id]:[movie_id]],Financials[[#All],[unit]],"Not Available",0)</f>
        <v>Millions</v>
      </c>
      <c r="J38" t="str" cm="1">
        <f t="array" ref="J38">_xlfn.XLOOKUP(XMovies[[#This Row],[movie_id]:[movie_id]],Financials[[#All],[movie_id]:[movie_id]],Financials[[#All],[currency]],"Not Available",0)</f>
        <v>USD</v>
      </c>
      <c r="K38" cm="1">
        <f t="array" ref="K38">_xlfn.XLOOKUP(XMovies[[#This Row],[movie_id]:[movie_id]],Financials[[#All],[movie_id]:[movie_id]],Financials[[#All],[budget]],"Not Available",0)</f>
        <v>177</v>
      </c>
      <c r="L38" s="163">
        <f>_xlfn.XLOOKUP(XMovies[[#This Row],[movie_id]],moviesKPIS[movie_id],moviesKPIS[Profit (USD,millions)],"Not Available",0)</f>
        <v>537.4</v>
      </c>
    </row>
    <row r="39" spans="1:12" x14ac:dyDescent="0.3">
      <c r="A39" s="25">
        <v>139</v>
      </c>
      <c r="B39" s="25" t="s">
        <v>157</v>
      </c>
      <c r="C39" s="25" t="s">
        <v>6</v>
      </c>
      <c r="D39" s="25">
        <v>2018</v>
      </c>
      <c r="E39" s="25">
        <v>1.9</v>
      </c>
      <c r="F39" s="25" t="s">
        <v>26</v>
      </c>
      <c r="G39" s="25">
        <v>1</v>
      </c>
      <c r="H39" cm="1">
        <f t="array" ref="H39">_xlfn.XLOOKUP(XMovies[[#This Row],[movie_id]:[movie_id]],Financials[[#All],[movie_id]:[movie_id]],Financials[[#All],[revenue]],"Not Available",0)</f>
        <v>3.1</v>
      </c>
      <c r="I39" t="str" cm="1">
        <f t="array" ref="I39">_xlfn.XLOOKUP(XMovies[[#This Row],[movie_id]:[movie_id]],Financials[[#All],[movie_id]:[movie_id]],Financials[[#All],[unit]],"Not Available",0)</f>
        <v>Billions</v>
      </c>
      <c r="J39" t="str" cm="1">
        <f t="array" ref="J39">_xlfn.XLOOKUP(XMovies[[#This Row],[movie_id]:[movie_id]],Financials[[#All],[movie_id]:[movie_id]],Financials[[#All],[currency]],"Not Available",0)</f>
        <v>INR</v>
      </c>
      <c r="K39" cm="1">
        <f t="array" ref="K39">_xlfn.XLOOKUP(XMovies[[#This Row],[movie_id]:[movie_id]],Financials[[#All],[movie_id]:[movie_id]],Financials[[#All],[budget]],"Not Available",0)</f>
        <v>1.8</v>
      </c>
      <c r="L39" s="163">
        <f>_xlfn.XLOOKUP(XMovies[[#This Row],[movie_id]],moviesKPIS[movie_id],moviesKPIS[Profit (USD,millions)],"Not Available",0)</f>
        <v>38.727499999999999</v>
      </c>
    </row>
    <row r="40" spans="1:12" x14ac:dyDescent="0.3">
      <c r="A40" s="24">
        <v>140</v>
      </c>
      <c r="B40" s="24" t="s">
        <v>158</v>
      </c>
      <c r="C40" s="24" t="s">
        <v>6</v>
      </c>
      <c r="D40" s="24">
        <v>2021</v>
      </c>
      <c r="E40" s="24">
        <v>8.4</v>
      </c>
      <c r="F40" s="24" t="s">
        <v>12</v>
      </c>
      <c r="G40" s="24">
        <v>1</v>
      </c>
      <c r="H40" cm="1">
        <f t="array" ref="H40">_xlfn.XLOOKUP(XMovies[[#This Row],[movie_id]:[movie_id]],Financials[[#All],[movie_id]:[movie_id]],Financials[[#All],[revenue]],"Not Available",0)</f>
        <v>950</v>
      </c>
      <c r="I40" t="str" cm="1">
        <f t="array" ref="I40">_xlfn.XLOOKUP(XMovies[[#This Row],[movie_id]:[movie_id]],Financials[[#All],[movie_id]:[movie_id]],Financials[[#All],[unit]],"Not Available",0)</f>
        <v>Millions</v>
      </c>
      <c r="J40" t="str" cm="1">
        <f t="array" ref="J40">_xlfn.XLOOKUP(XMovies[[#This Row],[movie_id]:[movie_id]],Financials[[#All],[movie_id]:[movie_id]],Financials[[#All],[currency]],"Not Available",0)</f>
        <v>INR</v>
      </c>
      <c r="K40" cm="1">
        <f t="array" ref="K40">_xlfn.XLOOKUP(XMovies[[#This Row],[movie_id]:[movie_id]],Financials[[#All],[movie_id]:[movie_id]],Financials[[#All],[budget]],"Not Available",0)</f>
        <v>500</v>
      </c>
      <c r="L40" s="163">
        <f>_xlfn.XLOOKUP(XMovies[[#This Row],[movie_id]],moviesKPIS[movie_id],moviesKPIS[Profit (USD,millions)],"Not Available",0)</f>
        <v>5.625</v>
      </c>
    </row>
  </sheetData>
  <mergeCells count="1">
    <mergeCell ref="M2:W2"/>
  </mergeCells>
  <conditionalFormatting sqref="A1:A40">
    <cfRule type="duplicateValues" dxfId="9" priority="1"/>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2DCE7-DA3E-44A6-81C8-B01B61430BAE}">
  <dimension ref="A1:AM91"/>
  <sheetViews>
    <sheetView topLeftCell="H1" zoomScale="85" zoomScaleNormal="85" workbookViewId="0">
      <selection activeCell="Q2" sqref="Q2"/>
    </sheetView>
  </sheetViews>
  <sheetFormatPr defaultRowHeight="14.4" x14ac:dyDescent="0.3"/>
  <cols>
    <col min="1" max="1" width="11" bestFit="1" customWidth="1"/>
    <col min="2" max="2" width="37.88671875" bestFit="1" customWidth="1"/>
    <col min="3" max="3" width="10.109375" bestFit="1" customWidth="1"/>
    <col min="4" max="4" width="13.77734375" bestFit="1" customWidth="1"/>
    <col min="5" max="5" width="13.44140625" bestFit="1" customWidth="1"/>
    <col min="6" max="6" width="24.21875" bestFit="1" customWidth="1"/>
    <col min="7" max="7" width="13.44140625" bestFit="1" customWidth="1"/>
    <col min="8" max="11" width="11.88671875" bestFit="1" customWidth="1"/>
    <col min="12" max="12" width="26.5546875" bestFit="1" customWidth="1"/>
    <col min="13" max="13" width="24.109375" customWidth="1"/>
    <col min="14" max="14" width="22" style="29" bestFit="1" customWidth="1"/>
    <col min="15" max="15" width="22.5546875" bestFit="1" customWidth="1"/>
    <col min="16" max="16" width="20.6640625" bestFit="1" customWidth="1"/>
    <col min="17" max="17" width="21.21875" bestFit="1" customWidth="1"/>
    <col min="18" max="18" width="21.77734375" bestFit="1" customWidth="1"/>
    <col min="39" max="39" width="135.21875" bestFit="1" customWidth="1"/>
    <col min="41" max="41" width="135.21875" bestFit="1" customWidth="1"/>
  </cols>
  <sheetData>
    <row r="1" spans="1:39" x14ac:dyDescent="0.3">
      <c r="A1" t="s">
        <v>0</v>
      </c>
      <c r="B1" t="s">
        <v>159</v>
      </c>
      <c r="C1" t="s">
        <v>1</v>
      </c>
      <c r="D1" t="s">
        <v>2</v>
      </c>
      <c r="E1" t="s">
        <v>3</v>
      </c>
      <c r="F1" t="s">
        <v>4</v>
      </c>
      <c r="G1" t="s">
        <v>5</v>
      </c>
      <c r="H1" t="s">
        <v>164</v>
      </c>
      <c r="I1" t="s">
        <v>167</v>
      </c>
      <c r="J1" t="s">
        <v>168</v>
      </c>
      <c r="K1" t="s">
        <v>165</v>
      </c>
      <c r="L1" t="s">
        <v>479</v>
      </c>
      <c r="M1" t="s">
        <v>478</v>
      </c>
      <c r="N1" s="29" t="s">
        <v>480</v>
      </c>
      <c r="O1" t="s">
        <v>481</v>
      </c>
      <c r="P1" t="s">
        <v>482</v>
      </c>
      <c r="Q1" t="s">
        <v>483</v>
      </c>
      <c r="R1" t="s">
        <v>476</v>
      </c>
    </row>
    <row r="2" spans="1:39" x14ac:dyDescent="0.3">
      <c r="A2">
        <v>101</v>
      </c>
      <c r="B2" t="s">
        <v>120</v>
      </c>
      <c r="C2" t="s">
        <v>6</v>
      </c>
      <c r="D2">
        <v>2022</v>
      </c>
      <c r="E2">
        <v>8.4</v>
      </c>
      <c r="F2" t="s">
        <v>117</v>
      </c>
      <c r="G2">
        <v>3</v>
      </c>
      <c r="H2">
        <v>1</v>
      </c>
      <c r="I2" t="s">
        <v>32</v>
      </c>
      <c r="J2" t="s">
        <v>31</v>
      </c>
      <c r="K2">
        <v>12.5</v>
      </c>
      <c r="L2">
        <f>IF(moviesKPIS[[#This Row],[Unit]]="billions",moviesKPIS[[#This Row],[Revenue]]*1000,moviesKPIS[[#This Row],[Revenue]])</f>
        <v>12500</v>
      </c>
      <c r="M2">
        <f>IF(moviesKPIS[[#This Row],[Unit]]="billions",moviesKPIS[[#This Row],[Budget]]*1000,moviesKPIS[[#This Row],[Budget]])</f>
        <v>1000</v>
      </c>
      <c r="N2" s="29">
        <f>IF(moviesKPIS[[#This Row],[Currency]]="USD",moviesKPIS[[#This Row],[Revenue in Millions(Unit)]]*80,moviesKPIS[[#This Row],[Revenue in Millions(Unit)]])</f>
        <v>12500</v>
      </c>
      <c r="O2" s="30">
        <f>IF(moviesKPIS[[#This Row],[Currency]]="INR",moviesKPIS[[#This Row],[Revenue in Millions(Unit)]]/80,moviesKPIS[[#This Row],[Revenue in Millions(Unit)]])</f>
        <v>156.25</v>
      </c>
      <c r="P2" s="29">
        <f>IF(moviesKPIS[[#This Row],[Currency]]="USD",moviesKPIS[[#This Row],[Budget]]*80,moviesKPIS[[#This Row],[Budget]])</f>
        <v>1</v>
      </c>
      <c r="Q2" s="30">
        <f>IF(moviesKPIS[[#This Row],[Currency]]="inr",moviesKPIS[[#This Row],[Budget]]/80,moviesKPIS[[#This Row],[Budget]])</f>
        <v>1.2500000000000001E-2</v>
      </c>
      <c r="R2" s="89">
        <f>IFERROR(moviesKPIS[[#This Row],[Revenue (USD,millions)]]-moviesKPIS[[#This Row],[Budget (USD,millions)]],"Not Available")</f>
        <v>156.23750000000001</v>
      </c>
      <c r="AM2" t="s">
        <v>232</v>
      </c>
    </row>
    <row r="3" spans="1:39" x14ac:dyDescent="0.3">
      <c r="A3">
        <v>102</v>
      </c>
      <c r="B3" t="s">
        <v>121</v>
      </c>
      <c r="C3" t="s">
        <v>7</v>
      </c>
      <c r="D3">
        <v>2022</v>
      </c>
      <c r="E3">
        <v>7</v>
      </c>
      <c r="F3" t="s">
        <v>8</v>
      </c>
      <c r="G3">
        <v>5</v>
      </c>
      <c r="H3">
        <v>200</v>
      </c>
      <c r="I3" t="s">
        <v>34</v>
      </c>
      <c r="J3" t="s">
        <v>33</v>
      </c>
      <c r="K3">
        <v>954.8</v>
      </c>
      <c r="L3">
        <f>IF(moviesKPIS[[#This Row],[Unit]]="billions",moviesKPIS[[#This Row],[Revenue]]*1000,moviesKPIS[[#This Row],[Revenue]])</f>
        <v>954.8</v>
      </c>
      <c r="M3">
        <f>IF(moviesKPIS[[#This Row],[Unit]]="billions",moviesKPIS[[#This Row],[Budget]]*1000,moviesKPIS[[#This Row],[Budget]])</f>
        <v>200</v>
      </c>
      <c r="N3" s="29">
        <f>IF(moviesKPIS[[#This Row],[Currency]]="USD",moviesKPIS[[#This Row],[Revenue in Millions(Unit)]]*80,moviesKPIS[[#This Row],[Revenue in Millions(Unit)]])</f>
        <v>76384</v>
      </c>
      <c r="O3" s="30">
        <f>IF(moviesKPIS[[#This Row],[Currency]]="INR",moviesKPIS[[#This Row],[Revenue in Millions(Unit)]]/80,moviesKPIS[[#This Row],[Revenue in Millions(Unit)]])</f>
        <v>954.8</v>
      </c>
      <c r="P3" s="29">
        <f>IF(moviesKPIS[[#This Row],[Currency]]="USD",moviesKPIS[[#This Row],[Budget]]*80,moviesKPIS[[#This Row],[Budget]])</f>
        <v>16000</v>
      </c>
      <c r="Q3" s="30">
        <f>IF(moviesKPIS[[#This Row],[Currency]]="inr",moviesKPIS[[#This Row],[Budget]]/80,moviesKPIS[[#This Row],[Budget]])</f>
        <v>200</v>
      </c>
      <c r="R3" s="89">
        <f>IFERROR(moviesKPIS[[#This Row],[Revenue (USD,millions)]]-moviesKPIS[[#This Row],[Budget (USD,millions)]],"Not Available")</f>
        <v>754.8</v>
      </c>
      <c r="AM3" t="s">
        <v>234</v>
      </c>
    </row>
    <row r="4" spans="1:39" x14ac:dyDescent="0.3">
      <c r="A4">
        <v>103</v>
      </c>
      <c r="B4" t="s">
        <v>122</v>
      </c>
      <c r="C4" t="s">
        <v>7</v>
      </c>
      <c r="D4">
        <v>2013</v>
      </c>
      <c r="E4">
        <v>6.8</v>
      </c>
      <c r="F4" t="s">
        <v>8</v>
      </c>
      <c r="G4">
        <v>5</v>
      </c>
      <c r="H4">
        <v>165</v>
      </c>
      <c r="I4" t="s">
        <v>34</v>
      </c>
      <c r="J4" t="s">
        <v>33</v>
      </c>
      <c r="K4">
        <v>644.79999999999995</v>
      </c>
      <c r="L4">
        <f>IF(moviesKPIS[[#This Row],[Unit]]="billions",moviesKPIS[[#This Row],[Revenue]]*1000,moviesKPIS[[#This Row],[Revenue]])</f>
        <v>644.79999999999995</v>
      </c>
      <c r="M4">
        <f>IF(moviesKPIS[[#This Row],[Unit]]="billions",moviesKPIS[[#This Row],[Budget]]*1000,moviesKPIS[[#This Row],[Budget]])</f>
        <v>165</v>
      </c>
      <c r="N4" s="29">
        <f>IF(moviesKPIS[[#This Row],[Currency]]="USD",moviesKPIS[[#This Row],[Revenue in Millions(Unit)]]*80,moviesKPIS[[#This Row],[Revenue in Millions(Unit)]])</f>
        <v>51584</v>
      </c>
      <c r="O4" s="30">
        <f>IF(moviesKPIS[[#This Row],[Currency]]="INR",moviesKPIS[[#This Row],[Revenue in Millions(Unit)]]/80,moviesKPIS[[#This Row],[Revenue in Millions(Unit)]])</f>
        <v>644.79999999999995</v>
      </c>
      <c r="P4" s="29">
        <f>IF(moviesKPIS[[#This Row],[Currency]]="USD",moviesKPIS[[#This Row],[Budget]]*80,moviesKPIS[[#This Row],[Budget]])</f>
        <v>13200</v>
      </c>
      <c r="Q4" s="30">
        <f>IF(moviesKPIS[[#This Row],[Currency]]="inr",moviesKPIS[[#This Row],[Budget]]/80,moviesKPIS[[#This Row],[Budget]])</f>
        <v>165</v>
      </c>
      <c r="R4" s="89">
        <f>IFERROR(moviesKPIS[[#This Row],[Revenue (USD,millions)]]-moviesKPIS[[#This Row],[Budget (USD,millions)]],"Not Available")</f>
        <v>479.79999999999995</v>
      </c>
      <c r="AM4" t="s">
        <v>233</v>
      </c>
    </row>
    <row r="5" spans="1:39" x14ac:dyDescent="0.3">
      <c r="A5">
        <v>104</v>
      </c>
      <c r="B5" t="s">
        <v>123</v>
      </c>
      <c r="C5" t="s">
        <v>7</v>
      </c>
      <c r="D5">
        <v>2017</v>
      </c>
      <c r="E5">
        <v>7.9</v>
      </c>
      <c r="F5" t="s">
        <v>8</v>
      </c>
      <c r="G5">
        <v>5</v>
      </c>
      <c r="H5">
        <v>180</v>
      </c>
      <c r="I5" t="s">
        <v>34</v>
      </c>
      <c r="J5" t="s">
        <v>33</v>
      </c>
      <c r="K5">
        <v>854</v>
      </c>
      <c r="L5">
        <f>IF(moviesKPIS[[#This Row],[Unit]]="billions",moviesKPIS[[#This Row],[Revenue]]*1000,moviesKPIS[[#This Row],[Revenue]])</f>
        <v>854</v>
      </c>
      <c r="M5">
        <f>IF(moviesKPIS[[#This Row],[Unit]]="billions",moviesKPIS[[#This Row],[Budget]]*1000,moviesKPIS[[#This Row],[Budget]])</f>
        <v>180</v>
      </c>
      <c r="N5" s="29">
        <f>IF(moviesKPIS[[#This Row],[Currency]]="USD",moviesKPIS[[#This Row],[Revenue in Millions(Unit)]]*80,moviesKPIS[[#This Row],[Revenue in Millions(Unit)]])</f>
        <v>68320</v>
      </c>
      <c r="O5" s="30">
        <f>IF(moviesKPIS[[#This Row],[Currency]]="INR",moviesKPIS[[#This Row],[Revenue in Millions(Unit)]]/80,moviesKPIS[[#This Row],[Revenue in Millions(Unit)]])</f>
        <v>854</v>
      </c>
      <c r="P5" s="29">
        <f>IF(moviesKPIS[[#This Row],[Currency]]="USD",moviesKPIS[[#This Row],[Budget]]*80,moviesKPIS[[#This Row],[Budget]])</f>
        <v>14400</v>
      </c>
      <c r="Q5" s="30">
        <f>IF(moviesKPIS[[#This Row],[Currency]]="inr",moviesKPIS[[#This Row],[Budget]]/80,moviesKPIS[[#This Row],[Budget]])</f>
        <v>180</v>
      </c>
      <c r="R5" s="89">
        <f>IFERROR(moviesKPIS[[#This Row],[Revenue (USD,millions)]]-moviesKPIS[[#This Row],[Budget (USD,millions)]],"Not Available")</f>
        <v>674</v>
      </c>
      <c r="AM5" t="s">
        <v>236</v>
      </c>
    </row>
    <row r="6" spans="1:39" x14ac:dyDescent="0.3">
      <c r="A6">
        <v>105</v>
      </c>
      <c r="B6" t="s">
        <v>124</v>
      </c>
      <c r="C6" t="s">
        <v>7</v>
      </c>
      <c r="D6">
        <v>2022</v>
      </c>
      <c r="E6">
        <v>6.8</v>
      </c>
      <c r="F6" t="s">
        <v>8</v>
      </c>
      <c r="G6">
        <v>5</v>
      </c>
      <c r="H6">
        <v>250</v>
      </c>
      <c r="I6" t="s">
        <v>34</v>
      </c>
      <c r="J6" t="s">
        <v>33</v>
      </c>
      <c r="K6">
        <v>670</v>
      </c>
      <c r="L6">
        <f>IF(moviesKPIS[[#This Row],[Unit]]="billions",moviesKPIS[[#This Row],[Revenue]]*1000,moviesKPIS[[#This Row],[Revenue]])</f>
        <v>670</v>
      </c>
      <c r="M6">
        <f>IF(moviesKPIS[[#This Row],[Unit]]="billions",moviesKPIS[[#This Row],[Budget]]*1000,moviesKPIS[[#This Row],[Budget]])</f>
        <v>250</v>
      </c>
      <c r="N6" s="29">
        <f>IF(moviesKPIS[[#This Row],[Currency]]="USD",moviesKPIS[[#This Row],[Revenue in Millions(Unit)]]*80,moviesKPIS[[#This Row],[Revenue in Millions(Unit)]])</f>
        <v>53600</v>
      </c>
      <c r="O6" s="30">
        <f>IF(moviesKPIS[[#This Row],[Currency]]="INR",moviesKPIS[[#This Row],[Revenue in Millions(Unit)]]/80,moviesKPIS[[#This Row],[Revenue in Millions(Unit)]])</f>
        <v>670</v>
      </c>
      <c r="P6" s="29">
        <f>IF(moviesKPIS[[#This Row],[Currency]]="USD",moviesKPIS[[#This Row],[Budget]]*80,moviesKPIS[[#This Row],[Budget]])</f>
        <v>20000</v>
      </c>
      <c r="Q6" s="30">
        <f>IF(moviesKPIS[[#This Row],[Currency]]="inr",moviesKPIS[[#This Row],[Budget]]/80,moviesKPIS[[#This Row],[Budget]])</f>
        <v>250</v>
      </c>
      <c r="R6" s="89">
        <f>IFERROR(moviesKPIS[[#This Row],[Revenue (USD,millions)]]-moviesKPIS[[#This Row],[Budget (USD,millions)]],"Not Available")</f>
        <v>420</v>
      </c>
      <c r="AM6" t="s">
        <v>235</v>
      </c>
    </row>
    <row r="7" spans="1:39" x14ac:dyDescent="0.3">
      <c r="A7">
        <v>106</v>
      </c>
      <c r="B7" t="s">
        <v>125</v>
      </c>
      <c r="C7" t="s">
        <v>6</v>
      </c>
      <c r="D7">
        <v>1975</v>
      </c>
      <c r="E7">
        <v>8.1</v>
      </c>
      <c r="F7" t="s">
        <v>9</v>
      </c>
      <c r="G7">
        <v>1</v>
      </c>
      <c r="H7" t="s">
        <v>242</v>
      </c>
      <c r="I7" t="s">
        <v>242</v>
      </c>
      <c r="J7" t="s">
        <v>242</v>
      </c>
      <c r="K7" t="s">
        <v>242</v>
      </c>
      <c r="L7" t="str">
        <f>IF(moviesKPIS[[#This Row],[Unit]]="billions",moviesKPIS[[#This Row],[Revenue]]*1000,moviesKPIS[[#This Row],[Revenue]])</f>
        <v>Not Available</v>
      </c>
      <c r="M7" t="str">
        <f>IF(moviesKPIS[[#This Row],[Unit]]="billions",moviesKPIS[[#This Row],[Budget]]*1000,moviesKPIS[[#This Row],[Budget]])</f>
        <v>Not Available</v>
      </c>
      <c r="N7" s="29" t="str">
        <f>IF(moviesKPIS[[#This Row],[Currency]]="USD",moviesKPIS[[#This Row],[Revenue in Millions(Unit)]]*80,moviesKPIS[[#This Row],[Revenue in Millions(Unit)]])</f>
        <v>Not Available</v>
      </c>
      <c r="O7" s="30" t="str">
        <f>IF(moviesKPIS[[#This Row],[Currency]]="INR",moviesKPIS[[#This Row],[Revenue in Millions(Unit)]]/80,moviesKPIS[[#This Row],[Revenue in Millions(Unit)]])</f>
        <v>Not Available</v>
      </c>
      <c r="P7" s="29" t="str">
        <f>IF(moviesKPIS[[#This Row],[Currency]]="USD",moviesKPIS[[#This Row],[Budget]]*80,moviesKPIS[[#This Row],[Budget]])</f>
        <v>Not Available</v>
      </c>
      <c r="Q7" s="30" t="str">
        <f>IF(moviesKPIS[[#This Row],[Currency]]="inr",moviesKPIS[[#This Row],[Budget]]/80,moviesKPIS[[#This Row],[Budget]])</f>
        <v>Not Available</v>
      </c>
      <c r="R7" s="89" t="str">
        <f>IFERROR(moviesKPIS[[#This Row],[Revenue (USD,millions)]]-moviesKPIS[[#This Row],[Budget (USD,millions)]],"Not Available")</f>
        <v>Not Available</v>
      </c>
      <c r="S7" s="161" t="s">
        <v>477</v>
      </c>
      <c r="AM7" t="s">
        <v>237</v>
      </c>
    </row>
    <row r="8" spans="1:39" x14ac:dyDescent="0.3">
      <c r="A8">
        <v>107</v>
      </c>
      <c r="B8" t="s">
        <v>126</v>
      </c>
      <c r="C8" t="s">
        <v>6</v>
      </c>
      <c r="D8">
        <v>1995</v>
      </c>
      <c r="E8">
        <v>8</v>
      </c>
      <c r="F8" t="s">
        <v>10</v>
      </c>
      <c r="G8">
        <v>1</v>
      </c>
      <c r="H8">
        <v>400</v>
      </c>
      <c r="I8" t="s">
        <v>32</v>
      </c>
      <c r="J8" t="s">
        <v>33</v>
      </c>
      <c r="K8">
        <v>2000</v>
      </c>
      <c r="L8">
        <f>IF(moviesKPIS[[#This Row],[Unit]]="billions",moviesKPIS[[#This Row],[Revenue]]*1000,moviesKPIS[[#This Row],[Revenue]])</f>
        <v>2000</v>
      </c>
      <c r="M8">
        <f>IF(moviesKPIS[[#This Row],[Unit]]="billions",moviesKPIS[[#This Row],[Budget]]*1000,moviesKPIS[[#This Row],[Budget]])</f>
        <v>400</v>
      </c>
      <c r="N8" s="29">
        <f>IF(moviesKPIS[[#This Row],[Currency]]="USD",moviesKPIS[[#This Row],[Revenue in Millions(Unit)]]*80,moviesKPIS[[#This Row],[Revenue in Millions(Unit)]])</f>
        <v>2000</v>
      </c>
      <c r="O8" s="30">
        <f>IF(moviesKPIS[[#This Row],[Currency]]="INR",moviesKPIS[[#This Row],[Revenue in Millions(Unit)]]/80,moviesKPIS[[#This Row],[Revenue in Millions(Unit)]])</f>
        <v>25</v>
      </c>
      <c r="P8" s="29">
        <f>IF(moviesKPIS[[#This Row],[Currency]]="USD",moviesKPIS[[#This Row],[Budget]]*80,moviesKPIS[[#This Row],[Budget]])</f>
        <v>400</v>
      </c>
      <c r="Q8" s="30">
        <f>IF(moviesKPIS[[#This Row],[Currency]]="inr",moviesKPIS[[#This Row],[Budget]]/80,moviesKPIS[[#This Row],[Budget]])</f>
        <v>5</v>
      </c>
      <c r="R8" s="29">
        <f>IFERROR(moviesKPIS[[#This Row],[Revenue (USD,millions)]]-moviesKPIS[[#This Row],[Budget (USD,millions)]],"Not Available")</f>
        <v>20</v>
      </c>
    </row>
    <row r="9" spans="1:39" x14ac:dyDescent="0.3">
      <c r="A9">
        <v>108</v>
      </c>
      <c r="B9" t="s">
        <v>127</v>
      </c>
      <c r="C9" t="s">
        <v>6</v>
      </c>
      <c r="D9">
        <v>2009</v>
      </c>
      <c r="E9">
        <v>8.4</v>
      </c>
      <c r="F9" t="s">
        <v>11</v>
      </c>
      <c r="G9">
        <v>1</v>
      </c>
      <c r="H9">
        <v>550</v>
      </c>
      <c r="I9" t="s">
        <v>32</v>
      </c>
      <c r="J9" t="s">
        <v>33</v>
      </c>
      <c r="K9">
        <v>4000</v>
      </c>
      <c r="L9">
        <f>IF(moviesKPIS[[#This Row],[Unit]]="billions",moviesKPIS[[#This Row],[Revenue]]*1000,moviesKPIS[[#This Row],[Revenue]])</f>
        <v>4000</v>
      </c>
      <c r="M9">
        <f>IF(moviesKPIS[[#This Row],[Unit]]="billions",moviesKPIS[[#This Row],[Budget]]*1000,moviesKPIS[[#This Row],[Budget]])</f>
        <v>550</v>
      </c>
      <c r="N9" s="29">
        <f>IF(moviesKPIS[[#This Row],[Currency]]="USD",moviesKPIS[[#This Row],[Revenue in Millions(Unit)]]*80,moviesKPIS[[#This Row],[Revenue in Millions(Unit)]])</f>
        <v>4000</v>
      </c>
      <c r="O9" s="30">
        <f>IF(moviesKPIS[[#This Row],[Currency]]="INR",moviesKPIS[[#This Row],[Revenue in Millions(Unit)]]/80,moviesKPIS[[#This Row],[Revenue in Millions(Unit)]])</f>
        <v>50</v>
      </c>
      <c r="P9" s="29">
        <f>IF(moviesKPIS[[#This Row],[Currency]]="USD",moviesKPIS[[#This Row],[Budget]]*80,moviesKPIS[[#This Row],[Budget]])</f>
        <v>550</v>
      </c>
      <c r="Q9" s="30">
        <f>IF(moviesKPIS[[#This Row],[Currency]]="inr",moviesKPIS[[#This Row],[Budget]]/80,moviesKPIS[[#This Row],[Budget]])</f>
        <v>6.875</v>
      </c>
      <c r="R9" s="89">
        <f>IFERROR(moviesKPIS[[#This Row],[Revenue (USD,millions)]]-moviesKPIS[[#This Row],[Budget (USD,millions)]],"Not Available")</f>
        <v>43.125</v>
      </c>
    </row>
    <row r="10" spans="1:39" x14ac:dyDescent="0.3">
      <c r="A10">
        <v>109</v>
      </c>
      <c r="B10" t="s">
        <v>128</v>
      </c>
      <c r="C10" t="s">
        <v>6</v>
      </c>
      <c r="D10">
        <v>2001</v>
      </c>
      <c r="E10">
        <v>7.4</v>
      </c>
      <c r="F10" t="s">
        <v>12</v>
      </c>
      <c r="G10">
        <v>1</v>
      </c>
      <c r="H10">
        <v>390</v>
      </c>
      <c r="I10" t="s">
        <v>32</v>
      </c>
      <c r="J10" t="s">
        <v>33</v>
      </c>
      <c r="K10">
        <v>1360</v>
      </c>
      <c r="L10">
        <f>IF(moviesKPIS[[#This Row],[Unit]]="billions",moviesKPIS[[#This Row],[Revenue]]*1000,moviesKPIS[[#This Row],[Revenue]])</f>
        <v>1360</v>
      </c>
      <c r="M10">
        <f>IF(moviesKPIS[[#This Row],[Unit]]="billions",moviesKPIS[[#This Row],[Budget]]*1000,moviesKPIS[[#This Row],[Budget]])</f>
        <v>390</v>
      </c>
      <c r="N10" s="29">
        <f>IF(moviesKPIS[[#This Row],[Currency]]="USD",moviesKPIS[[#This Row],[Revenue in Millions(Unit)]]*80,moviesKPIS[[#This Row],[Revenue in Millions(Unit)]])</f>
        <v>1360</v>
      </c>
      <c r="O10" s="30">
        <f>IF(moviesKPIS[[#This Row],[Currency]]="INR",moviesKPIS[[#This Row],[Revenue in Millions(Unit)]]/80,moviesKPIS[[#This Row],[Revenue in Millions(Unit)]])</f>
        <v>17</v>
      </c>
      <c r="P10" s="29">
        <f>IF(moviesKPIS[[#This Row],[Currency]]="USD",moviesKPIS[[#This Row],[Budget]]*80,moviesKPIS[[#This Row],[Budget]])</f>
        <v>390</v>
      </c>
      <c r="Q10" s="30">
        <f>IF(moviesKPIS[[#This Row],[Currency]]="inr",moviesKPIS[[#This Row],[Budget]]/80,moviesKPIS[[#This Row],[Budget]])</f>
        <v>4.875</v>
      </c>
      <c r="R10" s="89">
        <f>IFERROR(moviesKPIS[[#This Row],[Revenue (USD,millions)]]-moviesKPIS[[#This Row],[Budget (USD,millions)]],"Not Available")</f>
        <v>12.125</v>
      </c>
    </row>
    <row r="11" spans="1:39" x14ac:dyDescent="0.3">
      <c r="A11">
        <v>110</v>
      </c>
      <c r="B11" t="s">
        <v>129</v>
      </c>
      <c r="C11" t="s">
        <v>6</v>
      </c>
      <c r="D11">
        <v>2015</v>
      </c>
      <c r="E11">
        <v>7.2</v>
      </c>
      <c r="F11" t="s">
        <v>114</v>
      </c>
      <c r="G11">
        <v>1</v>
      </c>
      <c r="H11">
        <v>1.4</v>
      </c>
      <c r="I11" t="s">
        <v>32</v>
      </c>
      <c r="J11" t="s">
        <v>31</v>
      </c>
      <c r="K11">
        <v>3.5</v>
      </c>
      <c r="L11">
        <f>IF(moviesKPIS[[#This Row],[Unit]]="billions",moviesKPIS[[#This Row],[Revenue]]*1000,moviesKPIS[[#This Row],[Revenue]])</f>
        <v>3500</v>
      </c>
      <c r="M11">
        <f>IF(moviesKPIS[[#This Row],[Unit]]="billions",moviesKPIS[[#This Row],[Budget]]*1000,moviesKPIS[[#This Row],[Budget]])</f>
        <v>1400</v>
      </c>
      <c r="N11" s="29">
        <f>IF(moviesKPIS[[#This Row],[Currency]]="USD",moviesKPIS[[#This Row],[Revenue in Millions(Unit)]]*80,moviesKPIS[[#This Row],[Revenue in Millions(Unit)]])</f>
        <v>3500</v>
      </c>
      <c r="O11" s="30">
        <f>IF(moviesKPIS[[#This Row],[Currency]]="INR",moviesKPIS[[#This Row],[Revenue in Millions(Unit)]]/80,moviesKPIS[[#This Row],[Revenue in Millions(Unit)]])</f>
        <v>43.75</v>
      </c>
      <c r="P11" s="29">
        <f>IF(moviesKPIS[[#This Row],[Currency]]="USD",moviesKPIS[[#This Row],[Budget]]*80,moviesKPIS[[#This Row],[Budget]])</f>
        <v>1.4</v>
      </c>
      <c r="Q11" s="30">
        <f>IF(moviesKPIS[[#This Row],[Currency]]="inr",moviesKPIS[[#This Row],[Budget]]/80,moviesKPIS[[#This Row],[Budget]])</f>
        <v>1.7499999999999998E-2</v>
      </c>
      <c r="R11" s="89">
        <f>IFERROR(moviesKPIS[[#This Row],[Revenue (USD,millions)]]-moviesKPIS[[#This Row],[Budget (USD,millions)]],"Not Available")</f>
        <v>43.732500000000002</v>
      </c>
    </row>
    <row r="12" spans="1:39" x14ac:dyDescent="0.3">
      <c r="A12">
        <v>111</v>
      </c>
      <c r="B12" t="s">
        <v>130</v>
      </c>
      <c r="C12" t="s">
        <v>7</v>
      </c>
      <c r="D12">
        <v>1994</v>
      </c>
      <c r="E12">
        <v>9.3000000000000007</v>
      </c>
      <c r="F12" t="s">
        <v>13</v>
      </c>
      <c r="G12">
        <v>5</v>
      </c>
      <c r="H12">
        <v>25</v>
      </c>
      <c r="I12" t="s">
        <v>34</v>
      </c>
      <c r="J12" t="s">
        <v>33</v>
      </c>
      <c r="K12">
        <v>73.3</v>
      </c>
      <c r="L12">
        <f>IF(moviesKPIS[[#This Row],[Unit]]="billions",moviesKPIS[[#This Row],[Revenue]]*1000,moviesKPIS[[#This Row],[Revenue]])</f>
        <v>73.3</v>
      </c>
      <c r="M12">
        <f>IF(moviesKPIS[[#This Row],[Unit]]="billions",moviesKPIS[[#This Row],[Budget]]*1000,moviesKPIS[[#This Row],[Budget]])</f>
        <v>25</v>
      </c>
      <c r="N12" s="29">
        <f>IF(moviesKPIS[[#This Row],[Currency]]="USD",moviesKPIS[[#This Row],[Revenue in Millions(Unit)]]*80,moviesKPIS[[#This Row],[Revenue in Millions(Unit)]])</f>
        <v>5864</v>
      </c>
      <c r="O12" s="30">
        <f>IF(moviesKPIS[[#This Row],[Currency]]="INR",moviesKPIS[[#This Row],[Revenue in Millions(Unit)]]/80,moviesKPIS[[#This Row],[Revenue in Millions(Unit)]])</f>
        <v>73.3</v>
      </c>
      <c r="P12" s="29">
        <f>IF(moviesKPIS[[#This Row],[Currency]]="USD",moviesKPIS[[#This Row],[Budget]]*80,moviesKPIS[[#This Row],[Budget]])</f>
        <v>2000</v>
      </c>
      <c r="Q12" s="30">
        <f>IF(moviesKPIS[[#This Row],[Currency]]="inr",moviesKPIS[[#This Row],[Budget]]/80,moviesKPIS[[#This Row],[Budget]])</f>
        <v>25</v>
      </c>
      <c r="R12" s="89">
        <f>IFERROR(moviesKPIS[[#This Row],[Revenue (USD,millions)]]-moviesKPIS[[#This Row],[Budget (USD,millions)]],"Not Available")</f>
        <v>48.3</v>
      </c>
    </row>
    <row r="13" spans="1:39" x14ac:dyDescent="0.3">
      <c r="A13">
        <v>112</v>
      </c>
      <c r="B13" t="s">
        <v>131</v>
      </c>
      <c r="C13" t="s">
        <v>7</v>
      </c>
      <c r="D13">
        <v>2010</v>
      </c>
      <c r="E13">
        <v>8.8000000000000007</v>
      </c>
      <c r="F13" t="s">
        <v>14</v>
      </c>
      <c r="G13">
        <v>5</v>
      </c>
      <c r="H13" t="s">
        <v>242</v>
      </c>
      <c r="I13" t="s">
        <v>242</v>
      </c>
      <c r="J13" t="s">
        <v>242</v>
      </c>
      <c r="K13" t="s">
        <v>242</v>
      </c>
      <c r="L13" t="str">
        <f>IF(moviesKPIS[[#This Row],[Unit]]="billions",moviesKPIS[[#This Row],[Revenue]]*1000,moviesKPIS[[#This Row],[Revenue]])</f>
        <v>Not Available</v>
      </c>
      <c r="M13" t="str">
        <f>IF(moviesKPIS[[#This Row],[Unit]]="billions",moviesKPIS[[#This Row],[Budget]]*1000,moviesKPIS[[#This Row],[Budget]])</f>
        <v>Not Available</v>
      </c>
      <c r="N13" s="29" t="str">
        <f>IF(moviesKPIS[[#This Row],[Currency]]="USD",moviesKPIS[[#This Row],[Revenue in Millions(Unit)]]*80,moviesKPIS[[#This Row],[Revenue in Millions(Unit)]])</f>
        <v>Not Available</v>
      </c>
      <c r="O13" s="30" t="str">
        <f>IF(moviesKPIS[[#This Row],[Currency]]="INR",moviesKPIS[[#This Row],[Revenue in Millions(Unit)]]/80,moviesKPIS[[#This Row],[Revenue in Millions(Unit)]])</f>
        <v>Not Available</v>
      </c>
      <c r="P13" s="29" t="str">
        <f>IF(moviesKPIS[[#This Row],[Currency]]="USD",moviesKPIS[[#This Row],[Budget]]*80,moviesKPIS[[#This Row],[Budget]])</f>
        <v>Not Available</v>
      </c>
      <c r="Q13" s="30" t="str">
        <f>IF(moviesKPIS[[#This Row],[Currency]]="inr",moviesKPIS[[#This Row],[Budget]]/80,moviesKPIS[[#This Row],[Budget]])</f>
        <v>Not Available</v>
      </c>
      <c r="R13" s="89" t="str">
        <f>IFERROR(moviesKPIS[[#This Row],[Revenue (USD,millions)]]-moviesKPIS[[#This Row],[Budget (USD,millions)]],"Not Available")</f>
        <v>Not Available</v>
      </c>
    </row>
    <row r="14" spans="1:39" x14ac:dyDescent="0.3">
      <c r="A14">
        <v>113</v>
      </c>
      <c r="B14" t="s">
        <v>132</v>
      </c>
      <c r="C14" t="s">
        <v>7</v>
      </c>
      <c r="D14">
        <v>2014</v>
      </c>
      <c r="E14">
        <v>8.6</v>
      </c>
      <c r="F14" t="s">
        <v>14</v>
      </c>
      <c r="G14">
        <v>5</v>
      </c>
      <c r="H14">
        <v>165</v>
      </c>
      <c r="I14" t="s">
        <v>34</v>
      </c>
      <c r="J14" t="s">
        <v>33</v>
      </c>
      <c r="K14">
        <v>701.8</v>
      </c>
      <c r="L14">
        <f>IF(moviesKPIS[[#This Row],[Unit]]="billions",moviesKPIS[[#This Row],[Revenue]]*1000,moviesKPIS[[#This Row],[Revenue]])</f>
        <v>701.8</v>
      </c>
      <c r="M14">
        <f>IF(moviesKPIS[[#This Row],[Unit]]="billions",moviesKPIS[[#This Row],[Budget]]*1000,moviesKPIS[[#This Row],[Budget]])</f>
        <v>165</v>
      </c>
      <c r="N14" s="29">
        <f>IF(moviesKPIS[[#This Row],[Currency]]="USD",moviesKPIS[[#This Row],[Revenue in Millions(Unit)]]*80,moviesKPIS[[#This Row],[Revenue in Millions(Unit)]])</f>
        <v>56144</v>
      </c>
      <c r="O14" s="30">
        <f>IF(moviesKPIS[[#This Row],[Currency]]="INR",moviesKPIS[[#This Row],[Revenue in Millions(Unit)]]/80,moviesKPIS[[#This Row],[Revenue in Millions(Unit)]])</f>
        <v>701.8</v>
      </c>
      <c r="P14" s="29">
        <f>IF(moviesKPIS[[#This Row],[Currency]]="USD",moviesKPIS[[#This Row],[Budget]]*80,moviesKPIS[[#This Row],[Budget]])</f>
        <v>13200</v>
      </c>
      <c r="Q14" s="30">
        <f>IF(moviesKPIS[[#This Row],[Currency]]="inr",moviesKPIS[[#This Row],[Budget]]/80,moviesKPIS[[#This Row],[Budget]])</f>
        <v>165</v>
      </c>
      <c r="R14" s="89">
        <f>IFERROR(moviesKPIS[[#This Row],[Revenue (USD,millions)]]-moviesKPIS[[#This Row],[Budget (USD,millions)]],"Not Available")</f>
        <v>536.79999999999995</v>
      </c>
    </row>
    <row r="15" spans="1:39" x14ac:dyDescent="0.3">
      <c r="A15">
        <v>115</v>
      </c>
      <c r="B15" t="s">
        <v>133</v>
      </c>
      <c r="C15" t="s">
        <v>7</v>
      </c>
      <c r="D15">
        <v>2006</v>
      </c>
      <c r="E15">
        <v>8</v>
      </c>
      <c r="F15" t="s">
        <v>15</v>
      </c>
      <c r="G15">
        <v>5</v>
      </c>
      <c r="H15">
        <v>55</v>
      </c>
      <c r="I15" t="s">
        <v>34</v>
      </c>
      <c r="J15" t="s">
        <v>33</v>
      </c>
      <c r="K15">
        <v>307.10000000000002</v>
      </c>
      <c r="L15">
        <f>IF(moviesKPIS[[#This Row],[Unit]]="billions",moviesKPIS[[#This Row],[Revenue]]*1000,moviesKPIS[[#This Row],[Revenue]])</f>
        <v>307.10000000000002</v>
      </c>
      <c r="M15">
        <f>IF(moviesKPIS[[#This Row],[Unit]]="billions",moviesKPIS[[#This Row],[Budget]]*1000,moviesKPIS[[#This Row],[Budget]])</f>
        <v>55</v>
      </c>
      <c r="N15" s="29">
        <f>IF(moviesKPIS[[#This Row],[Currency]]="USD",moviesKPIS[[#This Row],[Revenue in Millions(Unit)]]*80,moviesKPIS[[#This Row],[Revenue in Millions(Unit)]])</f>
        <v>24568</v>
      </c>
      <c r="O15" s="30">
        <f>IF(moviesKPIS[[#This Row],[Currency]]="INR",moviesKPIS[[#This Row],[Revenue in Millions(Unit)]]/80,moviesKPIS[[#This Row],[Revenue in Millions(Unit)]])</f>
        <v>307.10000000000002</v>
      </c>
      <c r="P15" s="29">
        <f>IF(moviesKPIS[[#This Row],[Currency]]="USD",moviesKPIS[[#This Row],[Budget]]*80,moviesKPIS[[#This Row],[Budget]])</f>
        <v>4400</v>
      </c>
      <c r="Q15" s="30">
        <f>IF(moviesKPIS[[#This Row],[Currency]]="inr",moviesKPIS[[#This Row],[Budget]]/80,moviesKPIS[[#This Row],[Budget]])</f>
        <v>55</v>
      </c>
      <c r="R15" s="89">
        <f>IFERROR(moviesKPIS[[#This Row],[Revenue (USD,millions)]]-moviesKPIS[[#This Row],[Budget (USD,millions)]],"Not Available")</f>
        <v>252.10000000000002</v>
      </c>
    </row>
    <row r="16" spans="1:39" x14ac:dyDescent="0.3">
      <c r="A16">
        <v>116</v>
      </c>
      <c r="B16" t="s">
        <v>134</v>
      </c>
      <c r="C16" t="s">
        <v>7</v>
      </c>
      <c r="D16">
        <v>2000</v>
      </c>
      <c r="E16">
        <v>8.5</v>
      </c>
      <c r="F16" t="s">
        <v>20</v>
      </c>
      <c r="G16">
        <v>5</v>
      </c>
      <c r="H16">
        <v>103</v>
      </c>
      <c r="I16" t="s">
        <v>34</v>
      </c>
      <c r="J16" t="s">
        <v>33</v>
      </c>
      <c r="K16">
        <v>460.5</v>
      </c>
      <c r="L16">
        <f>IF(moviesKPIS[[#This Row],[Unit]]="billions",moviesKPIS[[#This Row],[Revenue]]*1000,moviesKPIS[[#This Row],[Revenue]])</f>
        <v>460.5</v>
      </c>
      <c r="M16">
        <f>IF(moviesKPIS[[#This Row],[Unit]]="billions",moviesKPIS[[#This Row],[Budget]]*1000,moviesKPIS[[#This Row],[Budget]])</f>
        <v>103</v>
      </c>
      <c r="N16" s="29">
        <f>IF(moviesKPIS[[#This Row],[Currency]]="USD",moviesKPIS[[#This Row],[Revenue in Millions(Unit)]]*80,moviesKPIS[[#This Row],[Revenue in Millions(Unit)]])</f>
        <v>36840</v>
      </c>
      <c r="O16" s="30">
        <f>IF(moviesKPIS[[#This Row],[Currency]]="INR",moviesKPIS[[#This Row],[Revenue in Millions(Unit)]]/80,moviesKPIS[[#This Row],[Revenue in Millions(Unit)]])</f>
        <v>460.5</v>
      </c>
      <c r="P16" s="29">
        <f>IF(moviesKPIS[[#This Row],[Currency]]="USD",moviesKPIS[[#This Row],[Budget]]*80,moviesKPIS[[#This Row],[Budget]])</f>
        <v>8240</v>
      </c>
      <c r="Q16" s="30">
        <f>IF(moviesKPIS[[#This Row],[Currency]]="inr",moviesKPIS[[#This Row],[Budget]]/80,moviesKPIS[[#This Row],[Budget]])</f>
        <v>103</v>
      </c>
      <c r="R16" s="89">
        <f>IFERROR(moviesKPIS[[#This Row],[Revenue (USD,millions)]]-moviesKPIS[[#This Row],[Budget (USD,millions)]],"Not Available")</f>
        <v>357.5</v>
      </c>
    </row>
    <row r="17" spans="1:18" x14ac:dyDescent="0.3">
      <c r="A17">
        <v>117</v>
      </c>
      <c r="B17" t="s">
        <v>135</v>
      </c>
      <c r="C17" t="s">
        <v>7</v>
      </c>
      <c r="D17">
        <v>1997</v>
      </c>
      <c r="E17">
        <v>7.9</v>
      </c>
      <c r="F17" t="s">
        <v>16</v>
      </c>
      <c r="G17">
        <v>5</v>
      </c>
      <c r="H17">
        <v>200</v>
      </c>
      <c r="I17" t="s">
        <v>34</v>
      </c>
      <c r="J17" t="s">
        <v>33</v>
      </c>
      <c r="K17">
        <v>2202</v>
      </c>
      <c r="L17">
        <f>IF(moviesKPIS[[#This Row],[Unit]]="billions",moviesKPIS[[#This Row],[Revenue]]*1000,moviesKPIS[[#This Row],[Revenue]])</f>
        <v>2202</v>
      </c>
      <c r="M17">
        <f>IF(moviesKPIS[[#This Row],[Unit]]="billions",moviesKPIS[[#This Row],[Budget]]*1000,moviesKPIS[[#This Row],[Budget]])</f>
        <v>200</v>
      </c>
      <c r="N17" s="29">
        <f>IF(moviesKPIS[[#This Row],[Currency]]="USD",moviesKPIS[[#This Row],[Revenue in Millions(Unit)]]*80,moviesKPIS[[#This Row],[Revenue in Millions(Unit)]])</f>
        <v>176160</v>
      </c>
      <c r="O17" s="30">
        <f>IF(moviesKPIS[[#This Row],[Currency]]="INR",moviesKPIS[[#This Row],[Revenue in Millions(Unit)]]/80,moviesKPIS[[#This Row],[Revenue in Millions(Unit)]])</f>
        <v>2202</v>
      </c>
      <c r="P17" s="29">
        <f>IF(moviesKPIS[[#This Row],[Currency]]="USD",moviesKPIS[[#This Row],[Budget]]*80,moviesKPIS[[#This Row],[Budget]])</f>
        <v>16000</v>
      </c>
      <c r="Q17" s="30">
        <f>IF(moviesKPIS[[#This Row],[Currency]]="inr",moviesKPIS[[#This Row],[Budget]]/80,moviesKPIS[[#This Row],[Budget]])</f>
        <v>200</v>
      </c>
      <c r="R17" s="89">
        <f>IFERROR(moviesKPIS[[#This Row],[Revenue (USD,millions)]]-moviesKPIS[[#This Row],[Budget (USD,millions)]],"Not Available")</f>
        <v>2002</v>
      </c>
    </row>
    <row r="18" spans="1:18" x14ac:dyDescent="0.3">
      <c r="A18">
        <v>118</v>
      </c>
      <c r="B18" t="s">
        <v>136</v>
      </c>
      <c r="C18" t="s">
        <v>7</v>
      </c>
      <c r="D18">
        <v>1946</v>
      </c>
      <c r="E18">
        <v>8.6</v>
      </c>
      <c r="F18" t="s">
        <v>17</v>
      </c>
      <c r="G18">
        <v>5</v>
      </c>
      <c r="H18">
        <v>3.18</v>
      </c>
      <c r="I18" t="s">
        <v>34</v>
      </c>
      <c r="J18" t="s">
        <v>33</v>
      </c>
      <c r="K18">
        <v>3.3</v>
      </c>
      <c r="L18">
        <f>IF(moviesKPIS[[#This Row],[Unit]]="billions",moviesKPIS[[#This Row],[Revenue]]*1000,moviesKPIS[[#This Row],[Revenue]])</f>
        <v>3.3</v>
      </c>
      <c r="M18">
        <f>IF(moviesKPIS[[#This Row],[Unit]]="billions",moviesKPIS[[#This Row],[Budget]]*1000,moviesKPIS[[#This Row],[Budget]])</f>
        <v>3.18</v>
      </c>
      <c r="N18" s="29">
        <f>IF(moviesKPIS[[#This Row],[Currency]]="USD",moviesKPIS[[#This Row],[Revenue in Millions(Unit)]]*80,moviesKPIS[[#This Row],[Revenue in Millions(Unit)]])</f>
        <v>264</v>
      </c>
      <c r="O18" s="30">
        <f>IF(moviesKPIS[[#This Row],[Currency]]="INR",moviesKPIS[[#This Row],[Revenue in Millions(Unit)]]/80,moviesKPIS[[#This Row],[Revenue in Millions(Unit)]])</f>
        <v>3.3</v>
      </c>
      <c r="P18" s="29">
        <f>IF(moviesKPIS[[#This Row],[Currency]]="USD",moviesKPIS[[#This Row],[Budget]]*80,moviesKPIS[[#This Row],[Budget]])</f>
        <v>254.4</v>
      </c>
      <c r="Q18" s="30">
        <f>IF(moviesKPIS[[#This Row],[Currency]]="inr",moviesKPIS[[#This Row],[Budget]]/80,moviesKPIS[[#This Row],[Budget]])</f>
        <v>3.18</v>
      </c>
      <c r="R18" s="89">
        <f>IFERROR(moviesKPIS[[#This Row],[Revenue (USD,millions)]]-moviesKPIS[[#This Row],[Budget (USD,millions)]],"Not Available")</f>
        <v>0.11999999999999966</v>
      </c>
    </row>
    <row r="19" spans="1:18" x14ac:dyDescent="0.3">
      <c r="A19">
        <v>119</v>
      </c>
      <c r="B19" t="s">
        <v>137</v>
      </c>
      <c r="C19" t="s">
        <v>7</v>
      </c>
      <c r="D19">
        <v>2009</v>
      </c>
      <c r="E19">
        <v>7.8</v>
      </c>
      <c r="F19" t="s">
        <v>18</v>
      </c>
      <c r="G19">
        <v>5</v>
      </c>
      <c r="H19">
        <v>237</v>
      </c>
      <c r="I19" t="s">
        <v>34</v>
      </c>
      <c r="J19" t="s">
        <v>33</v>
      </c>
      <c r="K19">
        <v>2847</v>
      </c>
      <c r="L19">
        <f>IF(moviesKPIS[[#This Row],[Unit]]="billions",moviesKPIS[[#This Row],[Revenue]]*1000,moviesKPIS[[#This Row],[Revenue]])</f>
        <v>2847</v>
      </c>
      <c r="M19">
        <f>IF(moviesKPIS[[#This Row],[Unit]]="billions",moviesKPIS[[#This Row],[Budget]]*1000,moviesKPIS[[#This Row],[Budget]])</f>
        <v>237</v>
      </c>
      <c r="N19" s="29">
        <f>IF(moviesKPIS[[#This Row],[Currency]]="USD",moviesKPIS[[#This Row],[Revenue in Millions(Unit)]]*80,moviesKPIS[[#This Row],[Revenue in Millions(Unit)]])</f>
        <v>227760</v>
      </c>
      <c r="O19" s="30">
        <f>IF(moviesKPIS[[#This Row],[Currency]]="INR",moviesKPIS[[#This Row],[Revenue in Millions(Unit)]]/80,moviesKPIS[[#This Row],[Revenue in Millions(Unit)]])</f>
        <v>2847</v>
      </c>
      <c r="P19" s="29">
        <f>IF(moviesKPIS[[#This Row],[Currency]]="USD",moviesKPIS[[#This Row],[Budget]]*80,moviesKPIS[[#This Row],[Budget]])</f>
        <v>18960</v>
      </c>
      <c r="Q19" s="30">
        <f>IF(moviesKPIS[[#This Row],[Currency]]="inr",moviesKPIS[[#This Row],[Budget]]/80,moviesKPIS[[#This Row],[Budget]])</f>
        <v>237</v>
      </c>
      <c r="R19" s="89">
        <f>IFERROR(moviesKPIS[[#This Row],[Revenue (USD,millions)]]-moviesKPIS[[#This Row],[Budget (USD,millions)]],"Not Available")</f>
        <v>2610</v>
      </c>
    </row>
    <row r="20" spans="1:18" x14ac:dyDescent="0.3">
      <c r="A20">
        <v>120</v>
      </c>
      <c r="B20" t="s">
        <v>138</v>
      </c>
      <c r="C20" t="s">
        <v>7</v>
      </c>
      <c r="D20">
        <v>1972</v>
      </c>
      <c r="E20">
        <v>9.1999999999999993</v>
      </c>
      <c r="F20" t="s">
        <v>16</v>
      </c>
      <c r="G20">
        <v>5</v>
      </c>
      <c r="H20">
        <v>7.2</v>
      </c>
      <c r="I20" t="s">
        <v>34</v>
      </c>
      <c r="J20" t="s">
        <v>33</v>
      </c>
      <c r="K20">
        <v>291</v>
      </c>
      <c r="L20">
        <f>IF(moviesKPIS[[#This Row],[Unit]]="billions",moviesKPIS[[#This Row],[Revenue]]*1000,moviesKPIS[[#This Row],[Revenue]])</f>
        <v>291</v>
      </c>
      <c r="M20">
        <f>IF(moviesKPIS[[#This Row],[Unit]]="billions",moviesKPIS[[#This Row],[Budget]]*1000,moviesKPIS[[#This Row],[Budget]])</f>
        <v>7.2</v>
      </c>
      <c r="N20" s="29">
        <f>IF(moviesKPIS[[#This Row],[Currency]]="USD",moviesKPIS[[#This Row],[Revenue in Millions(Unit)]]*80,moviesKPIS[[#This Row],[Revenue in Millions(Unit)]])</f>
        <v>23280</v>
      </c>
      <c r="O20" s="30">
        <f>IF(moviesKPIS[[#This Row],[Currency]]="INR",moviesKPIS[[#This Row],[Revenue in Millions(Unit)]]/80,moviesKPIS[[#This Row],[Revenue in Millions(Unit)]])</f>
        <v>291</v>
      </c>
      <c r="P20" s="29">
        <f>IF(moviesKPIS[[#This Row],[Currency]]="USD",moviesKPIS[[#This Row],[Budget]]*80,moviesKPIS[[#This Row],[Budget]])</f>
        <v>576</v>
      </c>
      <c r="Q20" s="30">
        <f>IF(moviesKPIS[[#This Row],[Currency]]="inr",moviesKPIS[[#This Row],[Budget]]/80,moviesKPIS[[#This Row],[Budget]])</f>
        <v>7.2</v>
      </c>
      <c r="R20" s="89">
        <f>IFERROR(moviesKPIS[[#This Row],[Revenue (USD,millions)]]-moviesKPIS[[#This Row],[Budget (USD,millions)]],"Not Available")</f>
        <v>283.8</v>
      </c>
    </row>
    <row r="21" spans="1:18" x14ac:dyDescent="0.3">
      <c r="A21">
        <v>121</v>
      </c>
      <c r="B21" t="s">
        <v>139</v>
      </c>
      <c r="C21" t="s">
        <v>7</v>
      </c>
      <c r="D21">
        <v>2008</v>
      </c>
      <c r="E21">
        <v>9</v>
      </c>
      <c r="F21" t="s">
        <v>19</v>
      </c>
      <c r="G21">
        <v>5</v>
      </c>
      <c r="H21">
        <v>185</v>
      </c>
      <c r="I21" t="s">
        <v>34</v>
      </c>
      <c r="J21" t="s">
        <v>33</v>
      </c>
      <c r="K21">
        <v>1006</v>
      </c>
      <c r="L21">
        <f>IF(moviesKPIS[[#This Row],[Unit]]="billions",moviesKPIS[[#This Row],[Revenue]]*1000,moviesKPIS[[#This Row],[Revenue]])</f>
        <v>1006</v>
      </c>
      <c r="M21">
        <f>IF(moviesKPIS[[#This Row],[Unit]]="billions",moviesKPIS[[#This Row],[Budget]]*1000,moviesKPIS[[#This Row],[Budget]])</f>
        <v>185</v>
      </c>
      <c r="N21" s="29">
        <f>IF(moviesKPIS[[#This Row],[Currency]]="USD",moviesKPIS[[#This Row],[Revenue in Millions(Unit)]]*80,moviesKPIS[[#This Row],[Revenue in Millions(Unit)]])</f>
        <v>80480</v>
      </c>
      <c r="O21" s="30">
        <f>IF(moviesKPIS[[#This Row],[Currency]]="INR",moviesKPIS[[#This Row],[Revenue in Millions(Unit)]]/80,moviesKPIS[[#This Row],[Revenue in Millions(Unit)]])</f>
        <v>1006</v>
      </c>
      <c r="P21" s="29">
        <f>IF(moviesKPIS[[#This Row],[Currency]]="USD",moviesKPIS[[#This Row],[Budget]]*80,moviesKPIS[[#This Row],[Budget]])</f>
        <v>14800</v>
      </c>
      <c r="Q21" s="30">
        <f>IF(moviesKPIS[[#This Row],[Currency]]="inr",moviesKPIS[[#This Row],[Budget]]/80,moviesKPIS[[#This Row],[Budget]])</f>
        <v>185</v>
      </c>
      <c r="R21" s="89">
        <f>IFERROR(moviesKPIS[[#This Row],[Revenue (USD,millions)]]-moviesKPIS[[#This Row],[Budget (USD,millions)]],"Not Available")</f>
        <v>821</v>
      </c>
    </row>
    <row r="22" spans="1:18" x14ac:dyDescent="0.3">
      <c r="A22">
        <v>122</v>
      </c>
      <c r="B22" t="s">
        <v>140</v>
      </c>
      <c r="C22" t="s">
        <v>7</v>
      </c>
      <c r="D22">
        <v>1993</v>
      </c>
      <c r="E22">
        <v>9</v>
      </c>
      <c r="F22" t="s">
        <v>20</v>
      </c>
      <c r="G22">
        <v>5</v>
      </c>
      <c r="H22">
        <v>22</v>
      </c>
      <c r="I22" t="s">
        <v>34</v>
      </c>
      <c r="J22" t="s">
        <v>33</v>
      </c>
      <c r="K22">
        <v>322.2</v>
      </c>
      <c r="L22">
        <f>IF(moviesKPIS[[#This Row],[Unit]]="billions",moviesKPIS[[#This Row],[Revenue]]*1000,moviesKPIS[[#This Row],[Revenue]])</f>
        <v>322.2</v>
      </c>
      <c r="M22">
        <f>IF(moviesKPIS[[#This Row],[Unit]]="billions",moviesKPIS[[#This Row],[Budget]]*1000,moviesKPIS[[#This Row],[Budget]])</f>
        <v>22</v>
      </c>
      <c r="N22" s="29">
        <f>IF(moviesKPIS[[#This Row],[Currency]]="USD",moviesKPIS[[#This Row],[Revenue in Millions(Unit)]]*80,moviesKPIS[[#This Row],[Revenue in Millions(Unit)]])</f>
        <v>25776</v>
      </c>
      <c r="O22" s="30">
        <f>IF(moviesKPIS[[#This Row],[Currency]]="INR",moviesKPIS[[#This Row],[Revenue in Millions(Unit)]]/80,moviesKPIS[[#This Row],[Revenue in Millions(Unit)]])</f>
        <v>322.2</v>
      </c>
      <c r="P22" s="29">
        <f>IF(moviesKPIS[[#This Row],[Currency]]="USD",moviesKPIS[[#This Row],[Budget]]*80,moviesKPIS[[#This Row],[Budget]])</f>
        <v>1760</v>
      </c>
      <c r="Q22" s="30">
        <f>IF(moviesKPIS[[#This Row],[Currency]]="inr",moviesKPIS[[#This Row],[Budget]]/80,moviesKPIS[[#This Row],[Budget]])</f>
        <v>22</v>
      </c>
      <c r="R22" s="89">
        <f>IFERROR(moviesKPIS[[#This Row],[Revenue (USD,millions)]]-moviesKPIS[[#This Row],[Budget (USD,millions)]],"Not Available")</f>
        <v>300.2</v>
      </c>
    </row>
    <row r="23" spans="1:18" x14ac:dyDescent="0.3">
      <c r="A23">
        <v>123</v>
      </c>
      <c r="B23" t="s">
        <v>141</v>
      </c>
      <c r="C23" t="s">
        <v>7</v>
      </c>
      <c r="D23">
        <v>1993</v>
      </c>
      <c r="E23">
        <v>8.1999999999999993</v>
      </c>
      <c r="F23" t="s">
        <v>20</v>
      </c>
      <c r="G23">
        <v>5</v>
      </c>
      <c r="H23">
        <v>63</v>
      </c>
      <c r="I23" t="s">
        <v>34</v>
      </c>
      <c r="J23" t="s">
        <v>33</v>
      </c>
      <c r="K23">
        <v>1046</v>
      </c>
      <c r="L23">
        <f>IF(moviesKPIS[[#This Row],[Unit]]="billions",moviesKPIS[[#This Row],[Revenue]]*1000,moviesKPIS[[#This Row],[Revenue]])</f>
        <v>1046</v>
      </c>
      <c r="M23">
        <f>IF(moviesKPIS[[#This Row],[Unit]]="billions",moviesKPIS[[#This Row],[Budget]]*1000,moviesKPIS[[#This Row],[Budget]])</f>
        <v>63</v>
      </c>
      <c r="N23" s="29">
        <f>IF(moviesKPIS[[#This Row],[Currency]]="USD",moviesKPIS[[#This Row],[Revenue in Millions(Unit)]]*80,moviesKPIS[[#This Row],[Revenue in Millions(Unit)]])</f>
        <v>83680</v>
      </c>
      <c r="O23" s="30">
        <f>IF(moviesKPIS[[#This Row],[Currency]]="INR",moviesKPIS[[#This Row],[Revenue in Millions(Unit)]]/80,moviesKPIS[[#This Row],[Revenue in Millions(Unit)]])</f>
        <v>1046</v>
      </c>
      <c r="P23" s="29">
        <f>IF(moviesKPIS[[#This Row],[Currency]]="USD",moviesKPIS[[#This Row],[Budget]]*80,moviesKPIS[[#This Row],[Budget]])</f>
        <v>5040</v>
      </c>
      <c r="Q23" s="30">
        <f>IF(moviesKPIS[[#This Row],[Currency]]="inr",moviesKPIS[[#This Row],[Budget]]/80,moviesKPIS[[#This Row],[Budget]])</f>
        <v>63</v>
      </c>
      <c r="R23" s="89">
        <f>IFERROR(moviesKPIS[[#This Row],[Revenue (USD,millions)]]-moviesKPIS[[#This Row],[Budget (USD,millions)]],"Not Available")</f>
        <v>983</v>
      </c>
    </row>
    <row r="24" spans="1:18" x14ac:dyDescent="0.3">
      <c r="A24">
        <v>124</v>
      </c>
      <c r="B24" t="s">
        <v>142</v>
      </c>
      <c r="C24" t="s">
        <v>7</v>
      </c>
      <c r="D24">
        <v>2019</v>
      </c>
      <c r="E24">
        <v>8.5</v>
      </c>
      <c r="F24" t="s">
        <v>114</v>
      </c>
      <c r="G24">
        <v>5</v>
      </c>
      <c r="H24">
        <v>15.5</v>
      </c>
      <c r="I24" t="s">
        <v>34</v>
      </c>
      <c r="J24" t="s">
        <v>33</v>
      </c>
      <c r="K24">
        <v>263.10000000000002</v>
      </c>
      <c r="L24">
        <f>IF(moviesKPIS[[#This Row],[Unit]]="billions",moviesKPIS[[#This Row],[Revenue]]*1000,moviesKPIS[[#This Row],[Revenue]])</f>
        <v>263.10000000000002</v>
      </c>
      <c r="M24">
        <f>IF(moviesKPIS[[#This Row],[Unit]]="billions",moviesKPIS[[#This Row],[Budget]]*1000,moviesKPIS[[#This Row],[Budget]])</f>
        <v>15.5</v>
      </c>
      <c r="N24" s="29">
        <f>IF(moviesKPIS[[#This Row],[Currency]]="USD",moviesKPIS[[#This Row],[Revenue in Millions(Unit)]]*80,moviesKPIS[[#This Row],[Revenue in Millions(Unit)]])</f>
        <v>21048</v>
      </c>
      <c r="O24" s="30">
        <f>IF(moviesKPIS[[#This Row],[Currency]]="INR",moviesKPIS[[#This Row],[Revenue in Millions(Unit)]]/80,moviesKPIS[[#This Row],[Revenue in Millions(Unit)]])</f>
        <v>263.10000000000002</v>
      </c>
      <c r="P24" s="29">
        <f>IF(moviesKPIS[[#This Row],[Currency]]="USD",moviesKPIS[[#This Row],[Budget]]*80,moviesKPIS[[#This Row],[Budget]])</f>
        <v>1240</v>
      </c>
      <c r="Q24" s="30">
        <f>IF(moviesKPIS[[#This Row],[Currency]]="inr",moviesKPIS[[#This Row],[Budget]]/80,moviesKPIS[[#This Row],[Budget]])</f>
        <v>15.5</v>
      </c>
      <c r="R24" s="89">
        <f>IFERROR(moviesKPIS[[#This Row],[Revenue (USD,millions)]]-moviesKPIS[[#This Row],[Budget (USD,millions)]],"Not Available")</f>
        <v>247.60000000000002</v>
      </c>
    </row>
    <row r="25" spans="1:18" x14ac:dyDescent="0.3">
      <c r="A25">
        <v>125</v>
      </c>
      <c r="B25" t="s">
        <v>143</v>
      </c>
      <c r="C25" t="s">
        <v>7</v>
      </c>
      <c r="D25">
        <v>2019</v>
      </c>
      <c r="E25">
        <v>8.4</v>
      </c>
      <c r="F25" t="s">
        <v>8</v>
      </c>
      <c r="G25">
        <v>5</v>
      </c>
      <c r="H25">
        <v>400</v>
      </c>
      <c r="I25" t="s">
        <v>34</v>
      </c>
      <c r="J25" t="s">
        <v>33</v>
      </c>
      <c r="K25">
        <v>2798</v>
      </c>
      <c r="L25">
        <f>IF(moviesKPIS[[#This Row],[Unit]]="billions",moviesKPIS[[#This Row],[Revenue]]*1000,moviesKPIS[[#This Row],[Revenue]])</f>
        <v>2798</v>
      </c>
      <c r="M25">
        <f>IF(moviesKPIS[[#This Row],[Unit]]="billions",moviesKPIS[[#This Row],[Budget]]*1000,moviesKPIS[[#This Row],[Budget]])</f>
        <v>400</v>
      </c>
      <c r="N25" s="29">
        <f>IF(moviesKPIS[[#This Row],[Currency]]="USD",moviesKPIS[[#This Row],[Revenue in Millions(Unit)]]*80,moviesKPIS[[#This Row],[Revenue in Millions(Unit)]])</f>
        <v>223840</v>
      </c>
      <c r="O25" s="30">
        <f>IF(moviesKPIS[[#This Row],[Currency]]="INR",moviesKPIS[[#This Row],[Revenue in Millions(Unit)]]/80,moviesKPIS[[#This Row],[Revenue in Millions(Unit)]])</f>
        <v>2798</v>
      </c>
      <c r="P25" s="29">
        <f>IF(moviesKPIS[[#This Row],[Currency]]="USD",moviesKPIS[[#This Row],[Budget]]*80,moviesKPIS[[#This Row],[Budget]])</f>
        <v>32000</v>
      </c>
      <c r="Q25" s="30">
        <f>IF(moviesKPIS[[#This Row],[Currency]]="inr",moviesKPIS[[#This Row],[Budget]]/80,moviesKPIS[[#This Row],[Budget]])</f>
        <v>400</v>
      </c>
      <c r="R25" s="89">
        <f>IFERROR(moviesKPIS[[#This Row],[Revenue (USD,millions)]]-moviesKPIS[[#This Row],[Budget (USD,millions)]],"Not Available")</f>
        <v>2398</v>
      </c>
    </row>
    <row r="26" spans="1:18" x14ac:dyDescent="0.3">
      <c r="A26">
        <v>126</v>
      </c>
      <c r="B26" t="s">
        <v>144</v>
      </c>
      <c r="C26" t="s">
        <v>7</v>
      </c>
      <c r="D26">
        <v>2018</v>
      </c>
      <c r="E26">
        <v>8.4</v>
      </c>
      <c r="F26" t="s">
        <v>8</v>
      </c>
      <c r="G26">
        <v>5</v>
      </c>
      <c r="H26">
        <v>400</v>
      </c>
      <c r="I26" t="s">
        <v>34</v>
      </c>
      <c r="J26" t="s">
        <v>33</v>
      </c>
      <c r="K26">
        <v>2048</v>
      </c>
      <c r="L26">
        <f>IF(moviesKPIS[[#This Row],[Unit]]="billions",moviesKPIS[[#This Row],[Revenue]]*1000,moviesKPIS[[#This Row],[Revenue]])</f>
        <v>2048</v>
      </c>
      <c r="M26">
        <f>IF(moviesKPIS[[#This Row],[Unit]]="billions",moviesKPIS[[#This Row],[Budget]]*1000,moviesKPIS[[#This Row],[Budget]])</f>
        <v>400</v>
      </c>
      <c r="N26" s="29">
        <f>IF(moviesKPIS[[#This Row],[Currency]]="USD",moviesKPIS[[#This Row],[Revenue in Millions(Unit)]]*80,moviesKPIS[[#This Row],[Revenue in Millions(Unit)]])</f>
        <v>163840</v>
      </c>
      <c r="O26" s="30">
        <f>IF(moviesKPIS[[#This Row],[Currency]]="INR",moviesKPIS[[#This Row],[Revenue in Millions(Unit)]]/80,moviesKPIS[[#This Row],[Revenue in Millions(Unit)]])</f>
        <v>2048</v>
      </c>
      <c r="P26" s="29">
        <f>IF(moviesKPIS[[#This Row],[Currency]]="USD",moviesKPIS[[#This Row],[Budget]]*80,moviesKPIS[[#This Row],[Budget]])</f>
        <v>32000</v>
      </c>
      <c r="Q26" s="30">
        <f>IF(moviesKPIS[[#This Row],[Currency]]="inr",moviesKPIS[[#This Row],[Budget]]/80,moviesKPIS[[#This Row],[Budget]])</f>
        <v>400</v>
      </c>
      <c r="R26" s="89">
        <f>IFERROR(moviesKPIS[[#This Row],[Revenue (USD,millions)]]-moviesKPIS[[#This Row],[Budget (USD,millions)]],"Not Available")</f>
        <v>1648</v>
      </c>
    </row>
    <row r="27" spans="1:18" x14ac:dyDescent="0.3">
      <c r="A27">
        <v>127</v>
      </c>
      <c r="B27" t="s">
        <v>145</v>
      </c>
      <c r="C27" t="s">
        <v>6</v>
      </c>
      <c r="D27">
        <v>1955</v>
      </c>
      <c r="E27">
        <v>8.3000000000000007</v>
      </c>
      <c r="F27" t="s">
        <v>118</v>
      </c>
      <c r="G27">
        <v>7</v>
      </c>
      <c r="H27">
        <v>70</v>
      </c>
      <c r="I27" t="s">
        <v>32</v>
      </c>
      <c r="J27" t="s">
        <v>33</v>
      </c>
      <c r="K27">
        <v>100</v>
      </c>
      <c r="L27">
        <f>IF(moviesKPIS[[#This Row],[Unit]]="billions",moviesKPIS[[#This Row],[Revenue]]*1000,moviesKPIS[[#This Row],[Revenue]])</f>
        <v>100</v>
      </c>
      <c r="M27">
        <f>IF(moviesKPIS[[#This Row],[Unit]]="billions",moviesKPIS[[#This Row],[Budget]]*1000,moviesKPIS[[#This Row],[Budget]])</f>
        <v>70</v>
      </c>
      <c r="N27" s="29">
        <f>IF(moviesKPIS[[#This Row],[Currency]]="USD",moviesKPIS[[#This Row],[Revenue in Millions(Unit)]]*80,moviesKPIS[[#This Row],[Revenue in Millions(Unit)]])</f>
        <v>100</v>
      </c>
      <c r="O27" s="30">
        <f>IF(moviesKPIS[[#This Row],[Currency]]="INR",moviesKPIS[[#This Row],[Revenue in Millions(Unit)]]/80,moviesKPIS[[#This Row],[Revenue in Millions(Unit)]])</f>
        <v>1.25</v>
      </c>
      <c r="P27" s="29">
        <f>IF(moviesKPIS[[#This Row],[Currency]]="USD",moviesKPIS[[#This Row],[Budget]]*80,moviesKPIS[[#This Row],[Budget]])</f>
        <v>70</v>
      </c>
      <c r="Q27" s="30">
        <f>IF(moviesKPIS[[#This Row],[Currency]]="inr",moviesKPIS[[#This Row],[Budget]]/80,moviesKPIS[[#This Row],[Budget]])</f>
        <v>0.875</v>
      </c>
      <c r="R27" s="89">
        <f>IFERROR(moviesKPIS[[#This Row],[Revenue (USD,millions)]]-moviesKPIS[[#This Row],[Budget (USD,millions)]],"Not Available")</f>
        <v>0.375</v>
      </c>
    </row>
    <row r="28" spans="1:18" x14ac:dyDescent="0.3">
      <c r="A28">
        <v>128</v>
      </c>
      <c r="B28" t="s">
        <v>146</v>
      </c>
      <c r="C28" t="s">
        <v>6</v>
      </c>
      <c r="D28">
        <v>2007</v>
      </c>
      <c r="E28">
        <v>8.3000000000000007</v>
      </c>
      <c r="F28" t="s">
        <v>114</v>
      </c>
      <c r="G28">
        <v>1</v>
      </c>
      <c r="H28">
        <v>120</v>
      </c>
      <c r="I28" t="s">
        <v>32</v>
      </c>
      <c r="J28" t="s">
        <v>33</v>
      </c>
      <c r="K28">
        <v>1350</v>
      </c>
      <c r="L28">
        <f>IF(moviesKPIS[[#This Row],[Unit]]="billions",moviesKPIS[[#This Row],[Revenue]]*1000,moviesKPIS[[#This Row],[Revenue]])</f>
        <v>1350</v>
      </c>
      <c r="M28">
        <f>IF(moviesKPIS[[#This Row],[Unit]]="billions",moviesKPIS[[#This Row],[Budget]]*1000,moviesKPIS[[#This Row],[Budget]])</f>
        <v>120</v>
      </c>
      <c r="N28" s="29">
        <f>IF(moviesKPIS[[#This Row],[Currency]]="USD",moviesKPIS[[#This Row],[Revenue in Millions(Unit)]]*80,moviesKPIS[[#This Row],[Revenue in Millions(Unit)]])</f>
        <v>1350</v>
      </c>
      <c r="O28" s="30">
        <f>IF(moviesKPIS[[#This Row],[Currency]]="INR",moviesKPIS[[#This Row],[Revenue in Millions(Unit)]]/80,moviesKPIS[[#This Row],[Revenue in Millions(Unit)]])</f>
        <v>16.875</v>
      </c>
      <c r="P28" s="29">
        <f>IF(moviesKPIS[[#This Row],[Currency]]="USD",moviesKPIS[[#This Row],[Budget]]*80,moviesKPIS[[#This Row],[Budget]])</f>
        <v>120</v>
      </c>
      <c r="Q28" s="30">
        <f>IF(moviesKPIS[[#This Row],[Currency]]="inr",moviesKPIS[[#This Row],[Budget]]/80,moviesKPIS[[#This Row],[Budget]])</f>
        <v>1.5</v>
      </c>
      <c r="R28" s="89">
        <f>IFERROR(moviesKPIS[[#This Row],[Revenue (USD,millions)]]-moviesKPIS[[#This Row],[Budget (USD,millions)]],"Not Available")</f>
        <v>15.375</v>
      </c>
    </row>
    <row r="29" spans="1:18" x14ac:dyDescent="0.3">
      <c r="A29">
        <v>129</v>
      </c>
      <c r="B29" t="s">
        <v>147</v>
      </c>
      <c r="C29" t="s">
        <v>6</v>
      </c>
      <c r="D29">
        <v>2003</v>
      </c>
      <c r="E29">
        <v>8.1</v>
      </c>
      <c r="F29" t="s">
        <v>21</v>
      </c>
      <c r="G29">
        <v>1</v>
      </c>
      <c r="H29">
        <v>100</v>
      </c>
      <c r="I29" t="s">
        <v>32</v>
      </c>
      <c r="J29" t="s">
        <v>33</v>
      </c>
      <c r="K29">
        <v>410</v>
      </c>
      <c r="L29">
        <f>IF(moviesKPIS[[#This Row],[Unit]]="billions",moviesKPIS[[#This Row],[Revenue]]*1000,moviesKPIS[[#This Row],[Revenue]])</f>
        <v>410</v>
      </c>
      <c r="M29">
        <f>IF(moviesKPIS[[#This Row],[Unit]]="billions",moviesKPIS[[#This Row],[Budget]]*1000,moviesKPIS[[#This Row],[Budget]])</f>
        <v>100</v>
      </c>
      <c r="N29" s="29">
        <f>IF(moviesKPIS[[#This Row],[Currency]]="USD",moviesKPIS[[#This Row],[Revenue in Millions(Unit)]]*80,moviesKPIS[[#This Row],[Revenue in Millions(Unit)]])</f>
        <v>410</v>
      </c>
      <c r="O29" s="30">
        <f>IF(moviesKPIS[[#This Row],[Currency]]="INR",moviesKPIS[[#This Row],[Revenue in Millions(Unit)]]/80,moviesKPIS[[#This Row],[Revenue in Millions(Unit)]])</f>
        <v>5.125</v>
      </c>
      <c r="P29" s="29">
        <f>IF(moviesKPIS[[#This Row],[Currency]]="USD",moviesKPIS[[#This Row],[Budget]]*80,moviesKPIS[[#This Row],[Budget]])</f>
        <v>100</v>
      </c>
      <c r="Q29" s="30">
        <f>IF(moviesKPIS[[#This Row],[Currency]]="inr",moviesKPIS[[#This Row],[Budget]]/80,moviesKPIS[[#This Row],[Budget]])</f>
        <v>1.25</v>
      </c>
      <c r="R29" s="89">
        <f>IFERROR(moviesKPIS[[#This Row],[Revenue (USD,millions)]]-moviesKPIS[[#This Row],[Budget (USD,millions)]],"Not Available")</f>
        <v>3.875</v>
      </c>
    </row>
    <row r="30" spans="1:18" x14ac:dyDescent="0.3">
      <c r="A30">
        <v>130</v>
      </c>
      <c r="B30" t="s">
        <v>148</v>
      </c>
      <c r="C30" t="s">
        <v>6</v>
      </c>
      <c r="D30">
        <v>2014</v>
      </c>
      <c r="E30">
        <v>8.1</v>
      </c>
      <c r="F30" t="s">
        <v>11</v>
      </c>
      <c r="G30">
        <v>1</v>
      </c>
      <c r="H30">
        <v>850</v>
      </c>
      <c r="I30" t="s">
        <v>32</v>
      </c>
      <c r="J30" t="s">
        <v>33</v>
      </c>
      <c r="K30">
        <v>8540</v>
      </c>
      <c r="L30">
        <f>IF(moviesKPIS[[#This Row],[Unit]]="billions",moviesKPIS[[#This Row],[Revenue]]*1000,moviesKPIS[[#This Row],[Revenue]])</f>
        <v>8540</v>
      </c>
      <c r="M30">
        <f>IF(moviesKPIS[[#This Row],[Unit]]="billions",moviesKPIS[[#This Row],[Budget]]*1000,moviesKPIS[[#This Row],[Budget]])</f>
        <v>850</v>
      </c>
      <c r="N30" s="29">
        <f>IF(moviesKPIS[[#This Row],[Currency]]="USD",moviesKPIS[[#This Row],[Revenue in Millions(Unit)]]*80,moviesKPIS[[#This Row],[Revenue in Millions(Unit)]])</f>
        <v>8540</v>
      </c>
      <c r="O30" s="30">
        <f>IF(moviesKPIS[[#This Row],[Currency]]="INR",moviesKPIS[[#This Row],[Revenue in Millions(Unit)]]/80,moviesKPIS[[#This Row],[Revenue in Millions(Unit)]])</f>
        <v>106.75</v>
      </c>
      <c r="P30" s="29">
        <f>IF(moviesKPIS[[#This Row],[Currency]]="USD",moviesKPIS[[#This Row],[Budget]]*80,moviesKPIS[[#This Row],[Budget]])</f>
        <v>850</v>
      </c>
      <c r="Q30" s="30">
        <f>IF(moviesKPIS[[#This Row],[Currency]]="inr",moviesKPIS[[#This Row],[Budget]]/80,moviesKPIS[[#This Row],[Budget]])</f>
        <v>10.625</v>
      </c>
      <c r="R30" s="89">
        <f>IFERROR(moviesKPIS[[#This Row],[Revenue (USD,millions)]]-moviesKPIS[[#This Row],[Budget (USD,millions)]],"Not Available")</f>
        <v>96.125</v>
      </c>
    </row>
    <row r="31" spans="1:18" x14ac:dyDescent="0.3">
      <c r="A31">
        <v>131</v>
      </c>
      <c r="B31" t="s">
        <v>149</v>
      </c>
      <c r="C31" t="s">
        <v>6</v>
      </c>
      <c r="D31">
        <v>2018</v>
      </c>
      <c r="E31" t="s">
        <v>113</v>
      </c>
      <c r="F31" t="s">
        <v>11</v>
      </c>
      <c r="G31">
        <v>1</v>
      </c>
      <c r="H31">
        <v>1</v>
      </c>
      <c r="I31" t="s">
        <v>32</v>
      </c>
      <c r="J31" t="s">
        <v>31</v>
      </c>
      <c r="K31">
        <v>5.9</v>
      </c>
      <c r="L31">
        <f>IF(moviesKPIS[[#This Row],[Unit]]="billions",moviesKPIS[[#This Row],[Revenue]]*1000,moviesKPIS[[#This Row],[Revenue]])</f>
        <v>5900</v>
      </c>
      <c r="M31">
        <f>IF(moviesKPIS[[#This Row],[Unit]]="billions",moviesKPIS[[#This Row],[Budget]]*1000,moviesKPIS[[#This Row],[Budget]])</f>
        <v>1000</v>
      </c>
      <c r="N31" s="29">
        <f>IF(moviesKPIS[[#This Row],[Currency]]="USD",moviesKPIS[[#This Row],[Revenue in Millions(Unit)]]*80,moviesKPIS[[#This Row],[Revenue in Millions(Unit)]])</f>
        <v>5900</v>
      </c>
      <c r="O31" s="30">
        <f>IF(moviesKPIS[[#This Row],[Currency]]="INR",moviesKPIS[[#This Row],[Revenue in Millions(Unit)]]/80,moviesKPIS[[#This Row],[Revenue in Millions(Unit)]])</f>
        <v>73.75</v>
      </c>
      <c r="P31" s="29">
        <f>IF(moviesKPIS[[#This Row],[Currency]]="USD",moviesKPIS[[#This Row],[Budget]]*80,moviesKPIS[[#This Row],[Budget]])</f>
        <v>1</v>
      </c>
      <c r="Q31" s="30">
        <f>IF(moviesKPIS[[#This Row],[Currency]]="inr",moviesKPIS[[#This Row],[Budget]]/80,moviesKPIS[[#This Row],[Budget]])</f>
        <v>1.2500000000000001E-2</v>
      </c>
      <c r="R31" s="89">
        <f>IFERROR(moviesKPIS[[#This Row],[Revenue (USD,millions)]]-moviesKPIS[[#This Row],[Budget (USD,millions)]],"Not Available")</f>
        <v>73.737499999999997</v>
      </c>
    </row>
    <row r="32" spans="1:18" x14ac:dyDescent="0.3">
      <c r="A32">
        <v>132</v>
      </c>
      <c r="B32" t="s">
        <v>150</v>
      </c>
      <c r="C32" t="s">
        <v>6</v>
      </c>
      <c r="D32">
        <v>2021</v>
      </c>
      <c r="E32">
        <v>7.6</v>
      </c>
      <c r="F32" t="s">
        <v>22</v>
      </c>
      <c r="G32">
        <v>2</v>
      </c>
      <c r="H32">
        <v>2</v>
      </c>
      <c r="I32" t="s">
        <v>32</v>
      </c>
      <c r="J32" t="s">
        <v>31</v>
      </c>
      <c r="K32">
        <v>3.6</v>
      </c>
      <c r="L32">
        <f>IF(moviesKPIS[[#This Row],[Unit]]="billions",moviesKPIS[[#This Row],[Revenue]]*1000,moviesKPIS[[#This Row],[Revenue]])</f>
        <v>3600</v>
      </c>
      <c r="M32">
        <f>IF(moviesKPIS[[#This Row],[Unit]]="billions",moviesKPIS[[#This Row],[Budget]]*1000,moviesKPIS[[#This Row],[Budget]])</f>
        <v>2000</v>
      </c>
      <c r="N32" s="29">
        <f>IF(moviesKPIS[[#This Row],[Currency]]="USD",moviesKPIS[[#This Row],[Revenue in Millions(Unit)]]*80,moviesKPIS[[#This Row],[Revenue in Millions(Unit)]])</f>
        <v>3600</v>
      </c>
      <c r="O32" s="30">
        <f>IF(moviesKPIS[[#This Row],[Currency]]="INR",moviesKPIS[[#This Row],[Revenue in Millions(Unit)]]/80,moviesKPIS[[#This Row],[Revenue in Millions(Unit)]])</f>
        <v>45</v>
      </c>
      <c r="P32" s="29">
        <f>IF(moviesKPIS[[#This Row],[Currency]]="USD",moviesKPIS[[#This Row],[Budget]]*80,moviesKPIS[[#This Row],[Budget]])</f>
        <v>2</v>
      </c>
      <c r="Q32" s="30">
        <f>IF(moviesKPIS[[#This Row],[Currency]]="inr",moviesKPIS[[#This Row],[Budget]]/80,moviesKPIS[[#This Row],[Budget]])</f>
        <v>2.5000000000000001E-2</v>
      </c>
      <c r="R32" s="89">
        <f>IFERROR(moviesKPIS[[#This Row],[Revenue (USD,millions)]]-moviesKPIS[[#This Row],[Budget (USD,millions)]],"Not Available")</f>
        <v>44.975000000000001</v>
      </c>
    </row>
    <row r="33" spans="1:18" x14ac:dyDescent="0.3">
      <c r="A33">
        <v>133</v>
      </c>
      <c r="B33" t="s">
        <v>151</v>
      </c>
      <c r="C33" t="s">
        <v>6</v>
      </c>
      <c r="D33">
        <v>2022</v>
      </c>
      <c r="E33">
        <v>8</v>
      </c>
      <c r="F33" t="s">
        <v>23</v>
      </c>
      <c r="G33">
        <v>2</v>
      </c>
      <c r="H33">
        <v>5.5</v>
      </c>
      <c r="I33" t="s">
        <v>32</v>
      </c>
      <c r="J33" t="s">
        <v>31</v>
      </c>
      <c r="K33">
        <v>12</v>
      </c>
      <c r="L33">
        <f>IF(moviesKPIS[[#This Row],[Unit]]="billions",moviesKPIS[[#This Row],[Revenue]]*1000,moviesKPIS[[#This Row],[Revenue]])</f>
        <v>12000</v>
      </c>
      <c r="M33">
        <f>IF(moviesKPIS[[#This Row],[Unit]]="billions",moviesKPIS[[#This Row],[Budget]]*1000,moviesKPIS[[#This Row],[Budget]])</f>
        <v>5500</v>
      </c>
      <c r="N33" s="29">
        <f>IF(moviesKPIS[[#This Row],[Currency]]="USD",moviesKPIS[[#This Row],[Revenue in Millions(Unit)]]*80,moviesKPIS[[#This Row],[Revenue in Millions(Unit)]])</f>
        <v>12000</v>
      </c>
      <c r="O33" s="30">
        <f>IF(moviesKPIS[[#This Row],[Currency]]="INR",moviesKPIS[[#This Row],[Revenue in Millions(Unit)]]/80,moviesKPIS[[#This Row],[Revenue in Millions(Unit)]])</f>
        <v>150</v>
      </c>
      <c r="P33" s="29">
        <f>IF(moviesKPIS[[#This Row],[Currency]]="USD",moviesKPIS[[#This Row],[Budget]]*80,moviesKPIS[[#This Row],[Budget]])</f>
        <v>5.5</v>
      </c>
      <c r="Q33" s="30">
        <f>IF(moviesKPIS[[#This Row],[Currency]]="inr",moviesKPIS[[#This Row],[Budget]]/80,moviesKPIS[[#This Row],[Budget]])</f>
        <v>6.8750000000000006E-2</v>
      </c>
      <c r="R33" s="89">
        <f>IFERROR(moviesKPIS[[#This Row],[Revenue (USD,millions)]]-moviesKPIS[[#This Row],[Budget (USD,millions)]],"Not Available")</f>
        <v>149.93125000000001</v>
      </c>
    </row>
    <row r="34" spans="1:18" x14ac:dyDescent="0.3">
      <c r="A34">
        <v>134</v>
      </c>
      <c r="B34" t="s">
        <v>152</v>
      </c>
      <c r="C34" t="s">
        <v>6</v>
      </c>
      <c r="D34">
        <v>2015</v>
      </c>
      <c r="E34">
        <v>8</v>
      </c>
      <c r="F34" t="s">
        <v>24</v>
      </c>
      <c r="G34">
        <v>2</v>
      </c>
      <c r="H34">
        <v>1.8</v>
      </c>
      <c r="I34" t="s">
        <v>32</v>
      </c>
      <c r="J34" t="s">
        <v>31</v>
      </c>
      <c r="K34">
        <v>6.5</v>
      </c>
      <c r="L34">
        <f>IF(moviesKPIS[[#This Row],[Unit]]="billions",moviesKPIS[[#This Row],[Revenue]]*1000,moviesKPIS[[#This Row],[Revenue]])</f>
        <v>6500</v>
      </c>
      <c r="M34">
        <f>IF(moviesKPIS[[#This Row],[Unit]]="billions",moviesKPIS[[#This Row],[Budget]]*1000,moviesKPIS[[#This Row],[Budget]])</f>
        <v>1800</v>
      </c>
      <c r="N34" s="29">
        <f>IF(moviesKPIS[[#This Row],[Currency]]="USD",moviesKPIS[[#This Row],[Revenue in Millions(Unit)]]*80,moviesKPIS[[#This Row],[Revenue in Millions(Unit)]])</f>
        <v>6500</v>
      </c>
      <c r="O34" s="30">
        <f>IF(moviesKPIS[[#This Row],[Currency]]="INR",moviesKPIS[[#This Row],[Revenue in Millions(Unit)]]/80,moviesKPIS[[#This Row],[Revenue in Millions(Unit)]])</f>
        <v>81.25</v>
      </c>
      <c r="P34" s="29">
        <f>IF(moviesKPIS[[#This Row],[Currency]]="USD",moviesKPIS[[#This Row],[Budget]]*80,moviesKPIS[[#This Row],[Budget]])</f>
        <v>1.8</v>
      </c>
      <c r="Q34" s="30">
        <f>IF(moviesKPIS[[#This Row],[Currency]]="inr",moviesKPIS[[#This Row],[Budget]]/80,moviesKPIS[[#This Row],[Budget]])</f>
        <v>2.2499999999999999E-2</v>
      </c>
      <c r="R34" s="89">
        <f>IFERROR(moviesKPIS[[#This Row],[Revenue (USD,millions)]]-moviesKPIS[[#This Row],[Budget (USD,millions)]],"Not Available")</f>
        <v>81.227500000000006</v>
      </c>
    </row>
    <row r="35" spans="1:18" x14ac:dyDescent="0.3">
      <c r="A35">
        <v>135</v>
      </c>
      <c r="B35" t="s">
        <v>153</v>
      </c>
      <c r="C35" t="s">
        <v>6</v>
      </c>
      <c r="D35">
        <v>2022</v>
      </c>
      <c r="E35">
        <v>8.3000000000000007</v>
      </c>
      <c r="F35" t="s">
        <v>25</v>
      </c>
      <c r="G35">
        <v>1</v>
      </c>
      <c r="H35">
        <v>250</v>
      </c>
      <c r="I35" t="s">
        <v>32</v>
      </c>
      <c r="J35" t="s">
        <v>33</v>
      </c>
      <c r="K35">
        <v>3409</v>
      </c>
      <c r="L35">
        <f>IF(moviesKPIS[[#This Row],[Unit]]="billions",moviesKPIS[[#This Row],[Revenue]]*1000,moviesKPIS[[#This Row],[Revenue]])</f>
        <v>3409</v>
      </c>
      <c r="M35">
        <f>IF(moviesKPIS[[#This Row],[Unit]]="billions",moviesKPIS[[#This Row],[Budget]]*1000,moviesKPIS[[#This Row],[Budget]])</f>
        <v>250</v>
      </c>
      <c r="N35" s="29">
        <f>IF(moviesKPIS[[#This Row],[Currency]]="USD",moviesKPIS[[#This Row],[Revenue in Millions(Unit)]]*80,moviesKPIS[[#This Row],[Revenue in Millions(Unit)]])</f>
        <v>3409</v>
      </c>
      <c r="O35" s="30">
        <f>IF(moviesKPIS[[#This Row],[Currency]]="INR",moviesKPIS[[#This Row],[Revenue in Millions(Unit)]]/80,moviesKPIS[[#This Row],[Revenue in Millions(Unit)]])</f>
        <v>42.612499999999997</v>
      </c>
      <c r="P35" s="29">
        <f>IF(moviesKPIS[[#This Row],[Currency]]="USD",moviesKPIS[[#This Row],[Budget]]*80,moviesKPIS[[#This Row],[Budget]])</f>
        <v>250</v>
      </c>
      <c r="Q35" s="30">
        <f>IF(moviesKPIS[[#This Row],[Currency]]="inr",moviesKPIS[[#This Row],[Budget]]/80,moviesKPIS[[#This Row],[Budget]])</f>
        <v>3.125</v>
      </c>
      <c r="R35" s="89">
        <f>IFERROR(moviesKPIS[[#This Row],[Revenue (USD,millions)]]-moviesKPIS[[#This Row],[Budget (USD,millions)]],"Not Available")</f>
        <v>39.487499999999997</v>
      </c>
    </row>
    <row r="36" spans="1:18" x14ac:dyDescent="0.3">
      <c r="A36">
        <v>136</v>
      </c>
      <c r="B36" t="s">
        <v>154</v>
      </c>
      <c r="C36" t="s">
        <v>6</v>
      </c>
      <c r="D36">
        <v>2015</v>
      </c>
      <c r="E36">
        <v>8.1</v>
      </c>
      <c r="F36" t="s">
        <v>26</v>
      </c>
      <c r="G36">
        <v>1</v>
      </c>
      <c r="H36">
        <v>900</v>
      </c>
      <c r="I36" t="s">
        <v>32</v>
      </c>
      <c r="J36" t="s">
        <v>33</v>
      </c>
      <c r="K36">
        <v>11690</v>
      </c>
      <c r="L36">
        <f>IF(moviesKPIS[[#This Row],[Unit]]="billions",moviesKPIS[[#This Row],[Revenue]]*1000,moviesKPIS[[#This Row],[Revenue]])</f>
        <v>11690</v>
      </c>
      <c r="M36">
        <f>IF(moviesKPIS[[#This Row],[Unit]]="billions",moviesKPIS[[#This Row],[Budget]]*1000,moviesKPIS[[#This Row],[Budget]])</f>
        <v>900</v>
      </c>
      <c r="N36" s="29">
        <f>IF(moviesKPIS[[#This Row],[Currency]]="USD",moviesKPIS[[#This Row],[Revenue in Millions(Unit)]]*80,moviesKPIS[[#This Row],[Revenue in Millions(Unit)]])</f>
        <v>11690</v>
      </c>
      <c r="O36" s="30">
        <f>IF(moviesKPIS[[#This Row],[Currency]]="INR",moviesKPIS[[#This Row],[Revenue in Millions(Unit)]]/80,moviesKPIS[[#This Row],[Revenue in Millions(Unit)]])</f>
        <v>146.125</v>
      </c>
      <c r="P36" s="29">
        <f>IF(moviesKPIS[[#This Row],[Currency]]="USD",moviesKPIS[[#This Row],[Budget]]*80,moviesKPIS[[#This Row],[Budget]])</f>
        <v>900</v>
      </c>
      <c r="Q36" s="30">
        <f>IF(moviesKPIS[[#This Row],[Currency]]="inr",moviesKPIS[[#This Row],[Budget]]/80,moviesKPIS[[#This Row],[Budget]])</f>
        <v>11.25</v>
      </c>
      <c r="R36" s="89">
        <f>IFERROR(moviesKPIS[[#This Row],[Revenue (USD,millions)]]-moviesKPIS[[#This Row],[Budget (USD,millions)]],"Not Available")</f>
        <v>134.875</v>
      </c>
    </row>
    <row r="37" spans="1:18" x14ac:dyDescent="0.3">
      <c r="A37">
        <v>137</v>
      </c>
      <c r="B37" t="s">
        <v>155</v>
      </c>
      <c r="C37" t="s">
        <v>7</v>
      </c>
      <c r="D37">
        <v>2011</v>
      </c>
      <c r="E37">
        <v>6.9</v>
      </c>
      <c r="F37" t="s">
        <v>8</v>
      </c>
      <c r="G37">
        <v>5</v>
      </c>
      <c r="H37">
        <v>216.7</v>
      </c>
      <c r="I37" t="s">
        <v>34</v>
      </c>
      <c r="J37" t="s">
        <v>33</v>
      </c>
      <c r="K37">
        <v>370.6</v>
      </c>
      <c r="L37">
        <f>IF(moviesKPIS[[#This Row],[Unit]]="billions",moviesKPIS[[#This Row],[Revenue]]*1000,moviesKPIS[[#This Row],[Revenue]])</f>
        <v>370.6</v>
      </c>
      <c r="M37">
        <f>IF(moviesKPIS[[#This Row],[Unit]]="billions",moviesKPIS[[#This Row],[Budget]]*1000,moviesKPIS[[#This Row],[Budget]])</f>
        <v>216.7</v>
      </c>
      <c r="N37" s="29">
        <f>IF(moviesKPIS[[#This Row],[Currency]]="USD",moviesKPIS[[#This Row],[Revenue in Millions(Unit)]]*80,moviesKPIS[[#This Row],[Revenue in Millions(Unit)]])</f>
        <v>29648</v>
      </c>
      <c r="O37" s="30">
        <f>IF(moviesKPIS[[#This Row],[Currency]]="INR",moviesKPIS[[#This Row],[Revenue in Millions(Unit)]]/80,moviesKPIS[[#This Row],[Revenue in Millions(Unit)]])</f>
        <v>370.6</v>
      </c>
      <c r="P37" s="29">
        <f>IF(moviesKPIS[[#This Row],[Currency]]="USD",moviesKPIS[[#This Row],[Budget]]*80,moviesKPIS[[#This Row],[Budget]])</f>
        <v>17336</v>
      </c>
      <c r="Q37" s="30">
        <f>IF(moviesKPIS[[#This Row],[Currency]]="inr",moviesKPIS[[#This Row],[Budget]]/80,moviesKPIS[[#This Row],[Budget]])</f>
        <v>216.7</v>
      </c>
      <c r="R37" s="89">
        <f>IFERROR(moviesKPIS[[#This Row],[Revenue (USD,millions)]]-moviesKPIS[[#This Row],[Budget (USD,millions)]],"Not Available")</f>
        <v>153.90000000000003</v>
      </c>
    </row>
    <row r="38" spans="1:18" x14ac:dyDescent="0.3">
      <c r="A38">
        <v>138</v>
      </c>
      <c r="B38" t="s">
        <v>156</v>
      </c>
      <c r="C38" t="s">
        <v>7</v>
      </c>
      <c r="D38">
        <v>2014</v>
      </c>
      <c r="E38">
        <v>7.8</v>
      </c>
      <c r="F38" t="s">
        <v>8</v>
      </c>
      <c r="G38">
        <v>5</v>
      </c>
      <c r="H38">
        <v>177</v>
      </c>
      <c r="I38" t="s">
        <v>34</v>
      </c>
      <c r="J38" t="s">
        <v>33</v>
      </c>
      <c r="K38">
        <v>714.4</v>
      </c>
      <c r="L38">
        <f>IF(moviesKPIS[[#This Row],[Unit]]="billions",moviesKPIS[[#This Row],[Revenue]]*1000,moviesKPIS[[#This Row],[Revenue]])</f>
        <v>714.4</v>
      </c>
      <c r="M38">
        <f>IF(moviesKPIS[[#This Row],[Unit]]="billions",moviesKPIS[[#This Row],[Budget]]*1000,moviesKPIS[[#This Row],[Budget]])</f>
        <v>177</v>
      </c>
      <c r="N38" s="29">
        <f>IF(moviesKPIS[[#This Row],[Currency]]="USD",moviesKPIS[[#This Row],[Revenue in Millions(Unit)]]*80,moviesKPIS[[#This Row],[Revenue in Millions(Unit)]])</f>
        <v>57152</v>
      </c>
      <c r="O38" s="30">
        <f>IF(moviesKPIS[[#This Row],[Currency]]="INR",moviesKPIS[[#This Row],[Revenue in Millions(Unit)]]/80,moviesKPIS[[#This Row],[Revenue in Millions(Unit)]])</f>
        <v>714.4</v>
      </c>
      <c r="P38" s="29">
        <f>IF(moviesKPIS[[#This Row],[Currency]]="USD",moviesKPIS[[#This Row],[Budget]]*80,moviesKPIS[[#This Row],[Budget]])</f>
        <v>14160</v>
      </c>
      <c r="Q38" s="30">
        <f>IF(moviesKPIS[[#This Row],[Currency]]="inr",moviesKPIS[[#This Row],[Budget]]/80,moviesKPIS[[#This Row],[Budget]])</f>
        <v>177</v>
      </c>
      <c r="R38" s="89">
        <f>IFERROR(moviesKPIS[[#This Row],[Revenue (USD,millions)]]-moviesKPIS[[#This Row],[Budget (USD,millions)]],"Not Available")</f>
        <v>537.4</v>
      </c>
    </row>
    <row r="39" spans="1:18" x14ac:dyDescent="0.3">
      <c r="A39">
        <v>139</v>
      </c>
      <c r="B39" t="s">
        <v>157</v>
      </c>
      <c r="C39" t="s">
        <v>6</v>
      </c>
      <c r="D39">
        <v>2018</v>
      </c>
      <c r="E39">
        <v>1.9</v>
      </c>
      <c r="F39" t="s">
        <v>26</v>
      </c>
      <c r="G39">
        <v>1</v>
      </c>
      <c r="H39">
        <v>1.8</v>
      </c>
      <c r="I39" t="s">
        <v>32</v>
      </c>
      <c r="J39" t="s">
        <v>31</v>
      </c>
      <c r="K39">
        <v>3.1</v>
      </c>
      <c r="L39">
        <f>IF(moviesKPIS[[#This Row],[Unit]]="billions",moviesKPIS[[#This Row],[Revenue]]*1000,moviesKPIS[[#This Row],[Revenue]])</f>
        <v>3100</v>
      </c>
      <c r="M39">
        <f>IF(moviesKPIS[[#This Row],[Unit]]="billions",moviesKPIS[[#This Row],[Budget]]*1000,moviesKPIS[[#This Row],[Budget]])</f>
        <v>1800</v>
      </c>
      <c r="N39" s="29">
        <f>IF(moviesKPIS[[#This Row],[Currency]]="USD",moviesKPIS[[#This Row],[Revenue in Millions(Unit)]]*80,moviesKPIS[[#This Row],[Revenue in Millions(Unit)]])</f>
        <v>3100</v>
      </c>
      <c r="O39" s="30">
        <f>IF(moviesKPIS[[#This Row],[Currency]]="INR",moviesKPIS[[#This Row],[Revenue in Millions(Unit)]]/80,moviesKPIS[[#This Row],[Revenue in Millions(Unit)]])</f>
        <v>38.75</v>
      </c>
      <c r="P39" s="29">
        <f>IF(moviesKPIS[[#This Row],[Currency]]="USD",moviesKPIS[[#This Row],[Budget]]*80,moviesKPIS[[#This Row],[Budget]])</f>
        <v>1.8</v>
      </c>
      <c r="Q39" s="30">
        <f>IF(moviesKPIS[[#This Row],[Currency]]="inr",moviesKPIS[[#This Row],[Budget]]/80,moviesKPIS[[#This Row],[Budget]])</f>
        <v>2.2499999999999999E-2</v>
      </c>
      <c r="R39" s="89">
        <f>IFERROR(moviesKPIS[[#This Row],[Revenue (USD,millions)]]-moviesKPIS[[#This Row],[Budget (USD,millions)]],"Not Available")</f>
        <v>38.727499999999999</v>
      </c>
    </row>
    <row r="40" spans="1:18" x14ac:dyDescent="0.3">
      <c r="A40">
        <v>140</v>
      </c>
      <c r="B40" t="s">
        <v>158</v>
      </c>
      <c r="C40" t="s">
        <v>6</v>
      </c>
      <c r="D40">
        <v>2021</v>
      </c>
      <c r="E40">
        <v>8.4</v>
      </c>
      <c r="F40" t="s">
        <v>12</v>
      </c>
      <c r="G40">
        <v>1</v>
      </c>
      <c r="H40">
        <v>500</v>
      </c>
      <c r="I40" t="s">
        <v>32</v>
      </c>
      <c r="J40" t="s">
        <v>33</v>
      </c>
      <c r="K40">
        <v>950</v>
      </c>
      <c r="L40">
        <f>IF(moviesKPIS[[#This Row],[Unit]]="billions",moviesKPIS[[#This Row],[Revenue]]*1000,moviesKPIS[[#This Row],[Revenue]])</f>
        <v>950</v>
      </c>
      <c r="M40">
        <f>IF(moviesKPIS[[#This Row],[Unit]]="billions",moviesKPIS[[#This Row],[Budget]]*1000,moviesKPIS[[#This Row],[Budget]])</f>
        <v>500</v>
      </c>
      <c r="N40" s="29">
        <f>IF(moviesKPIS[[#This Row],[Currency]]="USD",moviesKPIS[[#This Row],[Revenue in Millions(Unit)]]*80,moviesKPIS[[#This Row],[Revenue in Millions(Unit)]])</f>
        <v>950</v>
      </c>
      <c r="O40" s="30">
        <f>IF(moviesKPIS[[#This Row],[Currency]]="INR",moviesKPIS[[#This Row],[Revenue in Millions(Unit)]]/80,moviesKPIS[[#This Row],[Revenue in Millions(Unit)]])</f>
        <v>11.875</v>
      </c>
      <c r="P40" s="29">
        <f>IF(moviesKPIS[[#This Row],[Currency]]="USD",moviesKPIS[[#This Row],[Budget]]*80,moviesKPIS[[#This Row],[Budget]])</f>
        <v>500</v>
      </c>
      <c r="Q40" s="30">
        <f>IF(moviesKPIS[[#This Row],[Currency]]="inr",moviesKPIS[[#This Row],[Budget]]/80,moviesKPIS[[#This Row],[Budget]])</f>
        <v>6.25</v>
      </c>
      <c r="R40" s="89">
        <f>IFERROR(moviesKPIS[[#This Row],[Revenue (USD,millions)]]-moviesKPIS[[#This Row],[Budget (USD,millions)]],"Not Available")</f>
        <v>5.625</v>
      </c>
    </row>
    <row r="42" spans="1:18" ht="15" thickBot="1" x14ac:dyDescent="0.35"/>
    <row r="43" spans="1:18" ht="18.600000000000001" thickBot="1" x14ac:dyDescent="0.4">
      <c r="M43" s="139" t="s">
        <v>249</v>
      </c>
      <c r="N43" s="140"/>
      <c r="O43" s="140"/>
      <c r="P43" s="141"/>
    </row>
    <row r="44" spans="1:18" ht="17.399999999999999" x14ac:dyDescent="0.45">
      <c r="M44" s="31" t="s">
        <v>250</v>
      </c>
      <c r="N44"/>
      <c r="O44" s="33" t="s">
        <v>238</v>
      </c>
      <c r="P44" s="33" t="s">
        <v>239</v>
      </c>
    </row>
    <row r="45" spans="1:18" x14ac:dyDescent="0.3">
      <c r="N45" s="34" t="s">
        <v>240</v>
      </c>
      <c r="O45" s="35">
        <f>SUM(moviesKPIS[Revenue (INR,millions)])</f>
        <v>1567141</v>
      </c>
      <c r="P45" s="35">
        <f>AVERAGE(moviesKPIS[Revenue (INR,millions)])</f>
        <v>42355.16216216216</v>
      </c>
    </row>
    <row r="46" spans="1:18" ht="15" thickBot="1" x14ac:dyDescent="0.35">
      <c r="N46" s="34" t="s">
        <v>241</v>
      </c>
      <c r="O46" s="36">
        <f>SUM(moviesKPIS[Revenue (USD,millions)])</f>
        <v>19589.262500000001</v>
      </c>
      <c r="P46" s="36">
        <f>AVERAGE(moviesKPIS[Revenue (USD,millions)])</f>
        <v>529.439527027027</v>
      </c>
    </row>
    <row r="47" spans="1:18" ht="17.399999999999999" x14ac:dyDescent="0.45">
      <c r="M47" s="31" t="s">
        <v>251</v>
      </c>
      <c r="N47" s="34" t="s">
        <v>240</v>
      </c>
      <c r="O47" s="35">
        <f>SUM(moviesKPIS[Budget (INR,millions)])</f>
        <v>249710.89999999997</v>
      </c>
      <c r="P47" s="35">
        <f>AVERAGE(moviesKPIS[Budget (INR,millions)])</f>
        <v>6748.9432432432423</v>
      </c>
    </row>
    <row r="48" spans="1:18" x14ac:dyDescent="0.3">
      <c r="N48" s="34" t="s">
        <v>241</v>
      </c>
      <c r="O48" s="36">
        <f>SUM(moviesKPIS[Budget (USD,millions)])</f>
        <v>3121.38625</v>
      </c>
      <c r="P48" s="36">
        <f>AVERAGE(moviesKPIS[Budget (USD,millions)])</f>
        <v>84.361790540540539</v>
      </c>
    </row>
    <row r="49" spans="13:18" ht="15" thickBot="1" x14ac:dyDescent="0.35"/>
    <row r="50" spans="13:18" ht="17.399999999999999" x14ac:dyDescent="0.45">
      <c r="M50" s="31" t="s">
        <v>253</v>
      </c>
      <c r="N50" s="41" t="s">
        <v>254</v>
      </c>
      <c r="O50" s="34">
        <f>COUNT(moviesKPIS[movie_id])</f>
        <v>39</v>
      </c>
    </row>
    <row r="51" spans="13:18" x14ac:dyDescent="0.3">
      <c r="N51" s="41" t="s">
        <v>6</v>
      </c>
      <c r="O51" s="34">
        <f>COUNTIF(moviesKPIS[industry],"Bollywood")</f>
        <v>18</v>
      </c>
    </row>
    <row r="52" spans="13:18" x14ac:dyDescent="0.3">
      <c r="N52" s="41" t="s">
        <v>7</v>
      </c>
      <c r="O52" s="34">
        <f>COUNTIF(moviesKPIS[industry],"Hollywood")</f>
        <v>21</v>
      </c>
      <c r="Q52" s="37"/>
    </row>
    <row r="53" spans="13:18" ht="15" thickBot="1" x14ac:dyDescent="0.35"/>
    <row r="54" spans="13:18" ht="17.399999999999999" x14ac:dyDescent="0.45">
      <c r="M54" s="31" t="s">
        <v>255</v>
      </c>
      <c r="N54" s="41" t="s">
        <v>6</v>
      </c>
      <c r="O54" s="40">
        <f>O60/O45</f>
        <v>5.1628411227834639E-2</v>
      </c>
    </row>
    <row r="55" spans="13:18" x14ac:dyDescent="0.3">
      <c r="N55" s="41" t="s">
        <v>7</v>
      </c>
      <c r="O55" s="40">
        <f>O58/O45</f>
        <v>0.94837158877216532</v>
      </c>
    </row>
    <row r="56" spans="13:18" ht="15" thickBot="1" x14ac:dyDescent="0.35">
      <c r="N56" s="32"/>
    </row>
    <row r="57" spans="13:18" ht="18" thickBot="1" x14ac:dyDescent="0.5">
      <c r="O57" s="33" t="s">
        <v>238</v>
      </c>
      <c r="P57" s="33" t="s">
        <v>239</v>
      </c>
    </row>
    <row r="58" spans="13:18" ht="17.399999999999999" x14ac:dyDescent="0.45">
      <c r="M58" s="31" t="s">
        <v>244</v>
      </c>
      <c r="N58" s="34" t="s">
        <v>240</v>
      </c>
      <c r="O58" s="35">
        <f>SUMIF(moviesKPIS[[industry]:[industry]],"Hollywood",moviesKPIS[Revenue (INR,millions)])</f>
        <v>1486232</v>
      </c>
      <c r="P58" s="35">
        <f>AVERAGEIF(moviesKPIS[industry],"Hollywood",moviesKPIS[Revenue (INR,millions)])</f>
        <v>74311.600000000006</v>
      </c>
    </row>
    <row r="59" spans="13:18" ht="15" thickBot="1" x14ac:dyDescent="0.35">
      <c r="N59" s="34" t="s">
        <v>241</v>
      </c>
      <c r="O59" s="36">
        <f>SUMIF(moviesKPIS[industry],"Hollywood",moviesKPIS[Revenue (USD,millions)])</f>
        <v>18577.900000000001</v>
      </c>
      <c r="P59" s="36">
        <f>AVERAGEIF(moviesKPIS[industry],"Hollywood",moviesKPIS[Revenue (USD,millions)])</f>
        <v>928.8950000000001</v>
      </c>
    </row>
    <row r="60" spans="13:18" ht="17.399999999999999" x14ac:dyDescent="0.45">
      <c r="M60" s="31" t="s">
        <v>245</v>
      </c>
      <c r="N60" s="34" t="s">
        <v>240</v>
      </c>
      <c r="O60" s="35">
        <f>SUMIF(moviesKPIS[industry],"Bollywood",moviesKPIS[Revenue (INR,millions)])</f>
        <v>80909</v>
      </c>
      <c r="P60" s="32">
        <f>O60/O51</f>
        <v>4494.9444444444443</v>
      </c>
    </row>
    <row r="61" spans="13:18" x14ac:dyDescent="0.3">
      <c r="N61" s="34" t="s">
        <v>241</v>
      </c>
      <c r="O61" s="36">
        <f>SUMIF(moviesKPIS[industry],"Bollywood",moviesKPIS[Revenue (USD,millions)])</f>
        <v>1011.3625</v>
      </c>
      <c r="P61" s="42">
        <f>O61/O51</f>
        <v>56.186805555555551</v>
      </c>
    </row>
    <row r="62" spans="13:18" ht="15" thickBot="1" x14ac:dyDescent="0.35">
      <c r="R62" s="30"/>
    </row>
    <row r="63" spans="13:18" ht="17.399999999999999" x14ac:dyDescent="0.45">
      <c r="M63" s="31" t="s">
        <v>247</v>
      </c>
      <c r="N63" s="34" t="s">
        <v>240</v>
      </c>
      <c r="O63" s="35">
        <f>SUMIF(moviesKPIS[industry],"Hollywood",moviesKPIS[Budget (INR,millions)])</f>
        <v>245566.4</v>
      </c>
    </row>
    <row r="64" spans="13:18" ht="15" thickBot="1" x14ac:dyDescent="0.35">
      <c r="N64" s="34" t="s">
        <v>241</v>
      </c>
      <c r="O64" s="36">
        <f>SUMIF(moviesKPIS[industry],"Hollywood",moviesKPIS[Budget (USD,millions)])</f>
        <v>3069.58</v>
      </c>
    </row>
    <row r="65" spans="13:16" ht="17.399999999999999" x14ac:dyDescent="0.45">
      <c r="M65" s="31" t="s">
        <v>246</v>
      </c>
      <c r="N65" s="34" t="s">
        <v>240</v>
      </c>
      <c r="O65" s="35">
        <f>SUMIF(moviesKPIS[industry],"Bollywood",moviesKPIS[Budget (INR,millions)])</f>
        <v>4144.5</v>
      </c>
    </row>
    <row r="66" spans="13:16" x14ac:dyDescent="0.3">
      <c r="N66" s="34" t="s">
        <v>241</v>
      </c>
      <c r="O66" s="36">
        <f>SUMIF(moviesKPIS[industry],"Bollywood",moviesKPIS[Budget (USD,millions)])</f>
        <v>51.806249999999999</v>
      </c>
    </row>
    <row r="70" spans="13:16" ht="15" thickBot="1" x14ac:dyDescent="0.35"/>
    <row r="71" spans="13:16" ht="17.399999999999999" x14ac:dyDescent="0.45">
      <c r="M71" s="31" t="s">
        <v>248</v>
      </c>
      <c r="N71" s="34" t="s">
        <v>7</v>
      </c>
      <c r="O71" s="40">
        <f>O58/O63</f>
        <v>6.0522612214048825</v>
      </c>
    </row>
    <row r="72" spans="13:16" x14ac:dyDescent="0.3">
      <c r="N72" s="41" t="s">
        <v>6</v>
      </c>
      <c r="O72" s="40">
        <f>O60/O65</f>
        <v>19.522017131137652</v>
      </c>
      <c r="P72" s="37"/>
    </row>
    <row r="73" spans="13:16" x14ac:dyDescent="0.3">
      <c r="N73" s="41" t="s">
        <v>243</v>
      </c>
      <c r="O73" s="40">
        <f>O45/O47</f>
        <v>6.2758213598204975</v>
      </c>
    </row>
    <row r="75" spans="13:16" ht="72" x14ac:dyDescent="0.3">
      <c r="P75" s="43" t="s">
        <v>252</v>
      </c>
    </row>
    <row r="78" spans="13:16" ht="15" thickBot="1" x14ac:dyDescent="0.35"/>
    <row r="79" spans="13:16" ht="19.2" thickBot="1" x14ac:dyDescent="0.5">
      <c r="M79" s="136" t="s">
        <v>223</v>
      </c>
      <c r="N79" s="137"/>
      <c r="O79" s="137"/>
      <c r="P79" s="138"/>
    </row>
    <row r="81" spans="13:13" x14ac:dyDescent="0.3">
      <c r="M81" s="12" t="s">
        <v>256</v>
      </c>
    </row>
    <row r="82" spans="13:13" x14ac:dyDescent="0.3">
      <c r="M82" s="12" t="s">
        <v>257</v>
      </c>
    </row>
    <row r="83" spans="13:13" x14ac:dyDescent="0.3">
      <c r="M83" s="12" t="s">
        <v>258</v>
      </c>
    </row>
    <row r="84" spans="13:13" x14ac:dyDescent="0.3">
      <c r="M84" s="12"/>
    </row>
    <row r="85" spans="13:13" x14ac:dyDescent="0.3">
      <c r="M85" s="12"/>
    </row>
    <row r="91" spans="13:13" x14ac:dyDescent="0.3">
      <c r="M91" s="12"/>
    </row>
  </sheetData>
  <mergeCells count="2">
    <mergeCell ref="M79:P79"/>
    <mergeCell ref="M43:P43"/>
  </mergeCells>
  <conditionalFormatting sqref="A1:A40">
    <cfRule type="duplicateValues" dxfId="8" priority="7"/>
  </conditionalFormatting>
  <conditionalFormatting sqref="I1 I41:I1048576">
    <cfRule type="cellIs" dxfId="7" priority="5" operator="equal">
      <formula>"USD"</formula>
    </cfRule>
  </conditionalFormatting>
  <conditionalFormatting sqref="I1">
    <cfRule type="cellIs" dxfId="6" priority="6" operator="equal">
      <formula>"INR"</formula>
    </cfRule>
  </conditionalFormatting>
  <conditionalFormatting sqref="I1:I1048576">
    <cfRule type="cellIs" dxfId="5" priority="1" operator="equal">
      <formula>"USD"</formula>
    </cfRule>
    <cfRule type="cellIs" dxfId="4" priority="2" operator="equal">
      <formula>"USD"</formula>
    </cfRule>
    <cfRule type="cellIs" dxfId="3" priority="3" operator="equal">
      <formula>"USD"</formula>
    </cfRule>
    <cfRule type="cellIs" dxfId="2" priority="4" operator="equal">
      <formula>"INR"</formula>
    </cfRule>
  </conditionalFormatting>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05207-AD4A-4BA5-928C-E78006753CCF}">
  <dimension ref="A1:C68"/>
  <sheetViews>
    <sheetView zoomScale="160" zoomScaleNormal="160" workbookViewId="0">
      <selection activeCell="E12" sqref="E12"/>
    </sheetView>
  </sheetViews>
  <sheetFormatPr defaultRowHeight="14.4" x14ac:dyDescent="0.3"/>
  <cols>
    <col min="2" max="2" width="26.44140625" customWidth="1"/>
    <col min="3" max="3" width="10.88671875" customWidth="1"/>
  </cols>
  <sheetData>
    <row r="1" spans="1:3" x14ac:dyDescent="0.3">
      <c r="A1" s="2" t="s">
        <v>35</v>
      </c>
      <c r="B1" s="2" t="s">
        <v>36</v>
      </c>
      <c r="C1" s="2" t="s">
        <v>37</v>
      </c>
    </row>
    <row r="2" spans="1:3" x14ac:dyDescent="0.3">
      <c r="A2">
        <v>50</v>
      </c>
      <c r="B2" t="s">
        <v>38</v>
      </c>
      <c r="C2">
        <v>1986</v>
      </c>
    </row>
    <row r="3" spans="1:3" x14ac:dyDescent="0.3">
      <c r="A3">
        <v>51</v>
      </c>
      <c r="B3" t="s">
        <v>39</v>
      </c>
      <c r="C3">
        <v>1959</v>
      </c>
    </row>
    <row r="4" spans="1:3" x14ac:dyDescent="0.3">
      <c r="A4">
        <v>52</v>
      </c>
      <c r="B4" t="s">
        <v>40</v>
      </c>
      <c r="C4">
        <v>1976</v>
      </c>
    </row>
    <row r="5" spans="1:3" x14ac:dyDescent="0.3">
      <c r="A5">
        <v>53</v>
      </c>
      <c r="B5" t="s">
        <v>41</v>
      </c>
      <c r="C5">
        <v>1989</v>
      </c>
    </row>
    <row r="6" spans="1:3" x14ac:dyDescent="0.3">
      <c r="A6">
        <v>54</v>
      </c>
      <c r="B6" t="s">
        <v>42</v>
      </c>
      <c r="C6">
        <v>1983</v>
      </c>
    </row>
    <row r="7" spans="1:3" x14ac:dyDescent="0.3">
      <c r="A7">
        <v>55</v>
      </c>
      <c r="B7" t="s">
        <v>43</v>
      </c>
      <c r="C7">
        <v>1981</v>
      </c>
    </row>
    <row r="8" spans="1:3" x14ac:dyDescent="0.3">
      <c r="A8">
        <v>56</v>
      </c>
      <c r="B8" t="s">
        <v>44</v>
      </c>
      <c r="C8">
        <v>1981</v>
      </c>
    </row>
    <row r="9" spans="1:3" x14ac:dyDescent="0.3">
      <c r="A9">
        <v>57</v>
      </c>
      <c r="B9" t="s">
        <v>45</v>
      </c>
      <c r="C9">
        <v>1942</v>
      </c>
    </row>
    <row r="10" spans="1:3" x14ac:dyDescent="0.3">
      <c r="A10">
        <v>58</v>
      </c>
      <c r="B10" t="s">
        <v>46</v>
      </c>
      <c r="C10">
        <v>1948</v>
      </c>
    </row>
    <row r="11" spans="1:3" x14ac:dyDescent="0.3">
      <c r="A11">
        <v>59</v>
      </c>
      <c r="B11" t="s">
        <v>47</v>
      </c>
      <c r="C11">
        <v>1965</v>
      </c>
    </row>
    <row r="12" spans="1:3" x14ac:dyDescent="0.3">
      <c r="A12">
        <v>60</v>
      </c>
      <c r="B12" t="s">
        <v>48</v>
      </c>
      <c r="C12">
        <v>1974</v>
      </c>
    </row>
    <row r="13" spans="1:3" x14ac:dyDescent="0.3">
      <c r="A13">
        <v>61</v>
      </c>
      <c r="B13" t="s">
        <v>49</v>
      </c>
      <c r="C13">
        <v>1965</v>
      </c>
    </row>
    <row r="14" spans="1:3" x14ac:dyDescent="0.3">
      <c r="A14">
        <v>62</v>
      </c>
      <c r="B14" t="s">
        <v>50</v>
      </c>
      <c r="C14">
        <v>1970</v>
      </c>
    </row>
    <row r="15" spans="1:3" x14ac:dyDescent="0.3">
      <c r="A15">
        <v>63</v>
      </c>
      <c r="B15" t="s">
        <v>51</v>
      </c>
      <c r="C15">
        <v>1979</v>
      </c>
    </row>
    <row r="16" spans="1:3" x14ac:dyDescent="0.3">
      <c r="A16">
        <v>64</v>
      </c>
      <c r="B16" t="s">
        <v>52</v>
      </c>
      <c r="C16">
        <v>1974</v>
      </c>
    </row>
    <row r="17" spans="1:3" x14ac:dyDescent="0.3">
      <c r="A17">
        <v>65</v>
      </c>
      <c r="B17" t="s">
        <v>53</v>
      </c>
      <c r="C17">
        <v>1985</v>
      </c>
    </row>
    <row r="18" spans="1:3" x14ac:dyDescent="0.3">
      <c r="A18">
        <v>66</v>
      </c>
      <c r="B18" t="s">
        <v>54</v>
      </c>
      <c r="C18">
        <v>1986</v>
      </c>
    </row>
    <row r="19" spans="1:3" x14ac:dyDescent="0.3">
      <c r="A19">
        <v>67</v>
      </c>
      <c r="B19" t="s">
        <v>55</v>
      </c>
      <c r="C19">
        <v>1958</v>
      </c>
    </row>
    <row r="20" spans="1:3" x14ac:dyDescent="0.3">
      <c r="A20">
        <v>68</v>
      </c>
      <c r="B20" t="s">
        <v>56</v>
      </c>
      <c r="C20">
        <v>1937</v>
      </c>
    </row>
    <row r="21" spans="1:3" x14ac:dyDescent="0.3">
      <c r="A21">
        <v>69</v>
      </c>
      <c r="B21" t="s">
        <v>57</v>
      </c>
      <c r="C21">
        <v>1974</v>
      </c>
    </row>
    <row r="22" spans="1:3" x14ac:dyDescent="0.3">
      <c r="A22">
        <v>70</v>
      </c>
      <c r="B22" t="s">
        <v>58</v>
      </c>
      <c r="C22">
        <v>1959</v>
      </c>
    </row>
    <row r="23" spans="1:3" x14ac:dyDescent="0.3">
      <c r="A23">
        <v>71</v>
      </c>
      <c r="B23" t="s">
        <v>59</v>
      </c>
      <c r="C23">
        <v>1969</v>
      </c>
    </row>
    <row r="24" spans="1:3" x14ac:dyDescent="0.3">
      <c r="A24">
        <v>72</v>
      </c>
      <c r="B24" t="s">
        <v>60</v>
      </c>
      <c r="C24">
        <v>1982</v>
      </c>
    </row>
    <row r="25" spans="1:3" x14ac:dyDescent="0.3">
      <c r="A25">
        <v>73</v>
      </c>
      <c r="B25" t="s">
        <v>61</v>
      </c>
      <c r="C25">
        <v>1984</v>
      </c>
    </row>
    <row r="26" spans="1:3" x14ac:dyDescent="0.3">
      <c r="A26">
        <v>74</v>
      </c>
      <c r="B26" t="s">
        <v>62</v>
      </c>
      <c r="C26">
        <v>1986</v>
      </c>
    </row>
    <row r="27" spans="1:3" x14ac:dyDescent="0.3">
      <c r="A27">
        <v>75</v>
      </c>
      <c r="B27" t="s">
        <v>63</v>
      </c>
      <c r="C27">
        <v>1968</v>
      </c>
    </row>
    <row r="28" spans="1:3" x14ac:dyDescent="0.3">
      <c r="A28">
        <v>76</v>
      </c>
      <c r="B28" t="s">
        <v>64</v>
      </c>
      <c r="C28">
        <v>1972</v>
      </c>
    </row>
    <row r="29" spans="1:3" x14ac:dyDescent="0.3">
      <c r="A29">
        <v>77</v>
      </c>
      <c r="B29" t="s">
        <v>65</v>
      </c>
      <c r="C29">
        <v>1964</v>
      </c>
    </row>
    <row r="30" spans="1:3" x14ac:dyDescent="0.3">
      <c r="A30">
        <v>78</v>
      </c>
      <c r="B30" t="s">
        <v>66</v>
      </c>
      <c r="C30">
        <v>1974</v>
      </c>
    </row>
    <row r="31" spans="1:3" x14ac:dyDescent="0.3">
      <c r="A31">
        <v>79</v>
      </c>
      <c r="B31" t="s">
        <v>67</v>
      </c>
      <c r="C31">
        <v>1975</v>
      </c>
    </row>
    <row r="32" spans="1:3" x14ac:dyDescent="0.3">
      <c r="A32">
        <v>80</v>
      </c>
      <c r="B32" t="s">
        <v>68</v>
      </c>
      <c r="C32">
        <v>1908</v>
      </c>
    </row>
    <row r="33" spans="1:3" x14ac:dyDescent="0.3">
      <c r="A33">
        <v>81</v>
      </c>
      <c r="B33" t="s">
        <v>69</v>
      </c>
      <c r="C33">
        <v>1921</v>
      </c>
    </row>
    <row r="34" spans="1:3" x14ac:dyDescent="0.3">
      <c r="A34">
        <v>82</v>
      </c>
      <c r="B34" t="s">
        <v>70</v>
      </c>
      <c r="C34">
        <v>1976</v>
      </c>
    </row>
    <row r="35" spans="1:3" x14ac:dyDescent="0.3">
      <c r="A35">
        <v>83</v>
      </c>
      <c r="B35" t="s">
        <v>71</v>
      </c>
      <c r="C35">
        <v>1978</v>
      </c>
    </row>
    <row r="36" spans="1:3" x14ac:dyDescent="0.3">
      <c r="A36">
        <v>84</v>
      </c>
      <c r="B36" t="s">
        <v>72</v>
      </c>
      <c r="C36">
        <v>1924</v>
      </c>
    </row>
    <row r="37" spans="1:3" x14ac:dyDescent="0.3">
      <c r="A37">
        <v>85</v>
      </c>
      <c r="B37" t="s">
        <v>73</v>
      </c>
      <c r="C37">
        <v>1940</v>
      </c>
    </row>
    <row r="38" spans="1:3" x14ac:dyDescent="0.3">
      <c r="A38">
        <v>86</v>
      </c>
      <c r="B38" t="s">
        <v>74</v>
      </c>
      <c r="C38">
        <v>1974</v>
      </c>
    </row>
    <row r="39" spans="1:3" x14ac:dyDescent="0.3">
      <c r="A39">
        <v>87</v>
      </c>
      <c r="B39" t="s">
        <v>75</v>
      </c>
      <c r="C39">
        <v>1979</v>
      </c>
    </row>
    <row r="40" spans="1:3" x14ac:dyDescent="0.3">
      <c r="A40">
        <v>88</v>
      </c>
      <c r="B40" t="s">
        <v>76</v>
      </c>
      <c r="C40">
        <v>1952</v>
      </c>
    </row>
    <row r="41" spans="1:3" x14ac:dyDescent="0.3">
      <c r="A41">
        <v>89</v>
      </c>
      <c r="B41" t="s">
        <v>77</v>
      </c>
      <c r="C41">
        <v>1943</v>
      </c>
    </row>
    <row r="42" spans="1:3" x14ac:dyDescent="0.3">
      <c r="A42">
        <v>90</v>
      </c>
      <c r="B42" t="s">
        <v>78</v>
      </c>
      <c r="C42">
        <v>1947</v>
      </c>
    </row>
    <row r="43" spans="1:3" x14ac:dyDescent="0.3">
      <c r="A43">
        <v>91</v>
      </c>
      <c r="B43" t="s">
        <v>79</v>
      </c>
      <c r="C43">
        <v>1967</v>
      </c>
    </row>
    <row r="44" spans="1:3" x14ac:dyDescent="0.3">
      <c r="A44">
        <v>92</v>
      </c>
      <c r="B44" t="s">
        <v>80</v>
      </c>
      <c r="C44">
        <v>1967</v>
      </c>
    </row>
    <row r="45" spans="1:3" x14ac:dyDescent="0.3">
      <c r="A45">
        <v>93</v>
      </c>
      <c r="B45" t="s">
        <v>81</v>
      </c>
      <c r="C45">
        <v>1975</v>
      </c>
    </row>
    <row r="46" spans="1:3" x14ac:dyDescent="0.3">
      <c r="A46">
        <v>94</v>
      </c>
      <c r="B46" t="s">
        <v>82</v>
      </c>
      <c r="C46">
        <v>1965</v>
      </c>
    </row>
    <row r="47" spans="1:3" x14ac:dyDescent="0.3">
      <c r="A47">
        <v>95</v>
      </c>
      <c r="B47" t="s">
        <v>83</v>
      </c>
      <c r="C47">
        <v>1981</v>
      </c>
    </row>
    <row r="48" spans="1:3" x14ac:dyDescent="0.3">
      <c r="A48">
        <v>150</v>
      </c>
      <c r="B48" t="s">
        <v>84</v>
      </c>
      <c r="C48">
        <v>1905</v>
      </c>
    </row>
    <row r="49" spans="1:3" x14ac:dyDescent="0.3">
      <c r="A49">
        <v>151</v>
      </c>
      <c r="B49" t="s">
        <v>85</v>
      </c>
      <c r="C49">
        <v>1919</v>
      </c>
    </row>
    <row r="50" spans="1:3" x14ac:dyDescent="0.3">
      <c r="A50">
        <v>152</v>
      </c>
      <c r="B50" t="s">
        <v>86</v>
      </c>
      <c r="C50">
        <v>1997</v>
      </c>
    </row>
    <row r="51" spans="1:3" x14ac:dyDescent="0.3">
      <c r="A51">
        <v>153</v>
      </c>
      <c r="B51" t="s">
        <v>87</v>
      </c>
      <c r="C51">
        <v>1929</v>
      </c>
    </row>
    <row r="52" spans="1:3" x14ac:dyDescent="0.3">
      <c r="A52">
        <v>154</v>
      </c>
      <c r="B52" t="s">
        <v>88</v>
      </c>
      <c r="C52">
        <v>1988</v>
      </c>
    </row>
    <row r="53" spans="1:3" x14ac:dyDescent="0.3">
      <c r="A53">
        <v>155</v>
      </c>
      <c r="B53" t="s">
        <v>89</v>
      </c>
      <c r="C53">
        <v>1982</v>
      </c>
    </row>
    <row r="54" spans="1:3" x14ac:dyDescent="0.3">
      <c r="A54">
        <v>156</v>
      </c>
      <c r="B54" t="s">
        <v>90</v>
      </c>
      <c r="C54">
        <v>1982</v>
      </c>
    </row>
    <row r="55" spans="1:3" x14ac:dyDescent="0.3">
      <c r="A55">
        <v>157</v>
      </c>
      <c r="B55" t="s">
        <v>91</v>
      </c>
      <c r="C55">
        <v>1982</v>
      </c>
    </row>
    <row r="56" spans="1:3" x14ac:dyDescent="0.3">
      <c r="A56">
        <v>158</v>
      </c>
      <c r="B56" t="s">
        <v>92</v>
      </c>
      <c r="C56">
        <v>1983</v>
      </c>
    </row>
    <row r="57" spans="1:3" x14ac:dyDescent="0.3">
      <c r="A57">
        <v>159</v>
      </c>
      <c r="B57" t="s">
        <v>93</v>
      </c>
      <c r="C57">
        <v>1985</v>
      </c>
    </row>
    <row r="58" spans="1:3" x14ac:dyDescent="0.3">
      <c r="A58">
        <v>160</v>
      </c>
      <c r="B58" t="s">
        <v>94</v>
      </c>
      <c r="C58">
        <v>1979</v>
      </c>
    </row>
    <row r="59" spans="1:3" x14ac:dyDescent="0.3">
      <c r="A59">
        <v>161</v>
      </c>
      <c r="B59" t="s">
        <v>95</v>
      </c>
      <c r="C59">
        <v>1984</v>
      </c>
    </row>
    <row r="60" spans="1:3" x14ac:dyDescent="0.3">
      <c r="A60">
        <v>162</v>
      </c>
      <c r="B60" t="s">
        <v>96</v>
      </c>
      <c r="C60">
        <v>1950</v>
      </c>
    </row>
    <row r="61" spans="1:3" x14ac:dyDescent="0.3">
      <c r="A61">
        <v>163</v>
      </c>
      <c r="B61" t="s">
        <v>97</v>
      </c>
      <c r="C61">
        <v>1955</v>
      </c>
    </row>
    <row r="62" spans="1:3" x14ac:dyDescent="0.3">
      <c r="A62">
        <v>164</v>
      </c>
      <c r="B62" t="s">
        <v>98</v>
      </c>
      <c r="C62">
        <v>1965</v>
      </c>
    </row>
    <row r="63" spans="1:3" x14ac:dyDescent="0.3">
      <c r="A63">
        <v>165</v>
      </c>
      <c r="B63" t="s">
        <v>99</v>
      </c>
      <c r="C63">
        <v>1967</v>
      </c>
    </row>
    <row r="64" spans="1:3" x14ac:dyDescent="0.3">
      <c r="A64">
        <v>166</v>
      </c>
      <c r="B64" t="s">
        <v>100</v>
      </c>
      <c r="C64">
        <v>1946</v>
      </c>
    </row>
    <row r="65" spans="1:3" x14ac:dyDescent="0.3">
      <c r="A65">
        <v>167</v>
      </c>
      <c r="B65" t="s">
        <v>101</v>
      </c>
      <c r="C65">
        <v>1982</v>
      </c>
    </row>
    <row r="66" spans="1:3" x14ac:dyDescent="0.3">
      <c r="A66">
        <v>168</v>
      </c>
      <c r="B66" t="s">
        <v>102</v>
      </c>
      <c r="C66">
        <v>1956</v>
      </c>
    </row>
    <row r="67" spans="1:3" x14ac:dyDescent="0.3">
      <c r="A67">
        <v>169</v>
      </c>
      <c r="B67" t="s">
        <v>103</v>
      </c>
      <c r="C67">
        <v>1985</v>
      </c>
    </row>
    <row r="68" spans="1:3" x14ac:dyDescent="0.3">
      <c r="A68">
        <v>170</v>
      </c>
      <c r="B68" t="s">
        <v>104</v>
      </c>
      <c r="C68">
        <v>1991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4198A-62F1-4E9F-BAAF-51ECD88A5312}">
  <dimension ref="A1:AG13"/>
  <sheetViews>
    <sheetView topLeftCell="C1" workbookViewId="0">
      <selection activeCell="B14" sqref="B14"/>
    </sheetView>
  </sheetViews>
  <sheetFormatPr defaultRowHeight="14.4" x14ac:dyDescent="0.3"/>
  <cols>
    <col min="1" max="1" width="24.44140625" bestFit="1" customWidth="1"/>
    <col min="2" max="2" width="39.77734375" bestFit="1" customWidth="1"/>
    <col min="3" max="3" width="74.33203125" bestFit="1" customWidth="1"/>
    <col min="4" max="4" width="26.44140625" bestFit="1" customWidth="1"/>
    <col min="5" max="5" width="20.109375" bestFit="1" customWidth="1"/>
    <col min="6" max="6" width="24.88671875" bestFit="1" customWidth="1"/>
    <col min="7" max="7" width="56.33203125" customWidth="1"/>
    <col min="8" max="8" width="8.88671875" customWidth="1"/>
  </cols>
  <sheetData>
    <row r="1" spans="1:33" ht="18" thickBot="1" x14ac:dyDescent="0.5">
      <c r="A1" s="68" t="s">
        <v>259</v>
      </c>
      <c r="B1" s="119" t="s">
        <v>266</v>
      </c>
      <c r="D1" s="50" t="s">
        <v>272</v>
      </c>
      <c r="E1" s="50" t="s">
        <v>273</v>
      </c>
      <c r="F1" s="50" t="s">
        <v>277</v>
      </c>
    </row>
    <row r="2" spans="1:33" x14ac:dyDescent="0.3">
      <c r="A2" s="120" t="s">
        <v>165</v>
      </c>
      <c r="B2" s="121">
        <f>SUMIF(moviesKPIS[studio],"Marvel Studios",moviesKPIS[Revenue (USD,millions)])</f>
        <v>9054.6</v>
      </c>
      <c r="D2" s="48">
        <v>8000</v>
      </c>
      <c r="E2" s="44">
        <f>B2-D2</f>
        <v>1054.6000000000004</v>
      </c>
      <c r="F2" s="37">
        <f>E2/D2</f>
        <v>0.13182500000000005</v>
      </c>
    </row>
    <row r="3" spans="1:33" ht="43.8" thickBot="1" x14ac:dyDescent="0.35">
      <c r="A3" s="120" t="s">
        <v>164</v>
      </c>
      <c r="B3" s="121">
        <f>SUMIF(moviesKPIS[studio],"Marvel Studios",moviesKPIS[Budget (USD,millions)])</f>
        <v>1988.7</v>
      </c>
      <c r="D3" s="48">
        <v>2000</v>
      </c>
      <c r="E3" s="44">
        <f>B3-D3</f>
        <v>-11.299999999999955</v>
      </c>
      <c r="F3" s="37">
        <f t="shared" ref="F3:F11" si="0">E3/D3</f>
        <v>-5.6499999999999771E-3</v>
      </c>
      <c r="G3" s="43" t="s">
        <v>274</v>
      </c>
    </row>
    <row r="4" spans="1:33" ht="16.8" thickBot="1" x14ac:dyDescent="0.45">
      <c r="A4" s="120" t="s">
        <v>260</v>
      </c>
      <c r="B4" s="121">
        <f>B2-B3</f>
        <v>7065.9000000000005</v>
      </c>
      <c r="C4" s="45" t="s">
        <v>261</v>
      </c>
      <c r="D4" s="48">
        <v>6000</v>
      </c>
      <c r="E4" s="44">
        <f>B4-D4</f>
        <v>1065.9000000000005</v>
      </c>
      <c r="F4" s="37">
        <f t="shared" si="0"/>
        <v>0.17765000000000009</v>
      </c>
    </row>
    <row r="5" spans="1:33" ht="30" x14ac:dyDescent="0.4">
      <c r="A5" s="120" t="s">
        <v>271</v>
      </c>
      <c r="B5" s="122">
        <f>B4/B3</f>
        <v>3.5530245889274403</v>
      </c>
      <c r="C5" s="45" t="s">
        <v>262</v>
      </c>
      <c r="D5" s="38">
        <f>D4/D3</f>
        <v>3</v>
      </c>
      <c r="E5" s="37">
        <f>B5-D5</f>
        <v>0.55302458892744033</v>
      </c>
      <c r="F5" s="37">
        <f t="shared" si="0"/>
        <v>0.1843415296424801</v>
      </c>
      <c r="G5" s="43" t="s">
        <v>276</v>
      </c>
    </row>
    <row r="6" spans="1:33" x14ac:dyDescent="0.3">
      <c r="A6" s="123" t="s">
        <v>263</v>
      </c>
      <c r="B6" s="124"/>
      <c r="E6" s="30"/>
      <c r="F6" s="37"/>
    </row>
    <row r="7" spans="1:33" x14ac:dyDescent="0.3">
      <c r="A7" s="125" t="s">
        <v>264</v>
      </c>
      <c r="B7" s="126">
        <f>SUM(moviesKPIS[Revenue (USD,millions)])</f>
        <v>19589.262500000001</v>
      </c>
      <c r="E7" s="30"/>
      <c r="F7" s="37"/>
      <c r="K7" s="39"/>
      <c r="AG7" t="s">
        <v>275</v>
      </c>
    </row>
    <row r="8" spans="1:33" x14ac:dyDescent="0.3">
      <c r="A8" s="127" t="s">
        <v>265</v>
      </c>
      <c r="B8" s="128">
        <f>SUMIF(moviesKPIS[industry],"Hollywood",moviesKPIS[Revenue (USD,millions)])</f>
        <v>18577.900000000001</v>
      </c>
      <c r="E8" s="30"/>
      <c r="F8" s="37"/>
    </row>
    <row r="9" spans="1:33" ht="15" thickBot="1" x14ac:dyDescent="0.35">
      <c r="A9" s="123" t="s">
        <v>270</v>
      </c>
      <c r="B9" s="124"/>
      <c r="E9" s="30"/>
      <c r="F9" s="37"/>
    </row>
    <row r="10" spans="1:33" ht="16.8" thickBot="1" x14ac:dyDescent="0.45">
      <c r="A10" s="125" t="s">
        <v>264</v>
      </c>
      <c r="B10" s="129">
        <f>B2/B7</f>
        <v>0.46222260792104858</v>
      </c>
      <c r="C10" s="45" t="s">
        <v>267</v>
      </c>
      <c r="D10" s="38">
        <v>0.5</v>
      </c>
      <c r="E10" s="37">
        <f>B10-D10</f>
        <v>-3.7777392078951422E-2</v>
      </c>
      <c r="F10" s="37">
        <f t="shared" si="0"/>
        <v>-7.5554784157902843E-2</v>
      </c>
    </row>
    <row r="11" spans="1:33" ht="16.2" x14ac:dyDescent="0.4">
      <c r="A11" s="127" t="s">
        <v>265</v>
      </c>
      <c r="B11" s="130">
        <f>B2/B8</f>
        <v>0.48738554949698293</v>
      </c>
      <c r="C11" s="45" t="s">
        <v>268</v>
      </c>
      <c r="D11" s="38">
        <v>0.55000000000000004</v>
      </c>
      <c r="E11" s="37">
        <f>B11-D11</f>
        <v>-6.2614450503017116E-2</v>
      </c>
      <c r="F11" s="37">
        <f t="shared" si="0"/>
        <v>-0.11384445546003111</v>
      </c>
    </row>
    <row r="13" spans="1:33" ht="28.8" x14ac:dyDescent="0.3">
      <c r="C13" s="43" t="s">
        <v>269</v>
      </c>
    </row>
  </sheetData>
  <conditionalFormatting sqref="E2:F11">
    <cfRule type="cellIs" dxfId="1" priority="1" operator="lessThan">
      <formula>0</formula>
    </cfRule>
    <cfRule type="cellIs" dxfId="0" priority="2" operator="greaterThan">
      <formula>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5DBD4-41C6-4283-8CE9-4C7892B9170C}">
  <dimension ref="A1:AE116"/>
  <sheetViews>
    <sheetView topLeftCell="E34" zoomScale="70" zoomScaleNormal="70" workbookViewId="0">
      <selection activeCell="H52" sqref="H52"/>
    </sheetView>
  </sheetViews>
  <sheetFormatPr defaultRowHeight="14.4" x14ac:dyDescent="0.3"/>
  <cols>
    <col min="1" max="1" width="14.6640625" bestFit="1" customWidth="1"/>
    <col min="2" max="2" width="20.33203125" bestFit="1" customWidth="1"/>
    <col min="4" max="4" width="44.44140625" customWidth="1"/>
    <col min="5" max="5" width="26.88671875" bestFit="1" customWidth="1"/>
    <col min="6" max="6" width="45.21875" bestFit="1" customWidth="1"/>
    <col min="7" max="7" width="81.88671875" bestFit="1" customWidth="1"/>
    <col min="8" max="8" width="30.6640625" bestFit="1" customWidth="1"/>
    <col min="9" max="9" width="30.6640625" customWidth="1"/>
    <col min="10" max="10" width="49.109375" bestFit="1" customWidth="1"/>
    <col min="11" max="11" width="8.44140625" bestFit="1" customWidth="1"/>
    <col min="12" max="12" width="38.33203125" customWidth="1"/>
    <col min="13" max="13" width="26.109375" customWidth="1"/>
    <col min="14" max="14" width="47.5546875" bestFit="1" customWidth="1"/>
    <col min="15" max="15" width="13.6640625" bestFit="1" customWidth="1"/>
    <col min="16" max="16" width="10.6640625" customWidth="1"/>
    <col min="17" max="17" width="10.88671875" customWidth="1"/>
    <col min="18" max="18" width="19.6640625" bestFit="1" customWidth="1"/>
  </cols>
  <sheetData>
    <row r="1" spans="1:31" ht="17.399999999999999" x14ac:dyDescent="0.45">
      <c r="D1" s="145" t="s">
        <v>289</v>
      </c>
      <c r="E1" s="146"/>
      <c r="F1" s="146"/>
      <c r="G1" s="146"/>
      <c r="H1" s="146"/>
      <c r="I1" s="146"/>
      <c r="J1" s="146"/>
      <c r="K1" s="146"/>
      <c r="L1" s="147"/>
    </row>
    <row r="2" spans="1:31" ht="15" thickBot="1" x14ac:dyDescent="0.35"/>
    <row r="3" spans="1:31" ht="18" thickBot="1" x14ac:dyDescent="0.5">
      <c r="A3" s="50" t="s">
        <v>278</v>
      </c>
      <c r="B3" s="50" t="s">
        <v>286</v>
      </c>
      <c r="F3" s="50" t="s">
        <v>278</v>
      </c>
      <c r="G3" s="50" t="s">
        <v>286</v>
      </c>
    </row>
    <row r="4" spans="1:31" x14ac:dyDescent="0.3">
      <c r="A4" s="5" t="s">
        <v>279</v>
      </c>
      <c r="B4" s="55">
        <v>5000</v>
      </c>
      <c r="D4" s="12" t="s">
        <v>287</v>
      </c>
      <c r="F4" s="5" t="s">
        <v>281</v>
      </c>
      <c r="G4" s="55">
        <v>4000</v>
      </c>
      <c r="H4" s="55"/>
      <c r="I4" s="55"/>
      <c r="J4" s="12" t="s">
        <v>310</v>
      </c>
    </row>
    <row r="5" spans="1:31" ht="43.2" x14ac:dyDescent="0.3">
      <c r="A5" s="5" t="s">
        <v>280</v>
      </c>
      <c r="B5" s="55">
        <v>6000</v>
      </c>
      <c r="D5" s="43" t="s">
        <v>291</v>
      </c>
      <c r="F5" s="5" t="s">
        <v>279</v>
      </c>
      <c r="G5" s="55">
        <v>5000</v>
      </c>
      <c r="H5" s="55"/>
      <c r="I5" s="55"/>
    </row>
    <row r="6" spans="1:31" x14ac:dyDescent="0.3">
      <c r="A6" s="5" t="s">
        <v>281</v>
      </c>
      <c r="B6" s="55">
        <v>4000</v>
      </c>
      <c r="F6" s="5" t="s">
        <v>280</v>
      </c>
      <c r="G6" s="55">
        <v>6000</v>
      </c>
      <c r="H6" s="55"/>
      <c r="I6" s="55"/>
    </row>
    <row r="7" spans="1:31" x14ac:dyDescent="0.3">
      <c r="A7" s="5" t="s">
        <v>282</v>
      </c>
      <c r="B7" s="55">
        <v>7500</v>
      </c>
      <c r="F7" s="5" t="s">
        <v>284</v>
      </c>
      <c r="G7" s="55">
        <v>7000</v>
      </c>
      <c r="H7" s="55"/>
      <c r="I7" s="55"/>
    </row>
    <row r="8" spans="1:31" x14ac:dyDescent="0.3">
      <c r="A8" s="5" t="s">
        <v>283</v>
      </c>
      <c r="B8" s="55">
        <v>8000</v>
      </c>
      <c r="F8" s="5" t="s">
        <v>282</v>
      </c>
      <c r="G8" s="55">
        <v>7500</v>
      </c>
      <c r="H8" s="55"/>
      <c r="I8" s="55"/>
    </row>
    <row r="9" spans="1:31" x14ac:dyDescent="0.3">
      <c r="A9" s="5" t="s">
        <v>284</v>
      </c>
      <c r="B9" s="55">
        <v>7000</v>
      </c>
      <c r="F9" s="5" t="s">
        <v>283</v>
      </c>
      <c r="G9" s="55">
        <v>8000</v>
      </c>
      <c r="H9" s="55"/>
      <c r="I9" s="55"/>
    </row>
    <row r="10" spans="1:31" x14ac:dyDescent="0.3">
      <c r="B10" s="56"/>
      <c r="E10" s="12" t="s">
        <v>294</v>
      </c>
      <c r="F10" s="5" t="s">
        <v>288</v>
      </c>
      <c r="G10" s="57">
        <v>10000000</v>
      </c>
      <c r="H10" s="57"/>
      <c r="I10" s="57"/>
      <c r="J10" s="5" t="s">
        <v>290</v>
      </c>
    </row>
    <row r="11" spans="1:31" x14ac:dyDescent="0.3">
      <c r="A11" s="52" t="s">
        <v>285</v>
      </c>
      <c r="B11" s="52">
        <f>AVERAGE(B4:B9)</f>
        <v>6250</v>
      </c>
    </row>
    <row r="12" spans="1:31" x14ac:dyDescent="0.3">
      <c r="F12" s="52" t="s">
        <v>285</v>
      </c>
      <c r="G12" s="54">
        <f>AVERAGE(G4:G10)</f>
        <v>1433928.5714285714</v>
      </c>
      <c r="H12" s="74"/>
      <c r="I12" s="74"/>
      <c r="J12" s="5" t="s">
        <v>295</v>
      </c>
      <c r="AE12" t="s">
        <v>275</v>
      </c>
    </row>
    <row r="13" spans="1:31" ht="16.2" customHeight="1" x14ac:dyDescent="0.3"/>
    <row r="14" spans="1:31" ht="57.6" x14ac:dyDescent="0.3">
      <c r="G14" s="43" t="s">
        <v>293</v>
      </c>
      <c r="H14" s="43"/>
      <c r="I14" s="43"/>
    </row>
    <row r="15" spans="1:31" ht="15" thickBot="1" x14ac:dyDescent="0.35"/>
    <row r="16" spans="1:31" ht="19.8" thickBot="1" x14ac:dyDescent="0.5">
      <c r="F16" s="60" t="s">
        <v>292</v>
      </c>
      <c r="G16" s="5" t="s">
        <v>296</v>
      </c>
      <c r="H16" s="5"/>
      <c r="I16" s="5"/>
      <c r="J16" s="50" t="s">
        <v>278</v>
      </c>
      <c r="K16" s="59" t="str" cm="1">
        <f t="array" ref="K16:Q16">TRANSPOSE($F$4:$F$10)</f>
        <v>Nina</v>
      </c>
      <c r="L16" s="59" t="str">
        <v>Rob</v>
      </c>
      <c r="M16" s="59" t="str">
        <v>Raj</v>
      </c>
      <c r="N16" s="59" t="str">
        <v>Tao</v>
      </c>
      <c r="O16" s="59" t="str">
        <v>Sofia</v>
      </c>
      <c r="P16" s="59" t="str">
        <v>Mohan</v>
      </c>
      <c r="Q16" s="59" t="str">
        <v>Elon Musk</v>
      </c>
    </row>
    <row r="17" spans="5:18" ht="18" thickBot="1" x14ac:dyDescent="0.5">
      <c r="F17" s="5" t="s">
        <v>297</v>
      </c>
      <c r="G17" s="5" t="s">
        <v>301</v>
      </c>
      <c r="H17" s="5"/>
      <c r="I17" s="5"/>
      <c r="J17" s="53" t="s">
        <v>286</v>
      </c>
      <c r="K17" s="5" cm="1">
        <f t="array" ref="K17:Q17">TRANSPOSE($G$4:$G$10)</f>
        <v>4000</v>
      </c>
      <c r="L17" s="5">
        <v>5000</v>
      </c>
      <c r="M17" s="5">
        <v>6000</v>
      </c>
      <c r="N17" s="49">
        <v>7000</v>
      </c>
      <c r="O17" s="5">
        <v>7500</v>
      </c>
      <c r="P17" s="5">
        <v>8000</v>
      </c>
      <c r="Q17" s="5">
        <v>10000000</v>
      </c>
    </row>
    <row r="18" spans="5:18" x14ac:dyDescent="0.3">
      <c r="F18" s="5" t="s">
        <v>298</v>
      </c>
      <c r="G18" s="5" t="s">
        <v>302</v>
      </c>
      <c r="H18" s="5"/>
      <c r="I18" s="5"/>
      <c r="N18" s="5" t="s">
        <v>311</v>
      </c>
    </row>
    <row r="19" spans="5:18" x14ac:dyDescent="0.3">
      <c r="F19" s="5" t="s">
        <v>299</v>
      </c>
      <c r="G19" s="5" t="s">
        <v>303</v>
      </c>
      <c r="H19" s="5"/>
      <c r="I19" s="5"/>
      <c r="N19" s="52" t="s">
        <v>312</v>
      </c>
    </row>
    <row r="20" spans="5:18" ht="41.4" customHeight="1" x14ac:dyDescent="0.3">
      <c r="F20" s="5" t="s">
        <v>300</v>
      </c>
      <c r="G20" s="47" t="s">
        <v>309</v>
      </c>
      <c r="H20" s="47"/>
      <c r="I20" s="47"/>
      <c r="N20" s="47" t="s">
        <v>313</v>
      </c>
    </row>
    <row r="21" spans="5:18" x14ac:dyDescent="0.3">
      <c r="F21" s="5"/>
      <c r="G21" s="5"/>
      <c r="H21" s="5"/>
      <c r="I21" s="5"/>
    </row>
    <row r="22" spans="5:18" ht="29.4" x14ac:dyDescent="0.35">
      <c r="G22" s="60" t="s">
        <v>304</v>
      </c>
      <c r="H22" s="75"/>
      <c r="I22" s="75"/>
      <c r="N22" s="43" t="s">
        <v>291</v>
      </c>
    </row>
    <row r="23" spans="5:18" x14ac:dyDescent="0.3">
      <c r="F23" s="46" t="s">
        <v>307</v>
      </c>
      <c r="G23" s="58" t="s">
        <v>305</v>
      </c>
      <c r="H23" s="58"/>
      <c r="I23" s="58"/>
    </row>
    <row r="24" spans="5:18" x14ac:dyDescent="0.3">
      <c r="E24" s="5"/>
      <c r="F24" s="46" t="s">
        <v>308</v>
      </c>
      <c r="G24" s="58" t="s">
        <v>306</v>
      </c>
      <c r="H24" s="58"/>
      <c r="I24" s="58"/>
      <c r="L24" s="148" t="s">
        <v>315</v>
      </c>
      <c r="M24" s="148"/>
      <c r="N24" s="148"/>
      <c r="O24" s="148"/>
    </row>
    <row r="25" spans="5:18" ht="15" thickBot="1" x14ac:dyDescent="0.35"/>
    <row r="26" spans="5:18" ht="18" thickBot="1" x14ac:dyDescent="0.5">
      <c r="J26" s="50" t="s">
        <v>278</v>
      </c>
      <c r="K26" s="59" t="str" cm="1">
        <f t="array" ref="K26:Q26">TRANSPOSE($F$4:$F$10)</f>
        <v>Nina</v>
      </c>
      <c r="L26" s="59" t="str">
        <v>Rob</v>
      </c>
      <c r="M26" s="59" t="str">
        <v>Raj</v>
      </c>
      <c r="N26" s="59" t="str">
        <v>Tao</v>
      </c>
      <c r="O26" s="59" t="str">
        <v>Sofia</v>
      </c>
      <c r="P26" s="59" t="str">
        <v>Mohan</v>
      </c>
      <c r="Q26" s="59" t="str">
        <v>Elon Musk</v>
      </c>
      <c r="R26" s="59" t="s">
        <v>314</v>
      </c>
    </row>
    <row r="27" spans="5:18" ht="18" thickBot="1" x14ac:dyDescent="0.5">
      <c r="G27" s="5"/>
      <c r="H27" s="5"/>
      <c r="I27" s="5"/>
      <c r="J27" s="53" t="s">
        <v>286</v>
      </c>
      <c r="K27" s="61" cm="1">
        <f t="array" ref="K27:Q27">TRANSPOSE($G$4:$G$10)</f>
        <v>4000</v>
      </c>
      <c r="L27" s="61">
        <v>5000</v>
      </c>
      <c r="M27" s="61">
        <v>6000</v>
      </c>
      <c r="N27" s="49">
        <v>7000</v>
      </c>
      <c r="O27" s="62">
        <v>7500</v>
      </c>
      <c r="P27" s="61">
        <v>8000</v>
      </c>
      <c r="Q27" s="61">
        <v>10000000</v>
      </c>
      <c r="R27" s="61">
        <v>8000</v>
      </c>
    </row>
    <row r="28" spans="5:18" x14ac:dyDescent="0.3">
      <c r="N28" s="5" t="s">
        <v>317</v>
      </c>
    </row>
    <row r="29" spans="5:18" x14ac:dyDescent="0.3">
      <c r="N29" s="5" t="s">
        <v>318</v>
      </c>
    </row>
    <row r="30" spans="5:18" x14ac:dyDescent="0.3">
      <c r="N30" s="63" t="s">
        <v>316</v>
      </c>
    </row>
    <row r="32" spans="5:18" x14ac:dyDescent="0.3">
      <c r="M32" s="52" t="s">
        <v>319</v>
      </c>
      <c r="N32" s="64">
        <f>(N27+O27)/2</f>
        <v>7250</v>
      </c>
    </row>
    <row r="35" spans="6:18" s="65" customFormat="1" ht="6" customHeight="1" x14ac:dyDescent="0.3"/>
    <row r="37" spans="6:18" ht="18" x14ac:dyDescent="0.35">
      <c r="F37" s="149" t="s">
        <v>320</v>
      </c>
      <c r="G37" s="149"/>
      <c r="H37" s="149"/>
      <c r="I37" s="149"/>
      <c r="J37" s="149"/>
      <c r="K37" s="149"/>
      <c r="L37" s="149"/>
      <c r="M37" s="149"/>
      <c r="N37" s="149"/>
      <c r="O37" s="149"/>
      <c r="P37" s="150"/>
      <c r="R37" s="89"/>
    </row>
    <row r="38" spans="6:18" x14ac:dyDescent="0.3">
      <c r="F38" s="5" t="s">
        <v>337</v>
      </c>
      <c r="G38" s="5" t="s">
        <v>339</v>
      </c>
      <c r="H38" s="5"/>
      <c r="I38" s="5"/>
      <c r="R38" s="102"/>
    </row>
    <row r="39" spans="6:18" ht="15" thickBot="1" x14ac:dyDescent="0.35"/>
    <row r="40" spans="6:18" ht="19.8" thickBot="1" x14ac:dyDescent="0.5">
      <c r="J40" s="68" t="s">
        <v>404</v>
      </c>
      <c r="N40" s="103" t="s">
        <v>408</v>
      </c>
    </row>
    <row r="41" spans="6:18" ht="22.2" thickBot="1" x14ac:dyDescent="0.5">
      <c r="F41" s="50" t="s">
        <v>278</v>
      </c>
      <c r="G41" s="50" t="s">
        <v>321</v>
      </c>
      <c r="J41" s="69" t="s">
        <v>340</v>
      </c>
      <c r="K41" s="70">
        <f>AVERAGE(Movies[imdb_rating])</f>
        <v>7.9473684210526319</v>
      </c>
      <c r="M41" s="90"/>
      <c r="N41" s="104" t="s">
        <v>410</v>
      </c>
      <c r="O41" s="105">
        <f>_xlfn.VAR.P(Movies[imdb_rating])</f>
        <v>1.3577562326869845</v>
      </c>
      <c r="P41" s="93" t="s">
        <v>411</v>
      </c>
      <c r="Q41" s="93"/>
    </row>
    <row r="42" spans="6:18" ht="21.6" thickBot="1" x14ac:dyDescent="0.45">
      <c r="F42" s="66" t="s">
        <v>322</v>
      </c>
      <c r="G42" s="66" t="s">
        <v>331</v>
      </c>
      <c r="J42" s="69" t="s">
        <v>292</v>
      </c>
      <c r="K42" s="69">
        <f>MEDIAN(Movies[imdb_rating])</f>
        <v>8.1</v>
      </c>
      <c r="N42" s="104" t="s">
        <v>386</v>
      </c>
      <c r="O42" s="105">
        <f>_xlfn.STDEV.P(Movies[imdb_rating])</f>
        <v>1.1652279745556164</v>
      </c>
      <c r="P42" s="93" t="s">
        <v>412</v>
      </c>
    </row>
    <row r="43" spans="6:18" ht="18.600000000000001" thickTop="1" thickBot="1" x14ac:dyDescent="0.4">
      <c r="F43" s="66" t="s">
        <v>314</v>
      </c>
      <c r="G43" s="66" t="s">
        <v>332</v>
      </c>
      <c r="J43" s="69" t="s">
        <v>320</v>
      </c>
      <c r="K43" s="69">
        <f>MODE(Movies[imdb_rating])</f>
        <v>8.4</v>
      </c>
    </row>
    <row r="44" spans="6:18" ht="22.2" thickTop="1" thickBot="1" x14ac:dyDescent="0.45">
      <c r="F44" s="66" t="s">
        <v>323</v>
      </c>
      <c r="G44" s="66" t="s">
        <v>331</v>
      </c>
      <c r="J44" s="100" t="s">
        <v>350</v>
      </c>
      <c r="K44" s="101"/>
      <c r="N44" s="106" t="s">
        <v>413</v>
      </c>
      <c r="O44" s="105">
        <f>SQRT(O41)</f>
        <v>1.1652279745556164</v>
      </c>
    </row>
    <row r="45" spans="6:18" ht="18.600000000000001" thickTop="1" thickBot="1" x14ac:dyDescent="0.4">
      <c r="F45" s="66" t="s">
        <v>324</v>
      </c>
      <c r="G45" s="66" t="s">
        <v>330</v>
      </c>
      <c r="J45" s="100" t="s">
        <v>386</v>
      </c>
      <c r="K45" s="101"/>
    </row>
    <row r="46" spans="6:18" ht="18.600000000000001" thickTop="1" thickBot="1" x14ac:dyDescent="0.4">
      <c r="F46" s="66" t="s">
        <v>325</v>
      </c>
      <c r="G46" s="66" t="s">
        <v>329</v>
      </c>
    </row>
    <row r="47" spans="6:18" ht="18.600000000000001" thickTop="1" thickBot="1" x14ac:dyDescent="0.4">
      <c r="F47" s="66" t="s">
        <v>326</v>
      </c>
      <c r="G47" s="66" t="s">
        <v>328</v>
      </c>
      <c r="J47" s="63" t="s">
        <v>341</v>
      </c>
      <c r="K47" s="69">
        <f>MODE(Movies[imdb_rating])</f>
        <v>8.4</v>
      </c>
    </row>
    <row r="48" spans="6:18" ht="18.600000000000001" thickTop="1" thickBot="1" x14ac:dyDescent="0.4">
      <c r="F48" s="66" t="s">
        <v>327</v>
      </c>
      <c r="G48" s="66" t="s">
        <v>328</v>
      </c>
      <c r="J48" s="63" t="s">
        <v>342</v>
      </c>
      <c r="K48" s="69">
        <f>MEDIAN(Movies[imdb_rating])</f>
        <v>8.1</v>
      </c>
    </row>
    <row r="49" spans="6:14" ht="18.600000000000001" thickTop="1" thickBot="1" x14ac:dyDescent="0.4">
      <c r="F49" s="66" t="s">
        <v>334</v>
      </c>
      <c r="G49" s="66" t="s">
        <v>333</v>
      </c>
      <c r="J49" s="63" t="s">
        <v>343</v>
      </c>
      <c r="K49" s="70">
        <f>AVERAGE(Movies[imdb_rating])</f>
        <v>7.9473684210526319</v>
      </c>
    </row>
    <row r="50" spans="6:14" ht="18.600000000000001" thickTop="1" thickBot="1" x14ac:dyDescent="0.4">
      <c r="F50" s="66" t="s">
        <v>335</v>
      </c>
      <c r="G50" s="66" t="s">
        <v>332</v>
      </c>
      <c r="J50" s="63" t="s">
        <v>344</v>
      </c>
    </row>
    <row r="51" spans="6:14" ht="18.600000000000001" thickTop="1" thickBot="1" x14ac:dyDescent="0.4">
      <c r="F51" s="66" t="s">
        <v>336</v>
      </c>
      <c r="G51" s="66" t="s">
        <v>328</v>
      </c>
      <c r="N51" s="107"/>
    </row>
    <row r="52" spans="6:14" ht="15" thickTop="1" x14ac:dyDescent="0.3"/>
    <row r="53" spans="6:14" ht="17.399999999999999" x14ac:dyDescent="0.35">
      <c r="G53" s="67" t="s">
        <v>338</v>
      </c>
      <c r="H53" s="67"/>
      <c r="I53" s="67"/>
    </row>
    <row r="54" spans="6:14" ht="17.399999999999999" x14ac:dyDescent="0.35">
      <c r="G54" s="67" t="s">
        <v>475</v>
      </c>
    </row>
    <row r="57" spans="6:14" ht="18.600000000000001" x14ac:dyDescent="0.45">
      <c r="F57" s="142" t="s">
        <v>223</v>
      </c>
      <c r="G57" s="143"/>
      <c r="H57" s="143"/>
      <c r="I57" s="143"/>
      <c r="J57" s="143"/>
      <c r="K57" s="143"/>
      <c r="L57" s="143"/>
      <c r="M57" s="143"/>
      <c r="N57" s="143"/>
    </row>
    <row r="58" spans="6:14" ht="15.6" x14ac:dyDescent="0.3">
      <c r="F58" s="15"/>
      <c r="G58" s="71" t="s">
        <v>345</v>
      </c>
      <c r="H58" s="71"/>
      <c r="I58" s="71"/>
    </row>
    <row r="59" spans="6:14" ht="15.6" x14ac:dyDescent="0.3">
      <c r="F59" s="15"/>
      <c r="G59" s="71" t="s">
        <v>346</v>
      </c>
      <c r="H59" s="71"/>
      <c r="I59" s="71"/>
    </row>
    <row r="60" spans="6:14" ht="15.6" x14ac:dyDescent="0.3">
      <c r="F60" s="51" t="s">
        <v>307</v>
      </c>
      <c r="G60" s="72" t="s">
        <v>348</v>
      </c>
      <c r="H60" s="72"/>
      <c r="I60" s="72"/>
    </row>
    <row r="61" spans="6:14" ht="15.6" x14ac:dyDescent="0.3">
      <c r="F61" s="51" t="s">
        <v>308</v>
      </c>
      <c r="G61" s="72" t="s">
        <v>349</v>
      </c>
      <c r="H61" s="72"/>
      <c r="I61" s="72"/>
    </row>
    <row r="62" spans="6:14" ht="15.6" x14ac:dyDescent="0.3">
      <c r="F62" s="15"/>
      <c r="G62" s="71" t="s">
        <v>347</v>
      </c>
      <c r="H62" s="71"/>
      <c r="I62" s="71"/>
    </row>
    <row r="65" spans="5:15" s="65" customFormat="1" ht="10.8" customHeight="1" x14ac:dyDescent="0.3"/>
    <row r="66" spans="5:15" ht="21" x14ac:dyDescent="0.4">
      <c r="E66" s="151" t="s">
        <v>350</v>
      </c>
      <c r="F66" s="151"/>
      <c r="G66" s="151"/>
      <c r="H66" s="151"/>
      <c r="I66" s="151"/>
      <c r="J66" s="151"/>
      <c r="K66" s="151"/>
      <c r="L66" s="151"/>
      <c r="M66" s="151"/>
      <c r="N66" s="151"/>
      <c r="O66" s="151"/>
    </row>
    <row r="67" spans="5:15" ht="15.6" x14ac:dyDescent="0.3">
      <c r="F67" s="73" t="s">
        <v>352</v>
      </c>
      <c r="G67" s="71" t="s">
        <v>351</v>
      </c>
      <c r="H67" s="71"/>
      <c r="I67" s="71"/>
    </row>
    <row r="70" spans="5:15" ht="15" thickBot="1" x14ac:dyDescent="0.35">
      <c r="F70" s="144" t="s">
        <v>361</v>
      </c>
      <c r="G70" s="144"/>
      <c r="H70" s="144"/>
      <c r="I70" s="144"/>
      <c r="K70" s="144" t="s">
        <v>369</v>
      </c>
      <c r="L70" s="144"/>
      <c r="M70" s="144"/>
      <c r="N70" s="144"/>
    </row>
    <row r="71" spans="5:15" ht="18" thickBot="1" x14ac:dyDescent="0.5">
      <c r="F71" s="50" t="s">
        <v>278</v>
      </c>
      <c r="G71" s="50" t="s">
        <v>359</v>
      </c>
      <c r="H71" s="82" t="s">
        <v>379</v>
      </c>
      <c r="I71" s="82" t="s">
        <v>380</v>
      </c>
      <c r="J71" s="71" t="s">
        <v>381</v>
      </c>
      <c r="K71" s="50" t="s">
        <v>278</v>
      </c>
      <c r="L71" s="50" t="s">
        <v>359</v>
      </c>
      <c r="M71" s="82" t="s">
        <v>379</v>
      </c>
      <c r="N71" s="82" t="s">
        <v>380</v>
      </c>
    </row>
    <row r="72" spans="5:15" ht="18" thickBot="1" x14ac:dyDescent="0.4">
      <c r="F72" s="66" t="s">
        <v>353</v>
      </c>
      <c r="G72" s="66">
        <v>75</v>
      </c>
      <c r="H72" s="76">
        <f t="shared" ref="H72:H77" si="0">G72-JugnadaMean</f>
        <v>12.5</v>
      </c>
      <c r="I72" s="76">
        <f>H72*H72</f>
        <v>156.25</v>
      </c>
      <c r="J72" s="71" t="s">
        <v>382</v>
      </c>
      <c r="K72" s="66" t="s">
        <v>362</v>
      </c>
      <c r="L72" s="66">
        <v>99</v>
      </c>
      <c r="M72" s="66">
        <f t="shared" ref="M72:M77" si="1">L72-KranceMean</f>
        <v>40</v>
      </c>
      <c r="N72" s="66">
        <f>M72*M72</f>
        <v>1600</v>
      </c>
    </row>
    <row r="73" spans="5:15" ht="18.600000000000001" thickTop="1" thickBot="1" x14ac:dyDescent="0.4">
      <c r="F73" s="66" t="s">
        <v>354</v>
      </c>
      <c r="G73" s="66">
        <v>55</v>
      </c>
      <c r="H73" s="76">
        <f t="shared" si="0"/>
        <v>-7.5</v>
      </c>
      <c r="I73" s="76">
        <f t="shared" ref="I73:I77" si="2">H73*H73</f>
        <v>56.25</v>
      </c>
      <c r="J73" s="71" t="s">
        <v>383</v>
      </c>
      <c r="K73" s="66" t="s">
        <v>363</v>
      </c>
      <c r="L73" s="66">
        <v>14</v>
      </c>
      <c r="M73" s="66">
        <f t="shared" si="1"/>
        <v>-45</v>
      </c>
      <c r="N73" s="66">
        <f t="shared" ref="N73:N77" si="3">M73*M73</f>
        <v>2025</v>
      </c>
    </row>
    <row r="74" spans="5:15" ht="18.600000000000001" thickTop="1" thickBot="1" x14ac:dyDescent="0.4">
      <c r="F74" s="66" t="s">
        <v>355</v>
      </c>
      <c r="G74" s="66">
        <v>50</v>
      </c>
      <c r="H74" s="76">
        <f t="shared" si="0"/>
        <v>-12.5</v>
      </c>
      <c r="I74" s="76">
        <f t="shared" si="2"/>
        <v>156.25</v>
      </c>
      <c r="K74" s="66" t="s">
        <v>364</v>
      </c>
      <c r="L74" s="66">
        <v>75</v>
      </c>
      <c r="M74" s="66">
        <f t="shared" si="1"/>
        <v>16</v>
      </c>
      <c r="N74" s="66">
        <f t="shared" si="3"/>
        <v>256</v>
      </c>
    </row>
    <row r="75" spans="5:15" ht="18.600000000000001" thickTop="1" thickBot="1" x14ac:dyDescent="0.4">
      <c r="F75" s="66" t="s">
        <v>356</v>
      </c>
      <c r="G75" s="66">
        <v>65</v>
      </c>
      <c r="H75" s="76">
        <f t="shared" si="0"/>
        <v>2.5</v>
      </c>
      <c r="I75" s="76">
        <f t="shared" si="2"/>
        <v>6.25</v>
      </c>
      <c r="K75" s="66" t="s">
        <v>365</v>
      </c>
      <c r="L75" s="66">
        <v>84</v>
      </c>
      <c r="M75" s="66">
        <f t="shared" si="1"/>
        <v>25</v>
      </c>
      <c r="N75" s="66">
        <f t="shared" si="3"/>
        <v>625</v>
      </c>
    </row>
    <row r="76" spans="5:15" ht="18.600000000000001" thickTop="1" thickBot="1" x14ac:dyDescent="0.4">
      <c r="F76" s="66" t="s">
        <v>357</v>
      </c>
      <c r="G76" s="66">
        <v>70</v>
      </c>
      <c r="H76" s="76">
        <f t="shared" si="0"/>
        <v>7.5</v>
      </c>
      <c r="I76" s="76">
        <f t="shared" si="2"/>
        <v>56.25</v>
      </c>
      <c r="K76" s="66" t="s">
        <v>366</v>
      </c>
      <c r="L76" s="66">
        <v>28</v>
      </c>
      <c r="M76" s="66">
        <f t="shared" si="1"/>
        <v>-31</v>
      </c>
      <c r="N76" s="66">
        <f t="shared" si="3"/>
        <v>961</v>
      </c>
    </row>
    <row r="77" spans="5:15" ht="18.600000000000001" thickTop="1" thickBot="1" x14ac:dyDescent="0.4">
      <c r="F77" s="66" t="s">
        <v>358</v>
      </c>
      <c r="G77" s="66">
        <v>60</v>
      </c>
      <c r="H77" s="76">
        <f t="shared" si="0"/>
        <v>-2.5</v>
      </c>
      <c r="I77" s="76">
        <f t="shared" si="2"/>
        <v>6.25</v>
      </c>
      <c r="K77" s="66" t="s">
        <v>367</v>
      </c>
      <c r="L77" s="66">
        <v>54</v>
      </c>
      <c r="M77" s="66">
        <f t="shared" si="1"/>
        <v>-5</v>
      </c>
      <c r="N77" s="66">
        <f t="shared" si="3"/>
        <v>25</v>
      </c>
    </row>
    <row r="78" spans="5:15" ht="15" thickTop="1" x14ac:dyDescent="0.3"/>
    <row r="79" spans="5:15" x14ac:dyDescent="0.3">
      <c r="F79" s="52" t="s">
        <v>360</v>
      </c>
      <c r="G79" s="54">
        <f>AVERAGE(G72:G77)</f>
        <v>62.5</v>
      </c>
      <c r="H79" s="77" t="s">
        <v>377</v>
      </c>
      <c r="I79" s="78">
        <f>SUM(I72:I77)</f>
        <v>437.5</v>
      </c>
      <c r="K79" s="52" t="s">
        <v>368</v>
      </c>
      <c r="L79" s="52">
        <f>AVERAGE(L72:L77)</f>
        <v>59</v>
      </c>
      <c r="M79" s="77" t="s">
        <v>377</v>
      </c>
      <c r="N79" s="78">
        <f>SUM(N72:N77)</f>
        <v>5492</v>
      </c>
    </row>
    <row r="80" spans="5:15" x14ac:dyDescent="0.3">
      <c r="H80" s="77" t="s">
        <v>378</v>
      </c>
      <c r="I80" s="79">
        <f>COUNT(I72:I77)</f>
        <v>6</v>
      </c>
      <c r="J80" s="22" t="s">
        <v>376</v>
      </c>
      <c r="M80" s="77" t="s">
        <v>378</v>
      </c>
      <c r="N80" s="79">
        <f>COUNT(N72:N77)</f>
        <v>6</v>
      </c>
    </row>
    <row r="81" spans="5:15" ht="18" x14ac:dyDescent="0.35">
      <c r="G81" s="71" t="s">
        <v>371</v>
      </c>
      <c r="H81" s="80" t="s">
        <v>350</v>
      </c>
      <c r="I81" s="88">
        <f>I79/I80</f>
        <v>72.916666666666671</v>
      </c>
      <c r="M81" s="80" t="s">
        <v>350</v>
      </c>
      <c r="N81" s="81">
        <f>N79/N80</f>
        <v>915.33333333333337</v>
      </c>
    </row>
    <row r="82" spans="5:15" ht="18" x14ac:dyDescent="0.35">
      <c r="G82" s="71" t="s">
        <v>370</v>
      </c>
      <c r="H82" s="80" t="s">
        <v>386</v>
      </c>
      <c r="I82" s="91">
        <f>SQRT(I81)</f>
        <v>8.5391256382996659</v>
      </c>
      <c r="M82" s="80" t="s">
        <v>386</v>
      </c>
      <c r="N82" s="91">
        <f>SQRT(N81)</f>
        <v>30.254476252834611</v>
      </c>
    </row>
    <row r="83" spans="5:15" ht="15.6" x14ac:dyDescent="0.3">
      <c r="L83" s="71" t="s">
        <v>372</v>
      </c>
    </row>
    <row r="84" spans="5:15" ht="15.6" x14ac:dyDescent="0.3">
      <c r="G84" s="71" t="s">
        <v>375</v>
      </c>
      <c r="H84" s="71"/>
      <c r="I84" s="71"/>
      <c r="L84" s="71" t="s">
        <v>373</v>
      </c>
    </row>
    <row r="85" spans="5:15" ht="15.6" x14ac:dyDescent="0.3">
      <c r="H85" s="6" t="s">
        <v>384</v>
      </c>
      <c r="L85" s="71" t="s">
        <v>374</v>
      </c>
    </row>
    <row r="86" spans="5:15" ht="15.6" x14ac:dyDescent="0.3">
      <c r="H86" s="6" t="s">
        <v>389</v>
      </c>
      <c r="L86" s="71" t="s">
        <v>385</v>
      </c>
    </row>
    <row r="88" spans="5:15" s="65" customFormat="1" ht="10.8" customHeight="1" x14ac:dyDescent="0.3"/>
    <row r="89" spans="5:15" ht="21" x14ac:dyDescent="0.4">
      <c r="E89" s="151" t="s">
        <v>386</v>
      </c>
      <c r="F89" s="151"/>
      <c r="G89" s="151"/>
      <c r="H89" s="151"/>
      <c r="I89" s="151"/>
      <c r="J89" s="151"/>
      <c r="K89" s="151"/>
      <c r="L89" s="151"/>
      <c r="M89" s="151"/>
      <c r="N89" s="151"/>
      <c r="O89" s="151"/>
    </row>
    <row r="91" spans="5:15" ht="21" x14ac:dyDescent="0.4">
      <c r="F91" s="87" t="s">
        <v>387</v>
      </c>
      <c r="G91" s="86" t="s">
        <v>388</v>
      </c>
    </row>
    <row r="92" spans="5:15" ht="54" x14ac:dyDescent="0.35">
      <c r="G92" s="95" t="s">
        <v>396</v>
      </c>
    </row>
    <row r="94" spans="5:15" ht="15.6" x14ac:dyDescent="0.3">
      <c r="N94" s="84"/>
    </row>
    <row r="95" spans="5:15" ht="18" x14ac:dyDescent="0.35">
      <c r="G95" s="93" t="s">
        <v>390</v>
      </c>
      <c r="L95" s="93" t="s">
        <v>392</v>
      </c>
      <c r="N95" s="83"/>
    </row>
    <row r="96" spans="5:15" ht="18" x14ac:dyDescent="0.35">
      <c r="G96" s="93" t="s">
        <v>391</v>
      </c>
      <c r="L96" s="93" t="s">
        <v>393</v>
      </c>
      <c r="N96" s="85"/>
    </row>
    <row r="97" spans="6:14" ht="18" x14ac:dyDescent="0.35">
      <c r="G97" s="93"/>
      <c r="L97" s="93"/>
      <c r="N97" s="83"/>
    </row>
    <row r="98" spans="6:14" ht="18" x14ac:dyDescent="0.3">
      <c r="G98" s="94" t="s">
        <v>395</v>
      </c>
      <c r="L98" s="94" t="s">
        <v>394</v>
      </c>
    </row>
    <row r="105" spans="6:14" ht="18.600000000000001" x14ac:dyDescent="0.45">
      <c r="G105" s="142" t="s">
        <v>223</v>
      </c>
      <c r="H105" s="143"/>
      <c r="I105" s="143"/>
      <c r="J105" s="143"/>
      <c r="K105" s="143"/>
      <c r="L105" s="143"/>
    </row>
    <row r="107" spans="6:14" ht="18" x14ac:dyDescent="0.35">
      <c r="G107" s="96" t="s">
        <v>407</v>
      </c>
    </row>
    <row r="108" spans="6:14" ht="18" x14ac:dyDescent="0.35">
      <c r="F108" s="92">
        <v>1</v>
      </c>
      <c r="G108" s="96" t="s">
        <v>397</v>
      </c>
    </row>
    <row r="109" spans="6:14" ht="18" x14ac:dyDescent="0.35">
      <c r="G109" s="96" t="s">
        <v>398</v>
      </c>
    </row>
    <row r="111" spans="6:14" ht="18" x14ac:dyDescent="0.35">
      <c r="F111" s="92">
        <v>2</v>
      </c>
      <c r="G111" s="96" t="s">
        <v>399</v>
      </c>
    </row>
    <row r="112" spans="6:14" ht="72" x14ac:dyDescent="0.35">
      <c r="G112" s="97" t="s">
        <v>400</v>
      </c>
    </row>
    <row r="113" spans="5:7" ht="54" x14ac:dyDescent="0.35">
      <c r="G113" s="97" t="s">
        <v>401</v>
      </c>
    </row>
    <row r="115" spans="5:7" ht="36.6" x14ac:dyDescent="0.4">
      <c r="E115" s="98" t="s">
        <v>307</v>
      </c>
      <c r="F115" s="99" t="s">
        <v>405</v>
      </c>
      <c r="G115" s="97" t="s">
        <v>402</v>
      </c>
    </row>
    <row r="116" spans="5:7" ht="36.6" x14ac:dyDescent="0.4">
      <c r="E116" s="98" t="s">
        <v>308</v>
      </c>
      <c r="F116" s="99" t="s">
        <v>406</v>
      </c>
      <c r="G116" s="97" t="s">
        <v>403</v>
      </c>
    </row>
  </sheetData>
  <sortState xmlns:xlrd2="http://schemas.microsoft.com/office/spreadsheetml/2017/richdata2" ref="F4:G10">
    <sortCondition ref="G4:G10"/>
  </sortState>
  <mergeCells count="9">
    <mergeCell ref="G105:L105"/>
    <mergeCell ref="F70:I70"/>
    <mergeCell ref="K70:N70"/>
    <mergeCell ref="D1:L1"/>
    <mergeCell ref="L24:O24"/>
    <mergeCell ref="F37:P37"/>
    <mergeCell ref="F57:N57"/>
    <mergeCell ref="E66:O66"/>
    <mergeCell ref="E89:O89"/>
  </mergeCells>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94958-9F38-40E4-92BC-41686E62FA09}">
  <dimension ref="A1:O94"/>
  <sheetViews>
    <sheetView zoomScale="85" zoomScaleNormal="85" workbookViewId="0">
      <selection activeCell="G94" sqref="G94"/>
    </sheetView>
  </sheetViews>
  <sheetFormatPr defaultRowHeight="14.4" x14ac:dyDescent="0.3"/>
  <cols>
    <col min="1" max="1" width="32.77734375" bestFit="1" customWidth="1"/>
    <col min="2" max="2" width="35.44140625" customWidth="1"/>
    <col min="3" max="3" width="31.109375" customWidth="1"/>
    <col min="8" max="8" width="16.44140625" customWidth="1"/>
    <col min="9" max="9" width="46.6640625" bestFit="1" customWidth="1"/>
    <col min="12" max="12" width="59.88671875" customWidth="1"/>
    <col min="15" max="15" width="45.5546875" bestFit="1" customWidth="1"/>
    <col min="16" max="16" width="11.33203125" customWidth="1"/>
  </cols>
  <sheetData>
    <row r="1" spans="1:15" ht="18" thickBot="1" x14ac:dyDescent="0.5">
      <c r="A1" s="154" t="s">
        <v>417</v>
      </c>
      <c r="B1" s="154"/>
      <c r="C1" s="155"/>
      <c r="D1" s="155"/>
      <c r="E1" s="155"/>
      <c r="F1" s="155"/>
      <c r="G1" s="155"/>
      <c r="H1" s="155"/>
      <c r="I1" s="155"/>
      <c r="J1" s="155"/>
      <c r="K1" s="155"/>
      <c r="L1" s="155"/>
      <c r="M1" s="155"/>
      <c r="N1" s="155"/>
      <c r="O1" s="155"/>
    </row>
    <row r="2" spans="1:15" ht="15.6" x14ac:dyDescent="0.3">
      <c r="A2" s="152" t="s">
        <v>414</v>
      </c>
      <c r="B2" s="153"/>
      <c r="H2" s="157" t="s">
        <v>423</v>
      </c>
      <c r="I2" s="157"/>
      <c r="J2" s="157"/>
      <c r="K2" s="157"/>
    </row>
    <row r="3" spans="1:15" x14ac:dyDescent="0.3">
      <c r="A3" s="109" t="s">
        <v>415</v>
      </c>
      <c r="B3" s="110" t="s">
        <v>416</v>
      </c>
    </row>
    <row r="4" spans="1:15" x14ac:dyDescent="0.3">
      <c r="A4">
        <v>1760</v>
      </c>
      <c r="B4">
        <v>2.64</v>
      </c>
    </row>
    <row r="5" spans="1:15" ht="15.6" x14ac:dyDescent="0.3">
      <c r="A5">
        <v>1943</v>
      </c>
      <c r="B5">
        <v>2.98</v>
      </c>
      <c r="C5" s="156" t="s">
        <v>447</v>
      </c>
      <c r="D5" s="156"/>
      <c r="E5" s="156"/>
      <c r="F5" s="156"/>
      <c r="G5" s="156"/>
    </row>
    <row r="6" spans="1:15" ht="28.8" x14ac:dyDescent="0.3">
      <c r="A6">
        <v>1914</v>
      </c>
      <c r="B6">
        <v>3.13</v>
      </c>
      <c r="F6" t="s">
        <v>194</v>
      </c>
      <c r="L6" s="113" t="s">
        <v>425</v>
      </c>
    </row>
    <row r="7" spans="1:15" x14ac:dyDescent="0.3">
      <c r="A7">
        <v>1618</v>
      </c>
      <c r="B7">
        <v>1.76</v>
      </c>
      <c r="L7" s="114" t="s">
        <v>448</v>
      </c>
    </row>
    <row r="8" spans="1:15" x14ac:dyDescent="0.3">
      <c r="A8">
        <v>1369</v>
      </c>
      <c r="B8">
        <v>1.99</v>
      </c>
      <c r="L8" s="114" t="s">
        <v>424</v>
      </c>
    </row>
    <row r="10" spans="1:15" ht="15.6" x14ac:dyDescent="0.3">
      <c r="A10" s="111" t="s">
        <v>418</v>
      </c>
      <c r="B10" s="112">
        <f>CORREL(A4:A8,B4:B8)</f>
        <v>0.86003793983378041</v>
      </c>
      <c r="C10" s="108" t="s">
        <v>419</v>
      </c>
    </row>
    <row r="11" spans="1:15" x14ac:dyDescent="0.3">
      <c r="C11" s="5" t="s">
        <v>420</v>
      </c>
    </row>
    <row r="12" spans="1:15" x14ac:dyDescent="0.3">
      <c r="C12" s="5" t="s">
        <v>421</v>
      </c>
    </row>
    <row r="13" spans="1:15" x14ac:dyDescent="0.3">
      <c r="C13" s="5" t="s">
        <v>422</v>
      </c>
    </row>
    <row r="15" spans="1:15" ht="15" thickBot="1" x14ac:dyDescent="0.35"/>
    <row r="16" spans="1:15" ht="15.6" x14ac:dyDescent="0.3">
      <c r="A16" s="152" t="s">
        <v>426</v>
      </c>
      <c r="B16" s="153"/>
    </row>
    <row r="17" spans="1:3" x14ac:dyDescent="0.3">
      <c r="A17" s="109" t="s">
        <v>427</v>
      </c>
      <c r="B17" s="109" t="s">
        <v>428</v>
      </c>
    </row>
    <row r="18" spans="1:3" ht="15.6" x14ac:dyDescent="0.3">
      <c r="A18">
        <v>5</v>
      </c>
      <c r="B18" s="89">
        <f>(22/7)*A18*A18</f>
        <v>78.571428571428569</v>
      </c>
      <c r="C18" s="108" t="s">
        <v>429</v>
      </c>
    </row>
    <row r="19" spans="1:3" x14ac:dyDescent="0.3">
      <c r="A19">
        <v>10</v>
      </c>
      <c r="B19" s="89">
        <f t="shared" ref="B19:B21" si="0">(22/7)*A19*A19</f>
        <v>314.28571428571428</v>
      </c>
      <c r="C19" s="5" t="s">
        <v>431</v>
      </c>
    </row>
    <row r="20" spans="1:3" x14ac:dyDescent="0.3">
      <c r="A20">
        <v>4.5</v>
      </c>
      <c r="B20" s="89">
        <f t="shared" si="0"/>
        <v>63.642857142857139</v>
      </c>
      <c r="C20" s="5" t="s">
        <v>430</v>
      </c>
    </row>
    <row r="21" spans="1:3" x14ac:dyDescent="0.3">
      <c r="A21">
        <v>3.1</v>
      </c>
      <c r="B21" s="89">
        <f t="shared" si="0"/>
        <v>30.202857142857148</v>
      </c>
      <c r="C21" s="5" t="s">
        <v>432</v>
      </c>
    </row>
    <row r="22" spans="1:3" x14ac:dyDescent="0.3">
      <c r="C22" s="5" t="s">
        <v>433</v>
      </c>
    </row>
    <row r="23" spans="1:3" x14ac:dyDescent="0.3">
      <c r="A23" s="111" t="s">
        <v>418</v>
      </c>
      <c r="B23" s="112">
        <f>CORREL(A18:A21,B18:B21)</f>
        <v>0.99342484484476923</v>
      </c>
      <c r="C23" s="5" t="s">
        <v>434</v>
      </c>
    </row>
    <row r="24" spans="1:3" ht="14.4" customHeight="1" x14ac:dyDescent="0.3">
      <c r="B24" s="113" t="s">
        <v>436</v>
      </c>
    </row>
    <row r="25" spans="1:3" x14ac:dyDescent="0.3">
      <c r="B25" s="114" t="s">
        <v>435</v>
      </c>
    </row>
    <row r="27" spans="1:3" x14ac:dyDescent="0.3">
      <c r="B27" s="113" t="s">
        <v>437</v>
      </c>
    </row>
    <row r="28" spans="1:3" ht="16.2" customHeight="1" x14ac:dyDescent="0.3">
      <c r="B28" s="113" t="s">
        <v>439</v>
      </c>
    </row>
    <row r="29" spans="1:3" ht="15" customHeight="1" x14ac:dyDescent="0.3">
      <c r="B29" s="113" t="s">
        <v>438</v>
      </c>
    </row>
    <row r="32" spans="1:3" ht="15" thickBot="1" x14ac:dyDescent="0.35"/>
    <row r="33" spans="1:9" ht="15.6" x14ac:dyDescent="0.3">
      <c r="A33" s="152" t="s">
        <v>440</v>
      </c>
      <c r="B33" s="153"/>
    </row>
    <row r="34" spans="1:9" x14ac:dyDescent="0.3">
      <c r="A34" s="109" t="s">
        <v>441</v>
      </c>
      <c r="B34" s="109" t="s">
        <v>442</v>
      </c>
    </row>
    <row r="35" spans="1:9" x14ac:dyDescent="0.3">
      <c r="A35">
        <v>180</v>
      </c>
      <c r="B35">
        <v>80</v>
      </c>
      <c r="I35" s="117" t="s">
        <v>449</v>
      </c>
    </row>
    <row r="36" spans="1:9" x14ac:dyDescent="0.3">
      <c r="A36">
        <v>175</v>
      </c>
      <c r="B36">
        <v>176</v>
      </c>
      <c r="I36" s="12" t="s">
        <v>451</v>
      </c>
    </row>
    <row r="37" spans="1:9" x14ac:dyDescent="0.3">
      <c r="A37">
        <v>130</v>
      </c>
      <c r="B37">
        <v>78</v>
      </c>
      <c r="I37" s="12" t="s">
        <v>450</v>
      </c>
    </row>
    <row r="38" spans="1:9" x14ac:dyDescent="0.3">
      <c r="A38">
        <v>156</v>
      </c>
      <c r="B38">
        <v>200</v>
      </c>
      <c r="I38" s="12" t="s">
        <v>452</v>
      </c>
    </row>
    <row r="39" spans="1:9" x14ac:dyDescent="0.3">
      <c r="A39">
        <v>162</v>
      </c>
      <c r="B39">
        <v>91</v>
      </c>
    </row>
    <row r="40" spans="1:9" x14ac:dyDescent="0.3">
      <c r="A40">
        <v>163</v>
      </c>
      <c r="B40">
        <v>175</v>
      </c>
    </row>
    <row r="41" spans="1:9" x14ac:dyDescent="0.3">
      <c r="A41">
        <v>160</v>
      </c>
      <c r="B41">
        <v>88</v>
      </c>
    </row>
    <row r="43" spans="1:9" x14ac:dyDescent="0.3">
      <c r="A43" s="111" t="s">
        <v>418</v>
      </c>
      <c r="B43" s="112">
        <f>CORREL(A35:A41,B35:B41)</f>
        <v>0.2011101110427804</v>
      </c>
    </row>
    <row r="44" spans="1:9" x14ac:dyDescent="0.3">
      <c r="B44" s="114" t="s">
        <v>443</v>
      </c>
    </row>
    <row r="45" spans="1:9" x14ac:dyDescent="0.3">
      <c r="B45" s="114" t="s">
        <v>444</v>
      </c>
    </row>
    <row r="47" spans="1:9" ht="45" customHeight="1" x14ac:dyDescent="0.3">
      <c r="B47" s="115" t="s">
        <v>445</v>
      </c>
    </row>
    <row r="48" spans="1:9" ht="43.2" x14ac:dyDescent="0.3">
      <c r="B48" s="116" t="s">
        <v>446</v>
      </c>
    </row>
    <row r="51" spans="1:2" ht="15" thickBot="1" x14ac:dyDescent="0.35"/>
    <row r="52" spans="1:2" ht="15.6" x14ac:dyDescent="0.3">
      <c r="A52" s="152" t="s">
        <v>453</v>
      </c>
      <c r="B52" s="153"/>
    </row>
    <row r="53" spans="1:2" ht="28.8" x14ac:dyDescent="0.3">
      <c r="A53" s="118" t="s">
        <v>454</v>
      </c>
      <c r="B53" s="118" t="s">
        <v>455</v>
      </c>
    </row>
    <row r="54" spans="1:2" x14ac:dyDescent="0.3">
      <c r="A54">
        <v>10</v>
      </c>
      <c r="B54">
        <v>8</v>
      </c>
    </row>
    <row r="55" spans="1:2" x14ac:dyDescent="0.3">
      <c r="A55">
        <v>60</v>
      </c>
      <c r="B55">
        <v>4</v>
      </c>
    </row>
    <row r="56" spans="1:2" x14ac:dyDescent="0.3">
      <c r="A56">
        <v>0</v>
      </c>
      <c r="B56">
        <v>9</v>
      </c>
    </row>
    <row r="57" spans="1:2" x14ac:dyDescent="0.3">
      <c r="A57">
        <v>120</v>
      </c>
      <c r="B57">
        <v>2</v>
      </c>
    </row>
    <row r="58" spans="1:2" x14ac:dyDescent="0.3">
      <c r="A58">
        <v>30</v>
      </c>
      <c r="B58">
        <v>7</v>
      </c>
    </row>
    <row r="59" spans="1:2" x14ac:dyDescent="0.3">
      <c r="A59">
        <v>25</v>
      </c>
      <c r="B59">
        <v>7</v>
      </c>
    </row>
    <row r="60" spans="1:2" x14ac:dyDescent="0.3">
      <c r="A60">
        <v>5</v>
      </c>
      <c r="B60">
        <v>9</v>
      </c>
    </row>
    <row r="62" spans="1:2" x14ac:dyDescent="0.3">
      <c r="A62" s="111" t="s">
        <v>418</v>
      </c>
      <c r="B62" s="112">
        <f>CORREL(A54:A60,B54:B60)</f>
        <v>-0.9762238779023108</v>
      </c>
    </row>
    <row r="63" spans="1:2" x14ac:dyDescent="0.3">
      <c r="B63" s="12" t="s">
        <v>456</v>
      </c>
    </row>
    <row r="64" spans="1:2" x14ac:dyDescent="0.3">
      <c r="B64" s="12" t="s">
        <v>457</v>
      </c>
    </row>
    <row r="67" spans="1:3" x14ac:dyDescent="0.3">
      <c r="C67" s="12" t="s">
        <v>458</v>
      </c>
    </row>
    <row r="68" spans="1:3" x14ac:dyDescent="0.3">
      <c r="C68" s="12" t="s">
        <v>459</v>
      </c>
    </row>
    <row r="73" spans="1:3" ht="15" thickBot="1" x14ac:dyDescent="0.35"/>
    <row r="74" spans="1:3" ht="15.6" x14ac:dyDescent="0.3">
      <c r="A74" s="152" t="s">
        <v>464</v>
      </c>
      <c r="B74" s="153"/>
    </row>
    <row r="75" spans="1:3" x14ac:dyDescent="0.3">
      <c r="A75" s="109" t="s">
        <v>460</v>
      </c>
      <c r="B75" s="109" t="s">
        <v>461</v>
      </c>
    </row>
    <row r="76" spans="1:3" x14ac:dyDescent="0.3">
      <c r="A76" t="s">
        <v>462</v>
      </c>
      <c r="B76">
        <v>70</v>
      </c>
    </row>
    <row r="77" spans="1:3" x14ac:dyDescent="0.3">
      <c r="A77" t="s">
        <v>463</v>
      </c>
      <c r="B77">
        <v>30</v>
      </c>
    </row>
    <row r="79" spans="1:3" x14ac:dyDescent="0.3">
      <c r="B79" s="12" t="s">
        <v>465</v>
      </c>
    </row>
    <row r="80" spans="1:3" x14ac:dyDescent="0.3">
      <c r="B80" s="12" t="s">
        <v>466</v>
      </c>
    </row>
    <row r="81" spans="1:9" x14ac:dyDescent="0.3">
      <c r="B81" s="12" t="s">
        <v>467</v>
      </c>
    </row>
    <row r="82" spans="1:9" x14ac:dyDescent="0.3">
      <c r="B82" s="12" t="s">
        <v>468</v>
      </c>
    </row>
    <row r="83" spans="1:9" x14ac:dyDescent="0.3">
      <c r="B83" s="12" t="s">
        <v>469</v>
      </c>
    </row>
    <row r="87" spans="1:9" ht="18" x14ac:dyDescent="0.35">
      <c r="A87" s="159" t="s">
        <v>470</v>
      </c>
      <c r="B87" s="159"/>
      <c r="C87" s="159"/>
      <c r="D87" s="159"/>
      <c r="E87" s="159"/>
      <c r="F87" s="159"/>
      <c r="G87" s="159"/>
      <c r="H87" s="159"/>
    </row>
    <row r="89" spans="1:9" ht="18.600000000000001" x14ac:dyDescent="0.45">
      <c r="A89" s="142" t="s">
        <v>223</v>
      </c>
      <c r="B89" s="143"/>
      <c r="C89" s="143"/>
      <c r="D89" s="143"/>
      <c r="E89" s="143"/>
      <c r="F89" s="143"/>
      <c r="G89" s="143"/>
      <c r="H89" s="143"/>
      <c r="I89" s="143"/>
    </row>
    <row r="91" spans="1:9" x14ac:dyDescent="0.3">
      <c r="A91" s="12" t="s">
        <v>471</v>
      </c>
      <c r="B91" s="12"/>
      <c r="C91" s="12"/>
    </row>
    <row r="92" spans="1:9" x14ac:dyDescent="0.3">
      <c r="A92" s="12" t="s">
        <v>472</v>
      </c>
      <c r="B92" s="12"/>
      <c r="C92" s="12"/>
    </row>
    <row r="93" spans="1:9" x14ac:dyDescent="0.3">
      <c r="A93" s="12" t="s">
        <v>473</v>
      </c>
      <c r="B93" s="12"/>
      <c r="C93" s="12"/>
    </row>
    <row r="94" spans="1:9" ht="15.6" x14ac:dyDescent="0.3">
      <c r="A94" s="158" t="s">
        <v>474</v>
      </c>
      <c r="B94" s="158"/>
      <c r="C94" s="158"/>
    </row>
  </sheetData>
  <mergeCells count="11">
    <mergeCell ref="A89:I89"/>
    <mergeCell ref="A94:C94"/>
    <mergeCell ref="A52:B52"/>
    <mergeCell ref="A74:B74"/>
    <mergeCell ref="A87:H87"/>
    <mergeCell ref="A2:B2"/>
    <mergeCell ref="A1:O1"/>
    <mergeCell ref="A16:B16"/>
    <mergeCell ref="A33:B33"/>
    <mergeCell ref="C5:G5"/>
    <mergeCell ref="H2:K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2F180-645C-4BD4-BB22-B680DB6CAFAD}">
  <dimension ref="A1:B86"/>
  <sheetViews>
    <sheetView zoomScale="160" zoomScaleNormal="160" workbookViewId="0">
      <selection activeCell="D17" sqref="D17"/>
    </sheetView>
  </sheetViews>
  <sheetFormatPr defaultRowHeight="14.4" x14ac:dyDescent="0.3"/>
  <cols>
    <col min="1" max="1" width="9.88671875" customWidth="1"/>
  </cols>
  <sheetData>
    <row r="1" spans="1:2" x14ac:dyDescent="0.3">
      <c r="A1" s="2" t="s">
        <v>0</v>
      </c>
      <c r="B1" s="2" t="s">
        <v>35</v>
      </c>
    </row>
    <row r="2" spans="1:2" x14ac:dyDescent="0.3">
      <c r="A2">
        <v>101</v>
      </c>
      <c r="B2">
        <v>50</v>
      </c>
    </row>
    <row r="3" spans="1:2" x14ac:dyDescent="0.3">
      <c r="A3">
        <v>101</v>
      </c>
      <c r="B3">
        <v>51</v>
      </c>
    </row>
    <row r="4" spans="1:2" x14ac:dyDescent="0.3">
      <c r="A4">
        <v>102</v>
      </c>
      <c r="B4">
        <v>52</v>
      </c>
    </row>
    <row r="5" spans="1:2" x14ac:dyDescent="0.3">
      <c r="A5">
        <v>102</v>
      </c>
      <c r="B5">
        <v>53</v>
      </c>
    </row>
    <row r="6" spans="1:2" x14ac:dyDescent="0.3">
      <c r="A6">
        <v>103</v>
      </c>
      <c r="B6">
        <v>54</v>
      </c>
    </row>
    <row r="7" spans="1:2" x14ac:dyDescent="0.3">
      <c r="A7">
        <v>103</v>
      </c>
      <c r="B7">
        <v>55</v>
      </c>
    </row>
    <row r="8" spans="1:2" x14ac:dyDescent="0.3">
      <c r="A8">
        <v>103</v>
      </c>
      <c r="B8">
        <v>56</v>
      </c>
    </row>
    <row r="9" spans="1:2" x14ac:dyDescent="0.3">
      <c r="A9">
        <v>104</v>
      </c>
      <c r="B9">
        <v>54</v>
      </c>
    </row>
    <row r="10" spans="1:2" x14ac:dyDescent="0.3">
      <c r="A10">
        <v>104</v>
      </c>
      <c r="B10">
        <v>56</v>
      </c>
    </row>
    <row r="11" spans="1:2" x14ac:dyDescent="0.3">
      <c r="A11">
        <v>105</v>
      </c>
      <c r="B11">
        <v>54</v>
      </c>
    </row>
    <row r="12" spans="1:2" x14ac:dyDescent="0.3">
      <c r="A12">
        <v>105</v>
      </c>
      <c r="B12">
        <v>55</v>
      </c>
    </row>
    <row r="13" spans="1:2" x14ac:dyDescent="0.3">
      <c r="A13">
        <v>106</v>
      </c>
      <c r="B13">
        <v>57</v>
      </c>
    </row>
    <row r="14" spans="1:2" x14ac:dyDescent="0.3">
      <c r="A14">
        <v>106</v>
      </c>
      <c r="B14">
        <v>58</v>
      </c>
    </row>
    <row r="15" spans="1:2" x14ac:dyDescent="0.3">
      <c r="A15">
        <v>107</v>
      </c>
      <c r="B15">
        <v>59</v>
      </c>
    </row>
    <row r="16" spans="1:2" x14ac:dyDescent="0.3">
      <c r="A16">
        <v>107</v>
      </c>
      <c r="B16">
        <v>60</v>
      </c>
    </row>
    <row r="17" spans="1:2" x14ac:dyDescent="0.3">
      <c r="A17">
        <v>108</v>
      </c>
      <c r="B17">
        <v>61</v>
      </c>
    </row>
    <row r="18" spans="1:2" x14ac:dyDescent="0.3">
      <c r="A18">
        <v>108</v>
      </c>
      <c r="B18">
        <v>62</v>
      </c>
    </row>
    <row r="19" spans="1:2" x14ac:dyDescent="0.3">
      <c r="A19">
        <v>108</v>
      </c>
      <c r="B19">
        <v>63</v>
      </c>
    </row>
    <row r="20" spans="1:2" x14ac:dyDescent="0.3">
      <c r="A20">
        <v>109</v>
      </c>
      <c r="B20">
        <v>59</v>
      </c>
    </row>
    <row r="21" spans="1:2" x14ac:dyDescent="0.3">
      <c r="A21">
        <v>109</v>
      </c>
      <c r="B21">
        <v>57</v>
      </c>
    </row>
    <row r="22" spans="1:2" x14ac:dyDescent="0.3">
      <c r="A22">
        <v>109</v>
      </c>
      <c r="B22">
        <v>64</v>
      </c>
    </row>
    <row r="23" spans="1:2" x14ac:dyDescent="0.3">
      <c r="A23">
        <v>110</v>
      </c>
      <c r="B23">
        <v>65</v>
      </c>
    </row>
    <row r="24" spans="1:2" x14ac:dyDescent="0.3">
      <c r="A24">
        <v>110</v>
      </c>
      <c r="B24">
        <v>66</v>
      </c>
    </row>
    <row r="25" spans="1:2" x14ac:dyDescent="0.3">
      <c r="A25">
        <v>111</v>
      </c>
      <c r="B25">
        <v>67</v>
      </c>
    </row>
    <row r="26" spans="1:2" x14ac:dyDescent="0.3">
      <c r="A26">
        <v>111</v>
      </c>
      <c r="B26">
        <v>68</v>
      </c>
    </row>
    <row r="27" spans="1:2" x14ac:dyDescent="0.3">
      <c r="A27">
        <v>112</v>
      </c>
      <c r="B27">
        <v>69</v>
      </c>
    </row>
    <row r="28" spans="1:2" x14ac:dyDescent="0.3">
      <c r="A28">
        <v>112</v>
      </c>
      <c r="B28">
        <v>70</v>
      </c>
    </row>
    <row r="29" spans="1:2" x14ac:dyDescent="0.3">
      <c r="A29">
        <v>113</v>
      </c>
      <c r="B29">
        <v>71</v>
      </c>
    </row>
    <row r="30" spans="1:2" x14ac:dyDescent="0.3">
      <c r="A30">
        <v>113</v>
      </c>
      <c r="B30">
        <v>72</v>
      </c>
    </row>
    <row r="31" spans="1:2" x14ac:dyDescent="0.3">
      <c r="A31">
        <v>114</v>
      </c>
      <c r="B31">
        <v>73</v>
      </c>
    </row>
    <row r="32" spans="1:2" x14ac:dyDescent="0.3">
      <c r="A32">
        <v>114</v>
      </c>
      <c r="B32">
        <v>74</v>
      </c>
    </row>
    <row r="33" spans="1:2" x14ac:dyDescent="0.3">
      <c r="A33">
        <v>115</v>
      </c>
      <c r="B33">
        <v>75</v>
      </c>
    </row>
    <row r="34" spans="1:2" x14ac:dyDescent="0.3">
      <c r="A34">
        <v>115</v>
      </c>
      <c r="B34">
        <v>76</v>
      </c>
    </row>
    <row r="35" spans="1:2" x14ac:dyDescent="0.3">
      <c r="A35">
        <v>116</v>
      </c>
      <c r="B35">
        <v>77</v>
      </c>
    </row>
    <row r="36" spans="1:2" x14ac:dyDescent="0.3">
      <c r="A36">
        <v>116</v>
      </c>
      <c r="B36">
        <v>78</v>
      </c>
    </row>
    <row r="37" spans="1:2" x14ac:dyDescent="0.3">
      <c r="A37">
        <v>117</v>
      </c>
      <c r="B37">
        <v>69</v>
      </c>
    </row>
    <row r="38" spans="1:2" x14ac:dyDescent="0.3">
      <c r="A38">
        <v>117</v>
      </c>
      <c r="B38">
        <v>79</v>
      </c>
    </row>
    <row r="39" spans="1:2" x14ac:dyDescent="0.3">
      <c r="A39">
        <v>118</v>
      </c>
      <c r="B39">
        <v>80</v>
      </c>
    </row>
    <row r="40" spans="1:2" x14ac:dyDescent="0.3">
      <c r="A40">
        <v>118</v>
      </c>
      <c r="B40">
        <v>81</v>
      </c>
    </row>
    <row r="41" spans="1:2" x14ac:dyDescent="0.3">
      <c r="A41">
        <v>119</v>
      </c>
      <c r="B41">
        <v>82</v>
      </c>
    </row>
    <row r="42" spans="1:2" x14ac:dyDescent="0.3">
      <c r="A42">
        <v>119</v>
      </c>
      <c r="B42">
        <v>83</v>
      </c>
    </row>
    <row r="43" spans="1:2" x14ac:dyDescent="0.3">
      <c r="A43">
        <v>120</v>
      </c>
      <c r="B43">
        <v>84</v>
      </c>
    </row>
    <row r="44" spans="1:2" x14ac:dyDescent="0.3">
      <c r="A44">
        <v>120</v>
      </c>
      <c r="B44">
        <v>85</v>
      </c>
    </row>
    <row r="45" spans="1:2" x14ac:dyDescent="0.3">
      <c r="A45">
        <v>121</v>
      </c>
      <c r="B45">
        <v>86</v>
      </c>
    </row>
    <row r="46" spans="1:2" x14ac:dyDescent="0.3">
      <c r="A46">
        <v>121</v>
      </c>
      <c r="B46">
        <v>87</v>
      </c>
    </row>
    <row r="47" spans="1:2" x14ac:dyDescent="0.3">
      <c r="A47">
        <v>122</v>
      </c>
      <c r="B47">
        <v>88</v>
      </c>
    </row>
    <row r="48" spans="1:2" x14ac:dyDescent="0.3">
      <c r="A48">
        <v>122</v>
      </c>
      <c r="B48">
        <v>89</v>
      </c>
    </row>
    <row r="49" spans="1:2" x14ac:dyDescent="0.3">
      <c r="A49">
        <v>123</v>
      </c>
      <c r="B49">
        <v>90</v>
      </c>
    </row>
    <row r="50" spans="1:2" x14ac:dyDescent="0.3">
      <c r="A50">
        <v>123</v>
      </c>
      <c r="B50">
        <v>91</v>
      </c>
    </row>
    <row r="51" spans="1:2" x14ac:dyDescent="0.3">
      <c r="A51">
        <v>124</v>
      </c>
      <c r="B51">
        <v>92</v>
      </c>
    </row>
    <row r="52" spans="1:2" x14ac:dyDescent="0.3">
      <c r="A52">
        <v>124</v>
      </c>
      <c r="B52">
        <v>93</v>
      </c>
    </row>
    <row r="53" spans="1:2" x14ac:dyDescent="0.3">
      <c r="A53">
        <v>125</v>
      </c>
      <c r="B53">
        <v>94</v>
      </c>
    </row>
    <row r="54" spans="1:2" x14ac:dyDescent="0.3">
      <c r="A54">
        <v>125</v>
      </c>
      <c r="B54">
        <v>95</v>
      </c>
    </row>
    <row r="55" spans="1:2" x14ac:dyDescent="0.3">
      <c r="A55">
        <v>125</v>
      </c>
      <c r="B55">
        <v>54</v>
      </c>
    </row>
    <row r="56" spans="1:2" x14ac:dyDescent="0.3">
      <c r="A56">
        <v>126</v>
      </c>
      <c r="B56">
        <v>94</v>
      </c>
    </row>
    <row r="57" spans="1:2" x14ac:dyDescent="0.3">
      <c r="A57">
        <v>126</v>
      </c>
      <c r="B57">
        <v>95</v>
      </c>
    </row>
    <row r="58" spans="1:2" x14ac:dyDescent="0.3">
      <c r="A58">
        <v>126</v>
      </c>
      <c r="B58">
        <v>54</v>
      </c>
    </row>
    <row r="59" spans="1:2" x14ac:dyDescent="0.3">
      <c r="A59">
        <v>127</v>
      </c>
      <c r="B59">
        <v>150</v>
      </c>
    </row>
    <row r="60" spans="1:2" x14ac:dyDescent="0.3">
      <c r="A60">
        <v>127</v>
      </c>
      <c r="B60">
        <v>151</v>
      </c>
    </row>
    <row r="61" spans="1:2" x14ac:dyDescent="0.3">
      <c r="A61">
        <v>128</v>
      </c>
      <c r="B61">
        <v>61</v>
      </c>
    </row>
    <row r="62" spans="1:2" x14ac:dyDescent="0.3">
      <c r="A62">
        <v>128</v>
      </c>
      <c r="B62">
        <v>152</v>
      </c>
    </row>
    <row r="63" spans="1:2" x14ac:dyDescent="0.3">
      <c r="A63">
        <v>129</v>
      </c>
      <c r="B63">
        <v>51</v>
      </c>
    </row>
    <row r="64" spans="1:2" x14ac:dyDescent="0.3">
      <c r="A64">
        <v>129</v>
      </c>
      <c r="B64">
        <v>153</v>
      </c>
    </row>
    <row r="65" spans="1:2" x14ac:dyDescent="0.3">
      <c r="A65">
        <v>130</v>
      </c>
      <c r="B65">
        <v>61</v>
      </c>
    </row>
    <row r="66" spans="1:2" x14ac:dyDescent="0.3">
      <c r="A66">
        <v>130</v>
      </c>
      <c r="B66">
        <v>154</v>
      </c>
    </row>
    <row r="67" spans="1:2" x14ac:dyDescent="0.3">
      <c r="A67">
        <v>131</v>
      </c>
      <c r="B67">
        <v>155</v>
      </c>
    </row>
    <row r="68" spans="1:2" x14ac:dyDescent="0.3">
      <c r="A68">
        <v>131</v>
      </c>
      <c r="B68">
        <v>154</v>
      </c>
    </row>
    <row r="69" spans="1:2" x14ac:dyDescent="0.3">
      <c r="A69">
        <v>132</v>
      </c>
      <c r="B69">
        <v>156</v>
      </c>
    </row>
    <row r="70" spans="1:2" x14ac:dyDescent="0.3">
      <c r="A70">
        <v>132</v>
      </c>
      <c r="B70">
        <v>157</v>
      </c>
    </row>
    <row r="71" spans="1:2" x14ac:dyDescent="0.3">
      <c r="A71">
        <v>133</v>
      </c>
      <c r="B71">
        <v>158</v>
      </c>
    </row>
    <row r="72" spans="1:2" x14ac:dyDescent="0.3">
      <c r="A72">
        <v>133</v>
      </c>
      <c r="B72">
        <v>159</v>
      </c>
    </row>
    <row r="73" spans="1:2" x14ac:dyDescent="0.3">
      <c r="A73">
        <v>134</v>
      </c>
      <c r="B73">
        <v>160</v>
      </c>
    </row>
    <row r="74" spans="1:2" x14ac:dyDescent="0.3">
      <c r="A74">
        <v>134</v>
      </c>
      <c r="B74">
        <v>161</v>
      </c>
    </row>
    <row r="75" spans="1:2" x14ac:dyDescent="0.3">
      <c r="A75">
        <v>135</v>
      </c>
      <c r="B75">
        <v>162</v>
      </c>
    </row>
    <row r="76" spans="1:2" x14ac:dyDescent="0.3">
      <c r="A76">
        <v>135</v>
      </c>
      <c r="B76">
        <v>163</v>
      </c>
    </row>
    <row r="77" spans="1:2" x14ac:dyDescent="0.3">
      <c r="A77">
        <v>136</v>
      </c>
      <c r="B77">
        <v>164</v>
      </c>
    </row>
    <row r="78" spans="1:2" x14ac:dyDescent="0.3">
      <c r="A78">
        <v>136</v>
      </c>
      <c r="B78">
        <v>165</v>
      </c>
    </row>
    <row r="79" spans="1:2" x14ac:dyDescent="0.3">
      <c r="A79">
        <v>137</v>
      </c>
      <c r="B79">
        <v>95</v>
      </c>
    </row>
    <row r="80" spans="1:2" x14ac:dyDescent="0.3">
      <c r="A80">
        <v>137</v>
      </c>
      <c r="B80">
        <v>166</v>
      </c>
    </row>
    <row r="81" spans="1:2" x14ac:dyDescent="0.3">
      <c r="A81">
        <v>138</v>
      </c>
      <c r="B81">
        <v>95</v>
      </c>
    </row>
    <row r="82" spans="1:2" x14ac:dyDescent="0.3">
      <c r="A82">
        <v>138</v>
      </c>
      <c r="B82">
        <v>167</v>
      </c>
    </row>
    <row r="83" spans="1:2" x14ac:dyDescent="0.3">
      <c r="A83">
        <v>139</v>
      </c>
      <c r="B83">
        <v>164</v>
      </c>
    </row>
    <row r="84" spans="1:2" x14ac:dyDescent="0.3">
      <c r="A84">
        <v>139</v>
      </c>
      <c r="B84">
        <v>168</v>
      </c>
    </row>
    <row r="85" spans="1:2" x14ac:dyDescent="0.3">
      <c r="A85">
        <v>140</v>
      </c>
      <c r="B85">
        <v>169</v>
      </c>
    </row>
    <row r="86" spans="1:2" x14ac:dyDescent="0.3">
      <c r="A86">
        <v>140</v>
      </c>
      <c r="B86">
        <v>170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2F15D-C7E5-45CD-9337-3706D6E911A4}">
  <dimension ref="A1:B9"/>
  <sheetViews>
    <sheetView topLeftCell="B1" zoomScale="160" zoomScaleNormal="160" workbookViewId="0">
      <selection activeCell="E8" sqref="E8"/>
    </sheetView>
  </sheetViews>
  <sheetFormatPr defaultRowHeight="14.4" x14ac:dyDescent="0.3"/>
  <cols>
    <col min="1" max="1" width="12.44140625" customWidth="1"/>
  </cols>
  <sheetData>
    <row r="1" spans="1:2" x14ac:dyDescent="0.3">
      <c r="A1" s="2" t="s">
        <v>5</v>
      </c>
      <c r="B1" s="2" t="s">
        <v>36</v>
      </c>
    </row>
    <row r="2" spans="1:2" x14ac:dyDescent="0.3">
      <c r="A2">
        <v>1</v>
      </c>
      <c r="B2" t="s">
        <v>105</v>
      </c>
    </row>
    <row r="3" spans="1:2" x14ac:dyDescent="0.3">
      <c r="A3">
        <v>2</v>
      </c>
      <c r="B3" t="s">
        <v>106</v>
      </c>
    </row>
    <row r="4" spans="1:2" x14ac:dyDescent="0.3">
      <c r="A4">
        <v>3</v>
      </c>
      <c r="B4" t="s">
        <v>107</v>
      </c>
    </row>
    <row r="5" spans="1:2" x14ac:dyDescent="0.3">
      <c r="A5">
        <v>4</v>
      </c>
      <c r="B5" t="s">
        <v>108</v>
      </c>
    </row>
    <row r="6" spans="1:2" x14ac:dyDescent="0.3">
      <c r="A6">
        <v>5</v>
      </c>
      <c r="B6" t="s">
        <v>109</v>
      </c>
    </row>
    <row r="7" spans="1:2" x14ac:dyDescent="0.3">
      <c r="A7">
        <v>6</v>
      </c>
      <c r="B7" t="s">
        <v>110</v>
      </c>
    </row>
    <row r="8" spans="1:2" x14ac:dyDescent="0.3">
      <c r="A8">
        <v>7</v>
      </c>
      <c r="B8" t="s">
        <v>111</v>
      </c>
    </row>
    <row r="9" spans="1:2" x14ac:dyDescent="0.3">
      <c r="A9">
        <v>8</v>
      </c>
      <c r="B9" t="s">
        <v>112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6297aa2-77d1-4586-9726-07d56a535ee7" xsi:nil="true"/>
    <lcf76f155ced4ddcb4097134ff3c332f xmlns="631564f6-0349-4cc5-b00d-7cf3ba42f824">
      <Terms xmlns="http://schemas.microsoft.com/office/infopath/2007/PartnerControls"/>
    </lcf76f155ced4ddcb4097134ff3c332f>
    <MediaLengthInSeconds xmlns="631564f6-0349-4cc5-b00d-7cf3ba42f824" xsi:nil="true"/>
    <SharedWithUsers xmlns="46297aa2-77d1-4586-9726-07d56a535ee7">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EFF9027-FBEF-4910-8EE6-13D64012C7E9}">
  <ds:schemaRefs>
    <ds:schemaRef ds:uri="http://schemas.microsoft.com/office/2006/metadata/properties"/>
    <ds:schemaRef ds:uri="http://schemas.microsoft.com/office/infopath/2007/PartnerControls"/>
    <ds:schemaRef ds:uri="46297aa2-77d1-4586-9726-07d56a535ee7"/>
    <ds:schemaRef ds:uri="631564f6-0349-4cc5-b00d-7cf3ba42f824"/>
  </ds:schemaRefs>
</ds:datastoreItem>
</file>

<file path=customXml/itemProps2.xml><?xml version="1.0" encoding="utf-8"?>
<ds:datastoreItem xmlns:ds="http://schemas.openxmlformats.org/officeDocument/2006/customXml" ds:itemID="{E6C97D6F-A515-40FC-959A-7BC863F10CEF}">
  <ds:schemaRefs>
    <ds:schemaRef ds:uri="http://schemas.microsoft.com/sharepoint/v3/contenttype/forms"/>
  </ds:schemaRefs>
</ds:datastoreItem>
</file>

<file path=customXml/itemProps3.xml><?xml version="1.0" encoding="utf-8"?>
<ds:datastoreItem xmlns:ds="http://schemas.openxmlformats.org/officeDocument/2006/customXml" ds:itemID="{02BA008F-2FD2-4901-8027-A024DA31C6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movies</vt:lpstr>
      <vt:lpstr>Index match formula</vt:lpstr>
      <vt:lpstr>financials</vt:lpstr>
      <vt:lpstr>X lookup</vt:lpstr>
      <vt:lpstr>Business Metrics or KPIS</vt:lpstr>
      <vt:lpstr>actors</vt:lpstr>
      <vt:lpstr>Marvel Studios(P&amp;L statement)</vt:lpstr>
      <vt:lpstr>Basic Statistics</vt:lpstr>
      <vt:lpstr>Co-relation</vt:lpstr>
      <vt:lpstr>movie_actor</vt:lpstr>
      <vt:lpstr>languages</vt:lpstr>
      <vt:lpstr>JugnadaMean</vt:lpstr>
      <vt:lpstr>KranceMean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Dhaval Patel</dc:creator>
  <cp:lastModifiedBy>rishi raman</cp:lastModifiedBy>
  <dcterms:created xsi:type="dcterms:W3CDTF">2015-06-05T18:17:20Z</dcterms:created>
  <dcterms:modified xsi:type="dcterms:W3CDTF">2024-11-28T05:03:30Z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0x010100686C0266E115364AA9B96DE5BECF7DB6</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